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 uchwały Sejmiku (budżet) z dnia 17.06.2024 r\"/>
    </mc:Choice>
  </mc:AlternateContent>
  <xr:revisionPtr revIDLastSave="0" documentId="13_ncr:1_{5ADF9F03-5B4C-4644-AF3F-33466838F450}" xr6:coauthVersionLast="47" xr6:coauthVersionMax="47" xr10:uidLastSave="{00000000-0000-0000-0000-000000000000}"/>
  <bookViews>
    <workbookView xWindow="-120" yWindow="-120" windowWidth="29040" windowHeight="15720" tabRatio="889" activeTab="13" xr2:uid="{00000000-000D-0000-FFFF-FFFF00000000}"/>
  </bookViews>
  <sheets>
    <sheet name="zał.1" sheetId="111" r:id="rId1"/>
    <sheet name="zał.2" sheetId="112" r:id="rId2"/>
    <sheet name="zał.3" sheetId="113" r:id="rId3"/>
    <sheet name="zał.4" sheetId="114" r:id="rId4"/>
    <sheet name="zał.5" sheetId="119" r:id="rId5"/>
    <sheet name="zał.6" sheetId="116" r:id="rId6"/>
    <sheet name=" zał.7" sheetId="117" r:id="rId7"/>
    <sheet name="zał.8 " sheetId="118" r:id="rId8"/>
    <sheet name="zał.9" sheetId="115" r:id="rId9"/>
    <sheet name="zał.10" sheetId="120" r:id="rId10"/>
    <sheet name="zał.11" sheetId="123" r:id="rId11"/>
    <sheet name="zał.12" sheetId="121" r:id="rId12"/>
    <sheet name="zał.13" sheetId="122" r:id="rId13"/>
    <sheet name="zał.14" sheetId="124" r:id="rId14"/>
  </sheets>
  <definedNames>
    <definedName name="_xlnm.Print_Area" localSheetId="0">zał.1!$A$1:$Q$167</definedName>
    <definedName name="_xlnm.Print_Area" localSheetId="10">zał.11!$A$1:$K$218</definedName>
    <definedName name="_xlnm.Print_Area" localSheetId="1">zał.2!$A$1:$G$73</definedName>
    <definedName name="_xlnm.Print_Area" localSheetId="4">zał.5!$A$1:$F$64</definedName>
    <definedName name="_xlnm.Print_Area" localSheetId="5">zał.6!$A$1:$X$164</definedName>
    <definedName name="_xlnm.Print_Titles" localSheetId="6">' zał.7'!$7:$13</definedName>
    <definedName name="_xlnm.Print_Titles" localSheetId="0">zał.1!$7:$11</definedName>
    <definedName name="_xlnm.Print_Titles" localSheetId="9">zał.10!$6:$9</definedName>
    <definedName name="_xlnm.Print_Titles" localSheetId="10">zał.11!$7:$9</definedName>
    <definedName name="_xlnm.Print_Titles" localSheetId="11">zał.12!$6:$8</definedName>
    <definedName name="_xlnm.Print_Titles" localSheetId="12">zał.13!$7:$9</definedName>
    <definedName name="_xlnm.Print_Titles" localSheetId="1">zał.2!$7:$8</definedName>
    <definedName name="_xlnm.Print_Titles" localSheetId="2">zał.3!$7:$11</definedName>
    <definedName name="_xlnm.Print_Titles" localSheetId="3">zał.4!$7:$9</definedName>
    <definedName name="_xlnm.Print_Titles" localSheetId="5">zał.6!$7:$13</definedName>
    <definedName name="_xlnm.Print_Titles" localSheetId="7">'zał.8 '!$7:$13</definedName>
    <definedName name="_xlnm.Print_Titles" localSheetId="8">zał.9!$7:$11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24" l="1"/>
  <c r="G63" i="124"/>
  <c r="F63" i="124"/>
  <c r="E63" i="124"/>
  <c r="H60" i="124"/>
  <c r="G60" i="124"/>
  <c r="F60" i="124"/>
  <c r="E60" i="124"/>
  <c r="H57" i="124"/>
  <c r="G57" i="124"/>
  <c r="F57" i="124"/>
  <c r="E57" i="124"/>
  <c r="E51" i="124" s="1"/>
  <c r="H54" i="124"/>
  <c r="G54" i="124"/>
  <c r="F54" i="124"/>
  <c r="E54" i="124"/>
  <c r="H51" i="124"/>
  <c r="G51" i="124"/>
  <c r="F51" i="124"/>
  <c r="H50" i="124"/>
  <c r="G50" i="124"/>
  <c r="F50" i="124"/>
  <c r="E50" i="124"/>
  <c r="H49" i="124"/>
  <c r="G49" i="124"/>
  <c r="F49" i="124"/>
  <c r="E49" i="124"/>
  <c r="H48" i="124"/>
  <c r="G48" i="124"/>
  <c r="F48" i="124"/>
  <c r="E48" i="124"/>
  <c r="H45" i="124"/>
  <c r="H42" i="124" s="1"/>
  <c r="G45" i="124"/>
  <c r="G42" i="124" s="1"/>
  <c r="F45" i="124"/>
  <c r="F42" i="124" s="1"/>
  <c r="E45" i="124"/>
  <c r="E42" i="124" s="1"/>
  <c r="H41" i="124"/>
  <c r="H65" i="124" s="1"/>
  <c r="G41" i="124"/>
  <c r="F41" i="124"/>
  <c r="E41" i="124"/>
  <c r="E65" i="124" s="1"/>
  <c r="H40" i="124"/>
  <c r="H64" i="124" s="1"/>
  <c r="G40" i="124"/>
  <c r="F40" i="124"/>
  <c r="E40" i="124"/>
  <c r="E64" i="124" s="1"/>
  <c r="H39" i="124"/>
  <c r="G39" i="124"/>
  <c r="F39" i="124"/>
  <c r="E39" i="124"/>
  <c r="H36" i="124"/>
  <c r="G36" i="124"/>
  <c r="F36" i="124"/>
  <c r="E36" i="124"/>
  <c r="H33" i="124"/>
  <c r="G33" i="124"/>
  <c r="F33" i="124"/>
  <c r="E33" i="124"/>
  <c r="H30" i="124"/>
  <c r="G30" i="124"/>
  <c r="F30" i="124"/>
  <c r="E30" i="124"/>
  <c r="E66" i="124" s="1"/>
  <c r="G27" i="124"/>
  <c r="F27" i="124"/>
  <c r="G24" i="124"/>
  <c r="G21" i="124" s="1"/>
  <c r="F24" i="124"/>
  <c r="F21" i="124" s="1"/>
  <c r="G20" i="124"/>
  <c r="G65" i="124" s="1"/>
  <c r="F20" i="124"/>
  <c r="F65" i="124" s="1"/>
  <c r="G19" i="124"/>
  <c r="G64" i="124" s="1"/>
  <c r="F19" i="124"/>
  <c r="F64" i="124" s="1"/>
  <c r="H18" i="124"/>
  <c r="G18" i="124"/>
  <c r="F18" i="124"/>
  <c r="E18" i="124"/>
  <c r="H15" i="124"/>
  <c r="G15" i="124"/>
  <c r="F15" i="124"/>
  <c r="E15" i="124"/>
  <c r="H12" i="124"/>
  <c r="G12" i="124"/>
  <c r="F12" i="124"/>
  <c r="E12" i="124"/>
  <c r="F66" i="124" l="1"/>
  <c r="G66" i="124"/>
  <c r="H66" i="124"/>
  <c r="K217" i="123"/>
  <c r="K216" i="123"/>
  <c r="K215" i="123"/>
  <c r="K214" i="123"/>
  <c r="K213" i="123"/>
  <c r="K212" i="123"/>
  <c r="K211" i="123"/>
  <c r="K210" i="123"/>
  <c r="K209" i="123"/>
  <c r="K208" i="123"/>
  <c r="K207" i="123"/>
  <c r="K206" i="123"/>
  <c r="J205" i="123"/>
  <c r="I205" i="123"/>
  <c r="H205" i="123"/>
  <c r="K205" i="123" s="1"/>
  <c r="J204" i="123"/>
  <c r="I204" i="123"/>
  <c r="H204" i="123"/>
  <c r="G204" i="123"/>
  <c r="F204" i="123"/>
  <c r="E204" i="123"/>
  <c r="D204" i="123"/>
  <c r="K203" i="123"/>
  <c r="K202" i="123"/>
  <c r="K201" i="123" s="1"/>
  <c r="J201" i="123"/>
  <c r="I201" i="123"/>
  <c r="H201" i="123"/>
  <c r="K200" i="123"/>
  <c r="K199" i="123"/>
  <c r="J198" i="123"/>
  <c r="I198" i="123"/>
  <c r="H198" i="123"/>
  <c r="K197" i="123"/>
  <c r="K196" i="123" s="1"/>
  <c r="J196" i="123"/>
  <c r="I196" i="123"/>
  <c r="H196" i="123"/>
  <c r="G195" i="123"/>
  <c r="G194" i="123"/>
  <c r="F194" i="123"/>
  <c r="E194" i="123"/>
  <c r="D194" i="123"/>
  <c r="K193" i="123"/>
  <c r="K192" i="123"/>
  <c r="K191" i="123" s="1"/>
  <c r="J191" i="123"/>
  <c r="I191" i="123"/>
  <c r="H191" i="123"/>
  <c r="K190" i="123"/>
  <c r="K189" i="123" s="1"/>
  <c r="J189" i="123"/>
  <c r="I189" i="123"/>
  <c r="H189" i="123"/>
  <c r="K188" i="123"/>
  <c r="K187" i="123"/>
  <c r="K186" i="123" s="1"/>
  <c r="J186" i="123"/>
  <c r="I186" i="123"/>
  <c r="H186" i="123"/>
  <c r="K185" i="123"/>
  <c r="K183" i="123" s="1"/>
  <c r="K184" i="123"/>
  <c r="J183" i="123"/>
  <c r="I183" i="123"/>
  <c r="H183" i="123"/>
  <c r="K182" i="123"/>
  <c r="K181" i="123"/>
  <c r="K180" i="123" s="1"/>
  <c r="J180" i="123"/>
  <c r="I180" i="123"/>
  <c r="H180" i="123"/>
  <c r="K179" i="123"/>
  <c r="K178" i="123" s="1"/>
  <c r="J178" i="123"/>
  <c r="I178" i="123"/>
  <c r="H178" i="123"/>
  <c r="K177" i="123"/>
  <c r="K176" i="123"/>
  <c r="K175" i="123" s="1"/>
  <c r="J175" i="123"/>
  <c r="I175" i="123"/>
  <c r="H175" i="123"/>
  <c r="G174" i="123"/>
  <c r="G173" i="123" s="1"/>
  <c r="F173" i="123"/>
  <c r="E173" i="123"/>
  <c r="D173" i="123"/>
  <c r="K172" i="123"/>
  <c r="K171" i="123"/>
  <c r="K170" i="123"/>
  <c r="J169" i="123"/>
  <c r="I169" i="123"/>
  <c r="H169" i="123"/>
  <c r="G168" i="123"/>
  <c r="G167" i="123" s="1"/>
  <c r="F167" i="123"/>
  <c r="E167" i="123"/>
  <c r="E162" i="123" s="1"/>
  <c r="D167" i="123"/>
  <c r="K166" i="123"/>
  <c r="K165" i="123" s="1"/>
  <c r="J165" i="123"/>
  <c r="I165" i="123"/>
  <c r="H165" i="123"/>
  <c r="G164" i="123"/>
  <c r="G163" i="123"/>
  <c r="F163" i="123"/>
  <c r="E163" i="123"/>
  <c r="D163" i="123"/>
  <c r="K161" i="123"/>
  <c r="K160" i="123"/>
  <c r="K159" i="123"/>
  <c r="K158" i="123"/>
  <c r="K157" i="123"/>
  <c r="K156" i="123"/>
  <c r="K155" i="123"/>
  <c r="K154" i="123"/>
  <c r="J153" i="123"/>
  <c r="I153" i="123"/>
  <c r="H153" i="123"/>
  <c r="H150" i="123" s="1"/>
  <c r="K152" i="123"/>
  <c r="G152" i="123"/>
  <c r="K151" i="123"/>
  <c r="D151" i="123"/>
  <c r="G151" i="123" s="1"/>
  <c r="G150" i="123" s="1"/>
  <c r="J150" i="123"/>
  <c r="K149" i="123"/>
  <c r="H148" i="123"/>
  <c r="K148" i="123" s="1"/>
  <c r="K145" i="123" s="1"/>
  <c r="K147" i="123"/>
  <c r="G147" i="123"/>
  <c r="K146" i="123"/>
  <c r="D146" i="123"/>
  <c r="D145" i="123" s="1"/>
  <c r="J145" i="123"/>
  <c r="I145" i="123"/>
  <c r="K144" i="123"/>
  <c r="H143" i="123"/>
  <c r="K143" i="123" s="1"/>
  <c r="K140" i="123" s="1"/>
  <c r="K142" i="123"/>
  <c r="G142" i="123"/>
  <c r="K141" i="123"/>
  <c r="D141" i="123"/>
  <c r="G141" i="123" s="1"/>
  <c r="G140" i="123" s="1"/>
  <c r="J140" i="123"/>
  <c r="I140" i="123"/>
  <c r="D140" i="123"/>
  <c r="K139" i="123"/>
  <c r="J138" i="123"/>
  <c r="J135" i="123" s="1"/>
  <c r="I138" i="123"/>
  <c r="H138" i="123"/>
  <c r="H135" i="123" s="1"/>
  <c r="G137" i="123"/>
  <c r="D136" i="123"/>
  <c r="G136" i="123" s="1"/>
  <c r="G135" i="123" s="1"/>
  <c r="F135" i="123"/>
  <c r="E135" i="123"/>
  <c r="K134" i="123"/>
  <c r="K133" i="123"/>
  <c r="K132" i="123"/>
  <c r="J131" i="123"/>
  <c r="J128" i="123" s="1"/>
  <c r="I131" i="123"/>
  <c r="I128" i="123" s="1"/>
  <c r="H131" i="123"/>
  <c r="H128" i="123" s="1"/>
  <c r="G130" i="123"/>
  <c r="D129" i="123"/>
  <c r="G129" i="123" s="1"/>
  <c r="G128" i="123" s="1"/>
  <c r="F128" i="123"/>
  <c r="E128" i="123"/>
  <c r="K127" i="123"/>
  <c r="K126" i="123"/>
  <c r="K125" i="123"/>
  <c r="K124" i="123"/>
  <c r="K123" i="123"/>
  <c r="K122" i="123"/>
  <c r="K121" i="123"/>
  <c r="J120" i="123"/>
  <c r="I120" i="123"/>
  <c r="H120" i="123"/>
  <c r="G119" i="123"/>
  <c r="D118" i="123"/>
  <c r="G118" i="123" s="1"/>
  <c r="K117" i="123"/>
  <c r="K116" i="123"/>
  <c r="K115" i="123"/>
  <c r="K114" i="123"/>
  <c r="K113" i="123"/>
  <c r="K112" i="123"/>
  <c r="K111" i="123"/>
  <c r="K110" i="123"/>
  <c r="J109" i="123"/>
  <c r="I109" i="123"/>
  <c r="H109" i="123"/>
  <c r="G108" i="123"/>
  <c r="D107" i="123"/>
  <c r="K105" i="123"/>
  <c r="K104" i="123"/>
  <c r="K103" i="123"/>
  <c r="K102" i="123"/>
  <c r="K101" i="123"/>
  <c r="K100" i="123"/>
  <c r="K99" i="123"/>
  <c r="K98" i="123"/>
  <c r="K97" i="123"/>
  <c r="J96" i="123"/>
  <c r="J93" i="123" s="1"/>
  <c r="I96" i="123"/>
  <c r="I93" i="123" s="1"/>
  <c r="H96" i="123"/>
  <c r="H93" i="123" s="1"/>
  <c r="G95" i="123"/>
  <c r="D94" i="123"/>
  <c r="D93" i="123" s="1"/>
  <c r="K92" i="123"/>
  <c r="K91" i="123"/>
  <c r="K90" i="123"/>
  <c r="K89" i="123"/>
  <c r="K88" i="123"/>
  <c r="K87" i="123"/>
  <c r="K86" i="123"/>
  <c r="K85" i="123"/>
  <c r="K84" i="123"/>
  <c r="K83" i="123"/>
  <c r="J82" i="123"/>
  <c r="I82" i="123"/>
  <c r="H82" i="123"/>
  <c r="H79" i="123" s="1"/>
  <c r="G81" i="123"/>
  <c r="F80" i="123"/>
  <c r="E80" i="123"/>
  <c r="D80" i="123"/>
  <c r="D79" i="123" s="1"/>
  <c r="J79" i="123"/>
  <c r="E79" i="123"/>
  <c r="K78" i="123"/>
  <c r="J77" i="123"/>
  <c r="I77" i="123"/>
  <c r="H77" i="123"/>
  <c r="K76" i="123"/>
  <c r="J75" i="123"/>
  <c r="I75" i="123"/>
  <c r="H75" i="123"/>
  <c r="K74" i="123"/>
  <c r="J73" i="123"/>
  <c r="I73" i="123"/>
  <c r="H73" i="123"/>
  <c r="K72" i="123"/>
  <c r="J71" i="123"/>
  <c r="I71" i="123"/>
  <c r="H71" i="123"/>
  <c r="K70" i="123"/>
  <c r="K69" i="123"/>
  <c r="K68" i="123" s="1"/>
  <c r="J68" i="123"/>
  <c r="I68" i="123"/>
  <c r="H68" i="123"/>
  <c r="K67" i="123"/>
  <c r="K66" i="123"/>
  <c r="K65" i="123"/>
  <c r="K64" i="123"/>
  <c r="J63" i="123"/>
  <c r="I63" i="123"/>
  <c r="H63" i="123"/>
  <c r="K62" i="123"/>
  <c r="J61" i="123"/>
  <c r="I61" i="123"/>
  <c r="H61" i="123"/>
  <c r="K61" i="123" s="1"/>
  <c r="K60" i="123"/>
  <c r="J59" i="123"/>
  <c r="I59" i="123"/>
  <c r="H59" i="123"/>
  <c r="K58" i="123"/>
  <c r="J57" i="123"/>
  <c r="I57" i="123"/>
  <c r="H57" i="123"/>
  <c r="K57" i="123" s="1"/>
  <c r="K56" i="123"/>
  <c r="K55" i="123"/>
  <c r="K54" i="123"/>
  <c r="K53" i="123"/>
  <c r="J52" i="123"/>
  <c r="I52" i="123"/>
  <c r="H52" i="123"/>
  <c r="G51" i="123"/>
  <c r="D50" i="123"/>
  <c r="D49" i="123" s="1"/>
  <c r="F49" i="123"/>
  <c r="E49" i="123"/>
  <c r="K48" i="123"/>
  <c r="J47" i="123"/>
  <c r="I47" i="123"/>
  <c r="I42" i="123" s="1"/>
  <c r="H47" i="123"/>
  <c r="H42" i="123" s="1"/>
  <c r="K42" i="123" s="1"/>
  <c r="K46" i="123"/>
  <c r="K45" i="123"/>
  <c r="H45" i="123"/>
  <c r="G44" i="123"/>
  <c r="F43" i="123"/>
  <c r="E43" i="123"/>
  <c r="D43" i="123"/>
  <c r="J42" i="123"/>
  <c r="F42" i="123"/>
  <c r="E42" i="123"/>
  <c r="D42" i="123"/>
  <c r="K41" i="123"/>
  <c r="H40" i="123"/>
  <c r="K40" i="123" s="1"/>
  <c r="K39" i="123"/>
  <c r="H38" i="123"/>
  <c r="K38" i="123" s="1"/>
  <c r="K37" i="123"/>
  <c r="H36" i="123"/>
  <c r="K36" i="123" s="1"/>
  <c r="K35" i="123"/>
  <c r="H34" i="123"/>
  <c r="K34" i="123" s="1"/>
  <c r="G33" i="123"/>
  <c r="F32" i="123"/>
  <c r="E32" i="123"/>
  <c r="D32" i="123"/>
  <c r="G32" i="123" s="1"/>
  <c r="G31" i="123" s="1"/>
  <c r="J31" i="123"/>
  <c r="I31" i="123"/>
  <c r="F31" i="123"/>
  <c r="E31" i="123"/>
  <c r="K30" i="123"/>
  <c r="H29" i="123"/>
  <c r="K29" i="123" s="1"/>
  <c r="K28" i="123"/>
  <c r="G28" i="123"/>
  <c r="K27" i="123"/>
  <c r="D27" i="123"/>
  <c r="G27" i="123" s="1"/>
  <c r="G26" i="123" s="1"/>
  <c r="K25" i="123"/>
  <c r="K24" i="123"/>
  <c r="K23" i="123"/>
  <c r="K22" i="123"/>
  <c r="K21" i="123"/>
  <c r="K20" i="123"/>
  <c r="K19" i="123"/>
  <c r="K18" i="123"/>
  <c r="K17" i="123"/>
  <c r="K16" i="123"/>
  <c r="K15" i="123"/>
  <c r="J14" i="123"/>
  <c r="I14" i="123"/>
  <c r="H14" i="123"/>
  <c r="H10" i="123" s="1"/>
  <c r="G13" i="123"/>
  <c r="G12" i="123"/>
  <c r="F11" i="123"/>
  <c r="F10" i="123" s="1"/>
  <c r="E11" i="123"/>
  <c r="D11" i="123"/>
  <c r="I10" i="123"/>
  <c r="E10" i="123"/>
  <c r="D10" i="123"/>
  <c r="G43" i="123" l="1"/>
  <c r="H140" i="123"/>
  <c r="G11" i="123"/>
  <c r="D106" i="123"/>
  <c r="K120" i="123"/>
  <c r="D150" i="123"/>
  <c r="K82" i="123"/>
  <c r="G162" i="123"/>
  <c r="D128" i="123"/>
  <c r="I162" i="123"/>
  <c r="K109" i="123"/>
  <c r="D162" i="123"/>
  <c r="G94" i="123"/>
  <c r="G93" i="123" s="1"/>
  <c r="H145" i="123"/>
  <c r="K169" i="123"/>
  <c r="K162" i="123" s="1"/>
  <c r="J162" i="123"/>
  <c r="K198" i="123"/>
  <c r="K77" i="123"/>
  <c r="K14" i="123"/>
  <c r="H49" i="123"/>
  <c r="K75" i="123"/>
  <c r="I106" i="123"/>
  <c r="K153" i="123"/>
  <c r="K71" i="123"/>
  <c r="K93" i="123"/>
  <c r="J106" i="123"/>
  <c r="K138" i="123"/>
  <c r="G50" i="123"/>
  <c r="G49" i="123" s="1"/>
  <c r="K31" i="123"/>
  <c r="J49" i="123"/>
  <c r="D135" i="123"/>
  <c r="H162" i="123"/>
  <c r="G42" i="123"/>
  <c r="E218" i="123"/>
  <c r="K63" i="123"/>
  <c r="K204" i="123"/>
  <c r="G10" i="123"/>
  <c r="K59" i="123"/>
  <c r="K73" i="123"/>
  <c r="K128" i="123"/>
  <c r="F162" i="123"/>
  <c r="F218" i="123" s="1"/>
  <c r="K135" i="123"/>
  <c r="D31" i="123"/>
  <c r="K96" i="123"/>
  <c r="I49" i="123"/>
  <c r="K131" i="123"/>
  <c r="D26" i="123"/>
  <c r="D218" i="123" s="1"/>
  <c r="H31" i="123"/>
  <c r="K47" i="123"/>
  <c r="K52" i="123"/>
  <c r="G80" i="123"/>
  <c r="G79" i="123" s="1"/>
  <c r="H106" i="123"/>
  <c r="I135" i="123"/>
  <c r="G146" i="123"/>
  <c r="G145" i="123" s="1"/>
  <c r="J10" i="123"/>
  <c r="J218" i="123" s="1"/>
  <c r="H26" i="123"/>
  <c r="K26" i="123" s="1"/>
  <c r="I79" i="123"/>
  <c r="K79" i="123" s="1"/>
  <c r="I150" i="123"/>
  <c r="K150" i="123" s="1"/>
  <c r="G107" i="123"/>
  <c r="G106" i="123" s="1"/>
  <c r="G218" i="123" l="1"/>
  <c r="I218" i="123"/>
  <c r="K106" i="123"/>
  <c r="K49" i="123"/>
  <c r="H218" i="123"/>
  <c r="K10" i="123"/>
  <c r="K218" i="123" s="1"/>
  <c r="G151" i="122" l="1"/>
  <c r="F151" i="122"/>
  <c r="G148" i="122"/>
  <c r="F148" i="122"/>
  <c r="G145" i="122"/>
  <c r="F145" i="122"/>
  <c r="G142" i="122"/>
  <c r="F142" i="122"/>
  <c r="G139" i="122"/>
  <c r="F139" i="122"/>
  <c r="G136" i="122"/>
  <c r="F136" i="122"/>
  <c r="G133" i="122"/>
  <c r="F133" i="122"/>
  <c r="G130" i="122"/>
  <c r="F130" i="122"/>
  <c r="G127" i="122"/>
  <c r="F127" i="122"/>
  <c r="G124" i="122"/>
  <c r="F124" i="122"/>
  <c r="G121" i="122"/>
  <c r="F121" i="122"/>
  <c r="G118" i="122"/>
  <c r="F118" i="122"/>
  <c r="G115" i="122"/>
  <c r="F115" i="122"/>
  <c r="G112" i="122"/>
  <c r="F112" i="122"/>
  <c r="G109" i="122"/>
  <c r="F109" i="122"/>
  <c r="G106" i="122"/>
  <c r="F106" i="122"/>
  <c r="G103" i="122"/>
  <c r="F103" i="122"/>
  <c r="G100" i="122"/>
  <c r="F100" i="122"/>
  <c r="G97" i="122"/>
  <c r="F97" i="122"/>
  <c r="G94" i="122"/>
  <c r="F94" i="122"/>
  <c r="G91" i="122"/>
  <c r="F91" i="122"/>
  <c r="G88" i="122"/>
  <c r="F88" i="122"/>
  <c r="G85" i="122"/>
  <c r="F85" i="122"/>
  <c r="G82" i="122"/>
  <c r="F82" i="122"/>
  <c r="G79" i="122"/>
  <c r="F79" i="122"/>
  <c r="G76" i="122"/>
  <c r="F76" i="122"/>
  <c r="G73" i="122"/>
  <c r="F73" i="122"/>
  <c r="G70" i="122"/>
  <c r="F70" i="122"/>
  <c r="G67" i="122"/>
  <c r="F67" i="122"/>
  <c r="G64" i="122"/>
  <c r="F64" i="122"/>
  <c r="G61" i="122"/>
  <c r="F61" i="122"/>
  <c r="G58" i="122"/>
  <c r="F58" i="122"/>
  <c r="G55" i="122"/>
  <c r="F55" i="122"/>
  <c r="G52" i="122"/>
  <c r="F52" i="122"/>
  <c r="G49" i="122"/>
  <c r="F49" i="122"/>
  <c r="G46" i="122"/>
  <c r="F46" i="122"/>
  <c r="G43" i="122"/>
  <c r="F43" i="122"/>
  <c r="G40" i="122"/>
  <c r="F40" i="122"/>
  <c r="G37" i="122"/>
  <c r="F37" i="122"/>
  <c r="G34" i="122"/>
  <c r="F34" i="122"/>
  <c r="G31" i="122"/>
  <c r="F31" i="122"/>
  <c r="G28" i="122"/>
  <c r="F28" i="122"/>
  <c r="G25" i="122"/>
  <c r="F25" i="122"/>
  <c r="G22" i="122"/>
  <c r="F22" i="122"/>
  <c r="G19" i="122"/>
  <c r="F19" i="122"/>
  <c r="G16" i="122"/>
  <c r="F16" i="122"/>
  <c r="G11" i="122"/>
  <c r="F11" i="122"/>
  <c r="G10" i="122"/>
  <c r="F10" i="122"/>
  <c r="G32" i="121"/>
  <c r="F32" i="121"/>
  <c r="G29" i="121"/>
  <c r="F29" i="121"/>
  <c r="G26" i="121"/>
  <c r="F26" i="121"/>
  <c r="G23" i="121"/>
  <c r="F23" i="121"/>
  <c r="G20" i="121"/>
  <c r="F20" i="121"/>
  <c r="G17" i="121"/>
  <c r="F17" i="121"/>
  <c r="G14" i="121"/>
  <c r="G11" i="121" s="1"/>
  <c r="F14" i="121"/>
  <c r="F11" i="121" s="1"/>
  <c r="G10" i="121"/>
  <c r="F10" i="121"/>
  <c r="G9" i="121"/>
  <c r="F9" i="121"/>
  <c r="N685" i="120"/>
  <c r="M685" i="120"/>
  <c r="L685" i="120" s="1"/>
  <c r="K685" i="120"/>
  <c r="J685" i="120"/>
  <c r="I685" i="120" s="1"/>
  <c r="L684" i="120"/>
  <c r="I684" i="120"/>
  <c r="H684" i="120" s="1"/>
  <c r="L683" i="120"/>
  <c r="I683" i="120"/>
  <c r="H683" i="120" s="1"/>
  <c r="N682" i="120"/>
  <c r="M682" i="120"/>
  <c r="L682" i="120" s="1"/>
  <c r="K682" i="120"/>
  <c r="J682" i="120"/>
  <c r="I682" i="120" s="1"/>
  <c r="H682" i="120"/>
  <c r="L681" i="120"/>
  <c r="I681" i="120"/>
  <c r="H681" i="120" s="1"/>
  <c r="L680" i="120"/>
  <c r="I680" i="120"/>
  <c r="H680" i="120" s="1"/>
  <c r="N679" i="120"/>
  <c r="M679" i="120"/>
  <c r="L679" i="120"/>
  <c r="K679" i="120"/>
  <c r="J679" i="120"/>
  <c r="I679" i="120" s="1"/>
  <c r="H679" i="120" s="1"/>
  <c r="L678" i="120"/>
  <c r="I678" i="120"/>
  <c r="H678" i="120"/>
  <c r="L677" i="120"/>
  <c r="I677" i="120"/>
  <c r="H677" i="120" s="1"/>
  <c r="N676" i="120"/>
  <c r="M676" i="120"/>
  <c r="L676" i="120" s="1"/>
  <c r="K676" i="120"/>
  <c r="J676" i="120"/>
  <c r="I676" i="120" s="1"/>
  <c r="H676" i="120" s="1"/>
  <c r="L675" i="120"/>
  <c r="I675" i="120"/>
  <c r="H675" i="120"/>
  <c r="L674" i="120"/>
  <c r="I674" i="120"/>
  <c r="H674" i="120"/>
  <c r="N673" i="120"/>
  <c r="M673" i="120"/>
  <c r="K673" i="120"/>
  <c r="J673" i="120"/>
  <c r="I673" i="120" s="1"/>
  <c r="L672" i="120"/>
  <c r="I672" i="120"/>
  <c r="H672" i="120" s="1"/>
  <c r="L671" i="120"/>
  <c r="I671" i="120"/>
  <c r="H671" i="120"/>
  <c r="N670" i="120"/>
  <c r="M670" i="120"/>
  <c r="L670" i="120"/>
  <c r="K670" i="120"/>
  <c r="J670" i="120"/>
  <c r="I670" i="120" s="1"/>
  <c r="H670" i="120" s="1"/>
  <c r="L669" i="120"/>
  <c r="H669" i="120" s="1"/>
  <c r="I669" i="120"/>
  <c r="L668" i="120"/>
  <c r="I668" i="120"/>
  <c r="N667" i="120"/>
  <c r="M667" i="120"/>
  <c r="L667" i="120"/>
  <c r="K667" i="120"/>
  <c r="J667" i="120"/>
  <c r="I667" i="120"/>
  <c r="H667" i="120" s="1"/>
  <c r="L666" i="120"/>
  <c r="I666" i="120"/>
  <c r="H666" i="120" s="1"/>
  <c r="L665" i="120"/>
  <c r="I665" i="120"/>
  <c r="H665" i="120" s="1"/>
  <c r="N664" i="120"/>
  <c r="M664" i="120"/>
  <c r="L664" i="120" s="1"/>
  <c r="K664" i="120"/>
  <c r="J664" i="120"/>
  <c r="I664" i="120"/>
  <c r="L663" i="120"/>
  <c r="I663" i="120"/>
  <c r="H663" i="120"/>
  <c r="L662" i="120"/>
  <c r="I662" i="120"/>
  <c r="H662" i="120" s="1"/>
  <c r="N661" i="120"/>
  <c r="M661" i="120"/>
  <c r="L661" i="120" s="1"/>
  <c r="K661" i="120"/>
  <c r="J661" i="120"/>
  <c r="I661" i="120" s="1"/>
  <c r="L660" i="120"/>
  <c r="I660" i="120"/>
  <c r="H660" i="120" s="1"/>
  <c r="L659" i="120"/>
  <c r="I659" i="120"/>
  <c r="H659" i="120" s="1"/>
  <c r="N658" i="120"/>
  <c r="M658" i="120"/>
  <c r="L658" i="120" s="1"/>
  <c r="H658" i="120" s="1"/>
  <c r="K658" i="120"/>
  <c r="J658" i="120"/>
  <c r="I658" i="120" s="1"/>
  <c r="L657" i="120"/>
  <c r="I657" i="120"/>
  <c r="H657" i="120" s="1"/>
  <c r="L656" i="120"/>
  <c r="I656" i="120"/>
  <c r="H656" i="120" s="1"/>
  <c r="N655" i="120"/>
  <c r="M655" i="120"/>
  <c r="L655" i="120" s="1"/>
  <c r="K655" i="120"/>
  <c r="J655" i="120"/>
  <c r="I655" i="120" s="1"/>
  <c r="L654" i="120"/>
  <c r="I654" i="120"/>
  <c r="H654" i="120"/>
  <c r="L653" i="120"/>
  <c r="H653" i="120" s="1"/>
  <c r="I653" i="120"/>
  <c r="N652" i="120"/>
  <c r="M652" i="120"/>
  <c r="L652" i="120" s="1"/>
  <c r="K652" i="120"/>
  <c r="J652" i="120"/>
  <c r="I652" i="120"/>
  <c r="H652" i="120" s="1"/>
  <c r="L651" i="120"/>
  <c r="I651" i="120"/>
  <c r="H651" i="120"/>
  <c r="L650" i="120"/>
  <c r="I650" i="120"/>
  <c r="H650" i="120"/>
  <c r="N649" i="120"/>
  <c r="M649" i="120"/>
  <c r="L649" i="120" s="1"/>
  <c r="K649" i="120"/>
  <c r="J649" i="120"/>
  <c r="I649" i="120" s="1"/>
  <c r="L648" i="120"/>
  <c r="I648" i="120"/>
  <c r="L647" i="120"/>
  <c r="I647" i="120"/>
  <c r="H647" i="120"/>
  <c r="N646" i="120"/>
  <c r="M646" i="120"/>
  <c r="L646" i="120"/>
  <c r="K646" i="120"/>
  <c r="J646" i="120"/>
  <c r="L645" i="120"/>
  <c r="H645" i="120" s="1"/>
  <c r="I645" i="120"/>
  <c r="L644" i="120"/>
  <c r="I644" i="120"/>
  <c r="H644" i="120" s="1"/>
  <c r="N643" i="120"/>
  <c r="M643" i="120"/>
  <c r="L643" i="120"/>
  <c r="K643" i="120"/>
  <c r="J643" i="120"/>
  <c r="I643" i="120"/>
  <c r="H643" i="120"/>
  <c r="L642" i="120"/>
  <c r="I642" i="120"/>
  <c r="H642" i="120"/>
  <c r="L641" i="120"/>
  <c r="H641" i="120" s="1"/>
  <c r="I641" i="120"/>
  <c r="N640" i="120"/>
  <c r="M640" i="120"/>
  <c r="L640" i="120" s="1"/>
  <c r="K640" i="120"/>
  <c r="J640" i="120"/>
  <c r="I640" i="120" s="1"/>
  <c r="H640" i="120" s="1"/>
  <c r="L639" i="120"/>
  <c r="I639" i="120"/>
  <c r="H639" i="120"/>
  <c r="L638" i="120"/>
  <c r="I638" i="120"/>
  <c r="H638" i="120"/>
  <c r="N637" i="120"/>
  <c r="M637" i="120"/>
  <c r="L637" i="120" s="1"/>
  <c r="K637" i="120"/>
  <c r="J637" i="120"/>
  <c r="L636" i="120"/>
  <c r="I636" i="120"/>
  <c r="H636" i="120" s="1"/>
  <c r="L635" i="120"/>
  <c r="I635" i="120"/>
  <c r="H635" i="120"/>
  <c r="N634" i="120"/>
  <c r="M634" i="120"/>
  <c r="L634" i="120"/>
  <c r="K634" i="120"/>
  <c r="J634" i="120"/>
  <c r="I634" i="120" s="1"/>
  <c r="H634" i="120"/>
  <c r="L633" i="120"/>
  <c r="I633" i="120"/>
  <c r="H633" i="120" s="1"/>
  <c r="L632" i="120"/>
  <c r="I632" i="120"/>
  <c r="H632" i="120" s="1"/>
  <c r="N631" i="120"/>
  <c r="M631" i="120"/>
  <c r="L631" i="120" s="1"/>
  <c r="K631" i="120"/>
  <c r="J631" i="120"/>
  <c r="I631" i="120"/>
  <c r="H631" i="120" s="1"/>
  <c r="L630" i="120"/>
  <c r="I630" i="120"/>
  <c r="H630" i="120"/>
  <c r="L629" i="120"/>
  <c r="I629" i="120"/>
  <c r="N628" i="120"/>
  <c r="M628" i="120"/>
  <c r="L628" i="120" s="1"/>
  <c r="K628" i="120"/>
  <c r="J628" i="120"/>
  <c r="I628" i="120"/>
  <c r="H628" i="120" s="1"/>
  <c r="L627" i="120"/>
  <c r="I627" i="120"/>
  <c r="H627" i="120"/>
  <c r="L626" i="120"/>
  <c r="I626" i="120"/>
  <c r="H626" i="120"/>
  <c r="N625" i="120"/>
  <c r="M625" i="120"/>
  <c r="L625" i="120" s="1"/>
  <c r="K625" i="120"/>
  <c r="J625" i="120"/>
  <c r="I625" i="120" s="1"/>
  <c r="L624" i="120"/>
  <c r="I624" i="120"/>
  <c r="H624" i="120" s="1"/>
  <c r="L623" i="120"/>
  <c r="I623" i="120"/>
  <c r="H623" i="120" s="1"/>
  <c r="N622" i="120"/>
  <c r="M622" i="120"/>
  <c r="L622" i="120"/>
  <c r="K622" i="120"/>
  <c r="J622" i="120"/>
  <c r="L621" i="120"/>
  <c r="I621" i="120"/>
  <c r="H621" i="120"/>
  <c r="L620" i="120"/>
  <c r="I620" i="120"/>
  <c r="H620" i="120" s="1"/>
  <c r="N619" i="120"/>
  <c r="M619" i="120"/>
  <c r="L619" i="120"/>
  <c r="K619" i="120"/>
  <c r="J619" i="120"/>
  <c r="I619" i="120"/>
  <c r="H619" i="120"/>
  <c r="L618" i="120"/>
  <c r="I618" i="120"/>
  <c r="H618" i="120"/>
  <c r="L617" i="120"/>
  <c r="I617" i="120"/>
  <c r="H617" i="120" s="1"/>
  <c r="N616" i="120"/>
  <c r="M616" i="120"/>
  <c r="L616" i="120" s="1"/>
  <c r="K616" i="120"/>
  <c r="J616" i="120"/>
  <c r="I616" i="120" s="1"/>
  <c r="H616" i="120" s="1"/>
  <c r="L615" i="120"/>
  <c r="I615" i="120"/>
  <c r="H615" i="120" s="1"/>
  <c r="L614" i="120"/>
  <c r="I614" i="120"/>
  <c r="H614" i="120" s="1"/>
  <c r="N613" i="120"/>
  <c r="L613" i="120" s="1"/>
  <c r="K613" i="120"/>
  <c r="I613" i="120"/>
  <c r="H613" i="120" s="1"/>
  <c r="L612" i="120"/>
  <c r="I612" i="120"/>
  <c r="H612" i="120" s="1"/>
  <c r="L611" i="120"/>
  <c r="H611" i="120" s="1"/>
  <c r="I611" i="120"/>
  <c r="N610" i="120"/>
  <c r="M610" i="120"/>
  <c r="K610" i="120"/>
  <c r="J610" i="120"/>
  <c r="I610" i="120"/>
  <c r="L609" i="120"/>
  <c r="I609" i="120"/>
  <c r="H609" i="120"/>
  <c r="L608" i="120"/>
  <c r="I608" i="120"/>
  <c r="H608" i="120"/>
  <c r="N607" i="120"/>
  <c r="L607" i="120" s="1"/>
  <c r="M607" i="120"/>
  <c r="K607" i="120"/>
  <c r="J607" i="120"/>
  <c r="I607" i="120" s="1"/>
  <c r="L606" i="120"/>
  <c r="I606" i="120"/>
  <c r="H606" i="120" s="1"/>
  <c r="L605" i="120"/>
  <c r="I605" i="120"/>
  <c r="H605" i="120" s="1"/>
  <c r="N604" i="120"/>
  <c r="M604" i="120"/>
  <c r="L604" i="120"/>
  <c r="K604" i="120"/>
  <c r="I604" i="120" s="1"/>
  <c r="J604" i="120"/>
  <c r="H604" i="120"/>
  <c r="L603" i="120"/>
  <c r="H603" i="120" s="1"/>
  <c r="I603" i="120"/>
  <c r="L602" i="120"/>
  <c r="I602" i="120"/>
  <c r="H602" i="120" s="1"/>
  <c r="N601" i="120"/>
  <c r="M601" i="120"/>
  <c r="L601" i="120"/>
  <c r="K601" i="120"/>
  <c r="J601" i="120"/>
  <c r="I601" i="120"/>
  <c r="L600" i="120"/>
  <c r="I600" i="120"/>
  <c r="H600" i="120"/>
  <c r="L599" i="120"/>
  <c r="H599" i="120" s="1"/>
  <c r="I599" i="120"/>
  <c r="N598" i="120"/>
  <c r="M598" i="120"/>
  <c r="L598" i="120"/>
  <c r="K598" i="120"/>
  <c r="J598" i="120"/>
  <c r="I598" i="120"/>
  <c r="H598" i="120" s="1"/>
  <c r="L597" i="120"/>
  <c r="I597" i="120"/>
  <c r="H597" i="120" s="1"/>
  <c r="L596" i="120"/>
  <c r="I596" i="120"/>
  <c r="H596" i="120"/>
  <c r="N595" i="120"/>
  <c r="M595" i="120"/>
  <c r="K595" i="120"/>
  <c r="I595" i="120" s="1"/>
  <c r="J595" i="120"/>
  <c r="L594" i="120"/>
  <c r="I594" i="120"/>
  <c r="H594" i="120" s="1"/>
  <c r="L593" i="120"/>
  <c r="I593" i="120"/>
  <c r="H593" i="120" s="1"/>
  <c r="N592" i="120"/>
  <c r="M592" i="120"/>
  <c r="L592" i="120"/>
  <c r="K592" i="120"/>
  <c r="I592" i="120" s="1"/>
  <c r="H592" i="120" s="1"/>
  <c r="J592" i="120"/>
  <c r="L591" i="120"/>
  <c r="I591" i="120"/>
  <c r="H591" i="120" s="1"/>
  <c r="L590" i="120"/>
  <c r="I590" i="120"/>
  <c r="H590" i="120" s="1"/>
  <c r="N589" i="120"/>
  <c r="M589" i="120"/>
  <c r="L589" i="120" s="1"/>
  <c r="K589" i="120"/>
  <c r="J589" i="120"/>
  <c r="I589" i="120"/>
  <c r="H589" i="120" s="1"/>
  <c r="L588" i="120"/>
  <c r="I588" i="120"/>
  <c r="H588" i="120" s="1"/>
  <c r="L587" i="120"/>
  <c r="I587" i="120"/>
  <c r="H587" i="120"/>
  <c r="N586" i="120"/>
  <c r="M586" i="120"/>
  <c r="L586" i="120" s="1"/>
  <c r="K586" i="120"/>
  <c r="J586" i="120"/>
  <c r="I586" i="120" s="1"/>
  <c r="L585" i="120"/>
  <c r="I585" i="120"/>
  <c r="H585" i="120"/>
  <c r="L584" i="120"/>
  <c r="I584" i="120"/>
  <c r="H584" i="120"/>
  <c r="N583" i="120"/>
  <c r="M583" i="120"/>
  <c r="L583" i="120"/>
  <c r="K583" i="120"/>
  <c r="J583" i="120"/>
  <c r="I583" i="120" s="1"/>
  <c r="H583" i="120" s="1"/>
  <c r="L582" i="120"/>
  <c r="I582" i="120"/>
  <c r="H582" i="120" s="1"/>
  <c r="L581" i="120"/>
  <c r="I581" i="120"/>
  <c r="H581" i="120" s="1"/>
  <c r="N580" i="120"/>
  <c r="M580" i="120"/>
  <c r="L580" i="120"/>
  <c r="K580" i="120"/>
  <c r="J580" i="120"/>
  <c r="I580" i="120"/>
  <c r="H580" i="120"/>
  <c r="L579" i="120"/>
  <c r="I579" i="120"/>
  <c r="H579" i="120" s="1"/>
  <c r="L578" i="120"/>
  <c r="I578" i="120"/>
  <c r="H578" i="120" s="1"/>
  <c r="N577" i="120"/>
  <c r="M577" i="120"/>
  <c r="L577" i="120" s="1"/>
  <c r="K577" i="120"/>
  <c r="J577" i="120"/>
  <c r="I577" i="120"/>
  <c r="L576" i="120"/>
  <c r="I576" i="120"/>
  <c r="H576" i="120"/>
  <c r="L575" i="120"/>
  <c r="H575" i="120" s="1"/>
  <c r="I575" i="120"/>
  <c r="N574" i="120"/>
  <c r="M574" i="120"/>
  <c r="L574" i="120" s="1"/>
  <c r="K574" i="120"/>
  <c r="J574" i="120"/>
  <c r="I574" i="120"/>
  <c r="L573" i="120"/>
  <c r="I573" i="120"/>
  <c r="H573" i="120" s="1"/>
  <c r="L572" i="120"/>
  <c r="I572" i="120"/>
  <c r="H572" i="120"/>
  <c r="N571" i="120"/>
  <c r="L571" i="120" s="1"/>
  <c r="M571" i="120"/>
  <c r="K571" i="120"/>
  <c r="J571" i="120"/>
  <c r="I571" i="120" s="1"/>
  <c r="L570" i="120"/>
  <c r="I570" i="120"/>
  <c r="L569" i="120"/>
  <c r="I569" i="120"/>
  <c r="H569" i="120" s="1"/>
  <c r="N568" i="120"/>
  <c r="M568" i="120"/>
  <c r="L568" i="120"/>
  <c r="K568" i="120"/>
  <c r="I568" i="120" s="1"/>
  <c r="J568" i="120"/>
  <c r="L567" i="120"/>
  <c r="I567" i="120"/>
  <c r="H567" i="120"/>
  <c r="L566" i="120"/>
  <c r="I566" i="120"/>
  <c r="N565" i="120"/>
  <c r="M565" i="120"/>
  <c r="L565" i="120" s="1"/>
  <c r="K565" i="120"/>
  <c r="J565" i="120"/>
  <c r="I565" i="120"/>
  <c r="H565" i="120" s="1"/>
  <c r="L564" i="120"/>
  <c r="I564" i="120"/>
  <c r="H564" i="120" s="1"/>
  <c r="L563" i="120"/>
  <c r="I563" i="120"/>
  <c r="H563" i="120" s="1"/>
  <c r="N562" i="120"/>
  <c r="M562" i="120"/>
  <c r="K562" i="120"/>
  <c r="J562" i="120"/>
  <c r="I562" i="120" s="1"/>
  <c r="L561" i="120"/>
  <c r="I561" i="120"/>
  <c r="H561" i="120"/>
  <c r="L560" i="120"/>
  <c r="I560" i="120"/>
  <c r="H560" i="120"/>
  <c r="N559" i="120"/>
  <c r="M559" i="120"/>
  <c r="L559" i="120" s="1"/>
  <c r="K559" i="120"/>
  <c r="J559" i="120"/>
  <c r="L558" i="120"/>
  <c r="I558" i="120"/>
  <c r="H558" i="120" s="1"/>
  <c r="L557" i="120"/>
  <c r="I557" i="120"/>
  <c r="H557" i="120" s="1"/>
  <c r="N556" i="120"/>
  <c r="M556" i="120"/>
  <c r="L556" i="120"/>
  <c r="K556" i="120"/>
  <c r="J556" i="120"/>
  <c r="I556" i="120" s="1"/>
  <c r="H556" i="120"/>
  <c r="L555" i="120"/>
  <c r="H555" i="120" s="1"/>
  <c r="I555" i="120"/>
  <c r="L554" i="120"/>
  <c r="I554" i="120"/>
  <c r="H554" i="120" s="1"/>
  <c r="N553" i="120"/>
  <c r="M553" i="120"/>
  <c r="L553" i="120"/>
  <c r="K553" i="120"/>
  <c r="J553" i="120"/>
  <c r="I553" i="120" s="1"/>
  <c r="H553" i="120" s="1"/>
  <c r="L552" i="120"/>
  <c r="I552" i="120"/>
  <c r="H552" i="120"/>
  <c r="L551" i="120"/>
  <c r="H551" i="120" s="1"/>
  <c r="I551" i="120"/>
  <c r="N550" i="120"/>
  <c r="M550" i="120"/>
  <c r="L550" i="120" s="1"/>
  <c r="K550" i="120"/>
  <c r="J550" i="120"/>
  <c r="I550" i="120" s="1"/>
  <c r="L549" i="120"/>
  <c r="I549" i="120"/>
  <c r="H549" i="120" s="1"/>
  <c r="L548" i="120"/>
  <c r="I548" i="120"/>
  <c r="H548" i="120"/>
  <c r="N547" i="120"/>
  <c r="L547" i="120" s="1"/>
  <c r="M547" i="120"/>
  <c r="K547" i="120"/>
  <c r="J547" i="120"/>
  <c r="I547" i="120" s="1"/>
  <c r="L546" i="120"/>
  <c r="I546" i="120"/>
  <c r="H546" i="120" s="1"/>
  <c r="L545" i="120"/>
  <c r="I545" i="120"/>
  <c r="H545" i="120" s="1"/>
  <c r="N544" i="120"/>
  <c r="M544" i="120"/>
  <c r="L544" i="120"/>
  <c r="K544" i="120"/>
  <c r="J544" i="120"/>
  <c r="L543" i="120"/>
  <c r="H543" i="120" s="1"/>
  <c r="I543" i="120"/>
  <c r="L542" i="120"/>
  <c r="I542" i="120"/>
  <c r="N541" i="120"/>
  <c r="M541" i="120"/>
  <c r="L541" i="120"/>
  <c r="K541" i="120"/>
  <c r="J541" i="120"/>
  <c r="I541" i="120"/>
  <c r="H541" i="120"/>
  <c r="L540" i="120"/>
  <c r="I540" i="120"/>
  <c r="H540" i="120"/>
  <c r="L539" i="120"/>
  <c r="I539" i="120"/>
  <c r="H539" i="120"/>
  <c r="N538" i="120"/>
  <c r="M538" i="120"/>
  <c r="L538" i="120" s="1"/>
  <c r="K538" i="120"/>
  <c r="J538" i="120"/>
  <c r="I538" i="120" s="1"/>
  <c r="L537" i="120"/>
  <c r="I537" i="120"/>
  <c r="H537" i="120" s="1"/>
  <c r="L536" i="120"/>
  <c r="I536" i="120"/>
  <c r="H536" i="120" s="1"/>
  <c r="N535" i="120"/>
  <c r="M535" i="120"/>
  <c r="L535" i="120" s="1"/>
  <c r="K535" i="120"/>
  <c r="J535" i="120"/>
  <c r="L534" i="120"/>
  <c r="I534" i="120"/>
  <c r="H534" i="120" s="1"/>
  <c r="L533" i="120"/>
  <c r="I533" i="120"/>
  <c r="H533" i="120"/>
  <c r="N532" i="120"/>
  <c r="M532" i="120"/>
  <c r="L532" i="120" s="1"/>
  <c r="K532" i="120"/>
  <c r="J532" i="120"/>
  <c r="I532" i="120" s="1"/>
  <c r="L531" i="120"/>
  <c r="H531" i="120" s="1"/>
  <c r="I531" i="120"/>
  <c r="L530" i="120"/>
  <c r="I530" i="120"/>
  <c r="H530" i="120" s="1"/>
  <c r="N529" i="120"/>
  <c r="M529" i="120"/>
  <c r="L529" i="120"/>
  <c r="K529" i="120"/>
  <c r="J529" i="120"/>
  <c r="I529" i="120" s="1"/>
  <c r="L528" i="120"/>
  <c r="I528" i="120"/>
  <c r="H528" i="120"/>
  <c r="L527" i="120"/>
  <c r="H527" i="120" s="1"/>
  <c r="I527" i="120"/>
  <c r="N526" i="120"/>
  <c r="M526" i="120"/>
  <c r="L526" i="120" s="1"/>
  <c r="K526" i="120"/>
  <c r="J526" i="120"/>
  <c r="I526" i="120"/>
  <c r="H526" i="120" s="1"/>
  <c r="L525" i="120"/>
  <c r="I525" i="120"/>
  <c r="H525" i="120" s="1"/>
  <c r="L524" i="120"/>
  <c r="I524" i="120"/>
  <c r="H524" i="120"/>
  <c r="N523" i="120"/>
  <c r="L523" i="120" s="1"/>
  <c r="M523" i="120"/>
  <c r="K523" i="120"/>
  <c r="J523" i="120"/>
  <c r="I523" i="120" s="1"/>
  <c r="H523" i="120" s="1"/>
  <c r="L522" i="120"/>
  <c r="I522" i="120"/>
  <c r="L521" i="120"/>
  <c r="I521" i="120"/>
  <c r="H521" i="120" s="1"/>
  <c r="N520" i="120"/>
  <c r="M520" i="120"/>
  <c r="L520" i="120"/>
  <c r="K520" i="120"/>
  <c r="J520" i="120"/>
  <c r="I520" i="120" s="1"/>
  <c r="H520" i="120" s="1"/>
  <c r="L519" i="120"/>
  <c r="I519" i="120"/>
  <c r="H519" i="120" s="1"/>
  <c r="L518" i="120"/>
  <c r="I518" i="120"/>
  <c r="H518" i="120" s="1"/>
  <c r="N517" i="120"/>
  <c r="M517" i="120"/>
  <c r="L517" i="120" s="1"/>
  <c r="H517" i="120" s="1"/>
  <c r="K517" i="120"/>
  <c r="J517" i="120"/>
  <c r="I517" i="120"/>
  <c r="L516" i="120"/>
  <c r="I516" i="120"/>
  <c r="H516" i="120"/>
  <c r="L515" i="120"/>
  <c r="I515" i="120"/>
  <c r="H515" i="120" s="1"/>
  <c r="N514" i="120"/>
  <c r="M514" i="120"/>
  <c r="K514" i="120"/>
  <c r="J514" i="120"/>
  <c r="I514" i="120" s="1"/>
  <c r="L513" i="120"/>
  <c r="I513" i="120"/>
  <c r="H513" i="120"/>
  <c r="L512" i="120"/>
  <c r="I512" i="120"/>
  <c r="H512" i="120" s="1"/>
  <c r="N511" i="120"/>
  <c r="M511" i="120"/>
  <c r="L511" i="120" s="1"/>
  <c r="K511" i="120"/>
  <c r="J511" i="120"/>
  <c r="I511" i="120" s="1"/>
  <c r="L510" i="120"/>
  <c r="I510" i="120"/>
  <c r="H510" i="120" s="1"/>
  <c r="L509" i="120"/>
  <c r="I509" i="120"/>
  <c r="H509" i="120" s="1"/>
  <c r="N508" i="120"/>
  <c r="M508" i="120"/>
  <c r="L508" i="120" s="1"/>
  <c r="K508" i="120"/>
  <c r="J508" i="120"/>
  <c r="I508" i="120" s="1"/>
  <c r="H508" i="120"/>
  <c r="L507" i="120"/>
  <c r="H507" i="120" s="1"/>
  <c r="I507" i="120"/>
  <c r="L506" i="120"/>
  <c r="I506" i="120"/>
  <c r="H506" i="120" s="1"/>
  <c r="N505" i="120"/>
  <c r="M505" i="120"/>
  <c r="L505" i="120" s="1"/>
  <c r="K505" i="120"/>
  <c r="J505" i="120"/>
  <c r="I505" i="120" s="1"/>
  <c r="H505" i="120" s="1"/>
  <c r="L504" i="120"/>
  <c r="I504" i="120"/>
  <c r="H504" i="120"/>
  <c r="L503" i="120"/>
  <c r="H503" i="120" s="1"/>
  <c r="I503" i="120"/>
  <c r="N502" i="120"/>
  <c r="M502" i="120"/>
  <c r="L502" i="120" s="1"/>
  <c r="K502" i="120"/>
  <c r="J502" i="120"/>
  <c r="I502" i="120" s="1"/>
  <c r="H502" i="120" s="1"/>
  <c r="L501" i="120"/>
  <c r="I501" i="120"/>
  <c r="H501" i="120"/>
  <c r="L500" i="120"/>
  <c r="I500" i="120"/>
  <c r="H500" i="120"/>
  <c r="N499" i="120"/>
  <c r="L499" i="120" s="1"/>
  <c r="M499" i="120"/>
  <c r="K499" i="120"/>
  <c r="J499" i="120"/>
  <c r="I499" i="120" s="1"/>
  <c r="L498" i="120"/>
  <c r="I498" i="120"/>
  <c r="L497" i="120"/>
  <c r="I497" i="120"/>
  <c r="H497" i="120" s="1"/>
  <c r="N496" i="120"/>
  <c r="M496" i="120"/>
  <c r="L496" i="120"/>
  <c r="K496" i="120"/>
  <c r="J496" i="120"/>
  <c r="I496" i="120" s="1"/>
  <c r="L495" i="120"/>
  <c r="I495" i="120"/>
  <c r="H495" i="120" s="1"/>
  <c r="L494" i="120"/>
  <c r="I494" i="120"/>
  <c r="H494" i="120" s="1"/>
  <c r="N493" i="120"/>
  <c r="M493" i="120"/>
  <c r="L493" i="120" s="1"/>
  <c r="K493" i="120"/>
  <c r="J493" i="120"/>
  <c r="I493" i="120"/>
  <c r="H493" i="120"/>
  <c r="L492" i="120"/>
  <c r="I492" i="120"/>
  <c r="H492" i="120"/>
  <c r="L491" i="120"/>
  <c r="I491" i="120"/>
  <c r="H491" i="120" s="1"/>
  <c r="N490" i="120"/>
  <c r="M490" i="120"/>
  <c r="K490" i="120"/>
  <c r="J490" i="120"/>
  <c r="I490" i="120" s="1"/>
  <c r="L489" i="120"/>
  <c r="I489" i="120"/>
  <c r="H489" i="120"/>
  <c r="L488" i="120"/>
  <c r="I488" i="120"/>
  <c r="H488" i="120"/>
  <c r="N487" i="120"/>
  <c r="M487" i="120"/>
  <c r="L487" i="120"/>
  <c r="K487" i="120"/>
  <c r="J487" i="120"/>
  <c r="I487" i="120" s="1"/>
  <c r="H487" i="120" s="1"/>
  <c r="L486" i="120"/>
  <c r="I486" i="120"/>
  <c r="H486" i="120" s="1"/>
  <c r="L485" i="120"/>
  <c r="I485" i="120"/>
  <c r="H485" i="120" s="1"/>
  <c r="N484" i="120"/>
  <c r="M484" i="120"/>
  <c r="L484" i="120" s="1"/>
  <c r="H484" i="120" s="1"/>
  <c r="K484" i="120"/>
  <c r="J484" i="120"/>
  <c r="I484" i="120" s="1"/>
  <c r="L483" i="120"/>
  <c r="H483" i="120" s="1"/>
  <c r="I483" i="120"/>
  <c r="L482" i="120"/>
  <c r="I482" i="120"/>
  <c r="H482" i="120"/>
  <c r="N481" i="120"/>
  <c r="M481" i="120"/>
  <c r="L481" i="120"/>
  <c r="K481" i="120"/>
  <c r="J481" i="120"/>
  <c r="I481" i="120" s="1"/>
  <c r="H481" i="120" s="1"/>
  <c r="L480" i="120"/>
  <c r="I480" i="120"/>
  <c r="H480" i="120"/>
  <c r="L479" i="120"/>
  <c r="H479" i="120" s="1"/>
  <c r="I479" i="120"/>
  <c r="N478" i="120"/>
  <c r="M478" i="120"/>
  <c r="L478" i="120" s="1"/>
  <c r="K478" i="120"/>
  <c r="J478" i="120"/>
  <c r="I478" i="120" s="1"/>
  <c r="H478" i="120" s="1"/>
  <c r="L477" i="120"/>
  <c r="I477" i="120"/>
  <c r="H477" i="120" s="1"/>
  <c r="L476" i="120"/>
  <c r="I476" i="120"/>
  <c r="H476" i="120"/>
  <c r="N475" i="120"/>
  <c r="M475" i="120"/>
  <c r="K475" i="120"/>
  <c r="J475" i="120"/>
  <c r="I475" i="120" s="1"/>
  <c r="L474" i="120"/>
  <c r="I474" i="120"/>
  <c r="L473" i="120"/>
  <c r="I473" i="120"/>
  <c r="H473" i="120" s="1"/>
  <c r="N472" i="120"/>
  <c r="M472" i="120"/>
  <c r="L472" i="120"/>
  <c r="K472" i="120"/>
  <c r="J472" i="120"/>
  <c r="I472" i="120" s="1"/>
  <c r="L471" i="120"/>
  <c r="H471" i="120" s="1"/>
  <c r="I471" i="120"/>
  <c r="L470" i="120"/>
  <c r="I470" i="120"/>
  <c r="H470" i="120" s="1"/>
  <c r="N469" i="120"/>
  <c r="M469" i="120"/>
  <c r="L469" i="120" s="1"/>
  <c r="K469" i="120"/>
  <c r="J469" i="120"/>
  <c r="I469" i="120"/>
  <c r="H469" i="120" s="1"/>
  <c r="L468" i="120"/>
  <c r="I468" i="120"/>
  <c r="H468" i="120"/>
  <c r="L467" i="120"/>
  <c r="I467" i="120"/>
  <c r="H467" i="120"/>
  <c r="N466" i="120"/>
  <c r="M466" i="120"/>
  <c r="L466" i="120" s="1"/>
  <c r="K466" i="120"/>
  <c r="J466" i="120"/>
  <c r="I466" i="120" s="1"/>
  <c r="H466" i="120" s="1"/>
  <c r="L465" i="120"/>
  <c r="I465" i="120"/>
  <c r="H465" i="120" s="1"/>
  <c r="L464" i="120"/>
  <c r="I464" i="120"/>
  <c r="H464" i="120" s="1"/>
  <c r="N463" i="120"/>
  <c r="M463" i="120"/>
  <c r="L463" i="120"/>
  <c r="K463" i="120"/>
  <c r="J463" i="120"/>
  <c r="L462" i="120"/>
  <c r="I462" i="120"/>
  <c r="H462" i="120"/>
  <c r="L461" i="120"/>
  <c r="I461" i="120"/>
  <c r="H461" i="120"/>
  <c r="N460" i="120"/>
  <c r="M460" i="120"/>
  <c r="L460" i="120" s="1"/>
  <c r="K460" i="120"/>
  <c r="J460" i="120"/>
  <c r="I460" i="120" s="1"/>
  <c r="L459" i="120"/>
  <c r="I459" i="120"/>
  <c r="L458" i="120"/>
  <c r="I458" i="120"/>
  <c r="H458" i="120"/>
  <c r="N457" i="120"/>
  <c r="M457" i="120"/>
  <c r="L457" i="120" s="1"/>
  <c r="K457" i="120"/>
  <c r="J457" i="120"/>
  <c r="I457" i="120" s="1"/>
  <c r="L456" i="120"/>
  <c r="I456" i="120"/>
  <c r="H456" i="120"/>
  <c r="L455" i="120"/>
  <c r="H455" i="120" s="1"/>
  <c r="I455" i="120"/>
  <c r="N454" i="120"/>
  <c r="M454" i="120"/>
  <c r="L454" i="120" s="1"/>
  <c r="K454" i="120"/>
  <c r="J454" i="120"/>
  <c r="I454" i="120"/>
  <c r="H454" i="120" s="1"/>
  <c r="L453" i="120"/>
  <c r="H453" i="120" s="1"/>
  <c r="I453" i="120"/>
  <c r="L452" i="120"/>
  <c r="I452" i="120"/>
  <c r="H452" i="120"/>
  <c r="N451" i="120"/>
  <c r="M451" i="120"/>
  <c r="L451" i="120" s="1"/>
  <c r="K451" i="120"/>
  <c r="J451" i="120"/>
  <c r="I451" i="120" s="1"/>
  <c r="H451" i="120" s="1"/>
  <c r="L450" i="120"/>
  <c r="I450" i="120"/>
  <c r="H450" i="120" s="1"/>
  <c r="L449" i="120"/>
  <c r="I449" i="120"/>
  <c r="H449" i="120"/>
  <c r="N448" i="120"/>
  <c r="M448" i="120"/>
  <c r="L448" i="120"/>
  <c r="K448" i="120"/>
  <c r="J448" i="120"/>
  <c r="I448" i="120" s="1"/>
  <c r="L447" i="120"/>
  <c r="I447" i="120"/>
  <c r="H447" i="120"/>
  <c r="L446" i="120"/>
  <c r="I446" i="120"/>
  <c r="H446" i="120" s="1"/>
  <c r="N445" i="120"/>
  <c r="M445" i="120"/>
  <c r="L445" i="120" s="1"/>
  <c r="K445" i="120"/>
  <c r="J445" i="120"/>
  <c r="I445" i="120"/>
  <c r="H445" i="120" s="1"/>
  <c r="L444" i="120"/>
  <c r="I444" i="120"/>
  <c r="H444" i="120" s="1"/>
  <c r="L443" i="120"/>
  <c r="I443" i="120"/>
  <c r="H443" i="120"/>
  <c r="N442" i="120"/>
  <c r="M442" i="120"/>
  <c r="L442" i="120" s="1"/>
  <c r="K442" i="120"/>
  <c r="J442" i="120"/>
  <c r="I442" i="120" s="1"/>
  <c r="H442" i="120" s="1"/>
  <c r="L441" i="120"/>
  <c r="I441" i="120"/>
  <c r="H441" i="120" s="1"/>
  <c r="L440" i="120"/>
  <c r="I440" i="120"/>
  <c r="H440" i="120" s="1"/>
  <c r="N439" i="120"/>
  <c r="M439" i="120"/>
  <c r="L439" i="120"/>
  <c r="K439" i="120"/>
  <c r="J439" i="120"/>
  <c r="L438" i="120"/>
  <c r="I438" i="120"/>
  <c r="H438" i="120" s="1"/>
  <c r="L437" i="120"/>
  <c r="I437" i="120"/>
  <c r="H437" i="120" s="1"/>
  <c r="N436" i="120"/>
  <c r="M436" i="120"/>
  <c r="L436" i="120" s="1"/>
  <c r="H436" i="120" s="1"/>
  <c r="K436" i="120"/>
  <c r="J436" i="120"/>
  <c r="I436" i="120" s="1"/>
  <c r="L435" i="120"/>
  <c r="H435" i="120" s="1"/>
  <c r="I435" i="120"/>
  <c r="L434" i="120"/>
  <c r="I434" i="120"/>
  <c r="H434" i="120" s="1"/>
  <c r="N433" i="120"/>
  <c r="M433" i="120"/>
  <c r="L433" i="120" s="1"/>
  <c r="K433" i="120"/>
  <c r="J433" i="120"/>
  <c r="I433" i="120" s="1"/>
  <c r="L432" i="120"/>
  <c r="I432" i="120"/>
  <c r="H432" i="120"/>
  <c r="L431" i="120"/>
  <c r="H431" i="120" s="1"/>
  <c r="I431" i="120"/>
  <c r="N430" i="120"/>
  <c r="M430" i="120"/>
  <c r="L430" i="120"/>
  <c r="K430" i="120"/>
  <c r="J430" i="120"/>
  <c r="I430" i="120"/>
  <c r="H430" i="120" s="1"/>
  <c r="L429" i="120"/>
  <c r="I429" i="120"/>
  <c r="H429" i="120" s="1"/>
  <c r="L428" i="120"/>
  <c r="I428" i="120"/>
  <c r="H428" i="120"/>
  <c r="N427" i="120"/>
  <c r="L427" i="120" s="1"/>
  <c r="M427" i="120"/>
  <c r="K427" i="120"/>
  <c r="J427" i="120"/>
  <c r="I427" i="120"/>
  <c r="H427" i="120" s="1"/>
  <c r="L426" i="120"/>
  <c r="I426" i="120"/>
  <c r="H426" i="120" s="1"/>
  <c r="L425" i="120"/>
  <c r="H425" i="120" s="1"/>
  <c r="I425" i="120"/>
  <c r="N424" i="120"/>
  <c r="M424" i="120"/>
  <c r="L424" i="120"/>
  <c r="K424" i="120"/>
  <c r="I424" i="120" s="1"/>
  <c r="J424" i="120"/>
  <c r="L423" i="120"/>
  <c r="I423" i="120"/>
  <c r="H423" i="120" s="1"/>
  <c r="L422" i="120"/>
  <c r="I422" i="120"/>
  <c r="N421" i="120"/>
  <c r="L421" i="120" s="1"/>
  <c r="M421" i="120"/>
  <c r="K421" i="120"/>
  <c r="J421" i="120"/>
  <c r="I421" i="120"/>
  <c r="L420" i="120"/>
  <c r="I420" i="120"/>
  <c r="H420" i="120" s="1"/>
  <c r="L419" i="120"/>
  <c r="I419" i="120"/>
  <c r="H419" i="120" s="1"/>
  <c r="N418" i="120"/>
  <c r="M418" i="120"/>
  <c r="K418" i="120"/>
  <c r="J418" i="120"/>
  <c r="I418" i="120" s="1"/>
  <c r="L417" i="120"/>
  <c r="I417" i="120"/>
  <c r="H417" i="120"/>
  <c r="L416" i="120"/>
  <c r="I416" i="120"/>
  <c r="H416" i="120" s="1"/>
  <c r="N415" i="120"/>
  <c r="M415" i="120"/>
  <c r="L415" i="120" s="1"/>
  <c r="K415" i="120"/>
  <c r="J415" i="120"/>
  <c r="L414" i="120"/>
  <c r="I414" i="120"/>
  <c r="H414" i="120"/>
  <c r="L413" i="120"/>
  <c r="I413" i="120"/>
  <c r="H413" i="120"/>
  <c r="N412" i="120"/>
  <c r="M412" i="120"/>
  <c r="L412" i="120"/>
  <c r="K412" i="120"/>
  <c r="J412" i="120"/>
  <c r="I412" i="120" s="1"/>
  <c r="H412" i="120" s="1"/>
  <c r="L411" i="120"/>
  <c r="H411" i="120" s="1"/>
  <c r="I411" i="120"/>
  <c r="L410" i="120"/>
  <c r="I410" i="120"/>
  <c r="H410" i="120"/>
  <c r="N409" i="120"/>
  <c r="M409" i="120"/>
  <c r="L409" i="120" s="1"/>
  <c r="K409" i="120"/>
  <c r="J409" i="120"/>
  <c r="I409" i="120"/>
  <c r="L408" i="120"/>
  <c r="I408" i="120"/>
  <c r="H408" i="120"/>
  <c r="L407" i="120"/>
  <c r="I407" i="120"/>
  <c r="N406" i="120"/>
  <c r="M406" i="120"/>
  <c r="L406" i="120" s="1"/>
  <c r="K406" i="120"/>
  <c r="J406" i="120"/>
  <c r="I406" i="120" s="1"/>
  <c r="H406" i="120" s="1"/>
  <c r="L405" i="120"/>
  <c r="I405" i="120"/>
  <c r="H405" i="120" s="1"/>
  <c r="L404" i="120"/>
  <c r="I404" i="120"/>
  <c r="H404" i="120"/>
  <c r="N403" i="120"/>
  <c r="M403" i="120"/>
  <c r="L403" i="120" s="1"/>
  <c r="K403" i="120"/>
  <c r="J403" i="120"/>
  <c r="I403" i="120" s="1"/>
  <c r="H403" i="120" s="1"/>
  <c r="L402" i="120"/>
  <c r="I402" i="120"/>
  <c r="H402" i="120" s="1"/>
  <c r="L401" i="120"/>
  <c r="I401" i="120"/>
  <c r="H401" i="120" s="1"/>
  <c r="N400" i="120"/>
  <c r="M400" i="120"/>
  <c r="L400" i="120"/>
  <c r="K400" i="120"/>
  <c r="J400" i="120"/>
  <c r="I400" i="120" s="1"/>
  <c r="H400" i="120" s="1"/>
  <c r="L399" i="120"/>
  <c r="I399" i="120"/>
  <c r="H399" i="120" s="1"/>
  <c r="L398" i="120"/>
  <c r="I398" i="120"/>
  <c r="N397" i="120"/>
  <c r="M397" i="120"/>
  <c r="L397" i="120" s="1"/>
  <c r="K397" i="120"/>
  <c r="J397" i="120"/>
  <c r="I397" i="120"/>
  <c r="H397" i="120" s="1"/>
  <c r="L396" i="120"/>
  <c r="I396" i="120"/>
  <c r="H396" i="120" s="1"/>
  <c r="L395" i="120"/>
  <c r="I395" i="120"/>
  <c r="H395" i="120"/>
  <c r="N394" i="120"/>
  <c r="M394" i="120"/>
  <c r="L394" i="120" s="1"/>
  <c r="K394" i="120"/>
  <c r="J394" i="120"/>
  <c r="I394" i="120" s="1"/>
  <c r="L393" i="120"/>
  <c r="I393" i="120"/>
  <c r="H393" i="120" s="1"/>
  <c r="L392" i="120"/>
  <c r="I392" i="120"/>
  <c r="H392" i="120" s="1"/>
  <c r="N391" i="120"/>
  <c r="M391" i="120"/>
  <c r="L391" i="120"/>
  <c r="K391" i="120"/>
  <c r="J391" i="120"/>
  <c r="L390" i="120"/>
  <c r="H390" i="120" s="1"/>
  <c r="I390" i="120"/>
  <c r="L389" i="120"/>
  <c r="I389" i="120"/>
  <c r="H389" i="120" s="1"/>
  <c r="N388" i="120"/>
  <c r="M388" i="120"/>
  <c r="L388" i="120" s="1"/>
  <c r="K388" i="120"/>
  <c r="J388" i="120"/>
  <c r="I388" i="120" s="1"/>
  <c r="H388" i="120"/>
  <c r="L387" i="120"/>
  <c r="H387" i="120" s="1"/>
  <c r="I387" i="120"/>
  <c r="L386" i="120"/>
  <c r="I386" i="120"/>
  <c r="H386" i="120" s="1"/>
  <c r="L385" i="120"/>
  <c r="I385" i="120"/>
  <c r="H385" i="120" s="1"/>
  <c r="L384" i="120"/>
  <c r="I384" i="120"/>
  <c r="H384" i="120" s="1"/>
  <c r="L383" i="120"/>
  <c r="I383" i="120"/>
  <c r="H383" i="120" s="1"/>
  <c r="N382" i="120"/>
  <c r="M382" i="120"/>
  <c r="K382" i="120"/>
  <c r="J382" i="120"/>
  <c r="I382" i="120" s="1"/>
  <c r="L381" i="120"/>
  <c r="I381" i="120"/>
  <c r="H381" i="120"/>
  <c r="L380" i="120"/>
  <c r="I380" i="120"/>
  <c r="H380" i="120" s="1"/>
  <c r="N379" i="120"/>
  <c r="M379" i="120"/>
  <c r="L379" i="120"/>
  <c r="K379" i="120"/>
  <c r="J379" i="120"/>
  <c r="L378" i="120"/>
  <c r="I378" i="120"/>
  <c r="H378" i="120" s="1"/>
  <c r="L377" i="120"/>
  <c r="I377" i="120"/>
  <c r="H377" i="120" s="1"/>
  <c r="N376" i="120"/>
  <c r="M376" i="120"/>
  <c r="L376" i="120"/>
  <c r="K376" i="120"/>
  <c r="J376" i="120"/>
  <c r="I376" i="120"/>
  <c r="H376" i="120"/>
  <c r="L375" i="120"/>
  <c r="H375" i="120" s="1"/>
  <c r="I375" i="120"/>
  <c r="L374" i="120"/>
  <c r="I374" i="120"/>
  <c r="H374" i="120" s="1"/>
  <c r="N373" i="120"/>
  <c r="M373" i="120"/>
  <c r="L373" i="120"/>
  <c r="K373" i="120"/>
  <c r="J373" i="120"/>
  <c r="I373" i="120"/>
  <c r="L372" i="120"/>
  <c r="I372" i="120"/>
  <c r="H372" i="120"/>
  <c r="L371" i="120"/>
  <c r="H371" i="120" s="1"/>
  <c r="I371" i="120"/>
  <c r="N370" i="120"/>
  <c r="M370" i="120"/>
  <c r="L370" i="120"/>
  <c r="K370" i="120"/>
  <c r="J370" i="120"/>
  <c r="I370" i="120" s="1"/>
  <c r="H370" i="120" s="1"/>
  <c r="L369" i="120"/>
  <c r="I369" i="120"/>
  <c r="H369" i="120"/>
  <c r="L368" i="120"/>
  <c r="I368" i="120"/>
  <c r="H368" i="120"/>
  <c r="N367" i="120"/>
  <c r="M367" i="120"/>
  <c r="K367" i="120"/>
  <c r="J367" i="120"/>
  <c r="I367" i="120" s="1"/>
  <c r="L366" i="120"/>
  <c r="I366" i="120"/>
  <c r="H366" i="120" s="1"/>
  <c r="L365" i="120"/>
  <c r="I365" i="120"/>
  <c r="H365" i="120" s="1"/>
  <c r="N364" i="120"/>
  <c r="M364" i="120"/>
  <c r="L364" i="120"/>
  <c r="K364" i="120"/>
  <c r="J364" i="120"/>
  <c r="L363" i="120"/>
  <c r="H363" i="120" s="1"/>
  <c r="I363" i="120"/>
  <c r="L362" i="120"/>
  <c r="I362" i="120"/>
  <c r="N361" i="120"/>
  <c r="M361" i="120"/>
  <c r="L361" i="120" s="1"/>
  <c r="K361" i="120"/>
  <c r="J361" i="120"/>
  <c r="I361" i="120"/>
  <c r="H361" i="120" s="1"/>
  <c r="L360" i="120"/>
  <c r="I360" i="120"/>
  <c r="H360" i="120" s="1"/>
  <c r="L359" i="120"/>
  <c r="I359" i="120"/>
  <c r="H359" i="120"/>
  <c r="N358" i="120"/>
  <c r="M358" i="120"/>
  <c r="L358" i="120" s="1"/>
  <c r="K358" i="120"/>
  <c r="J358" i="120"/>
  <c r="I358" i="120" s="1"/>
  <c r="H358" i="120" s="1"/>
  <c r="L357" i="120"/>
  <c r="I357" i="120"/>
  <c r="H357" i="120" s="1"/>
  <c r="L356" i="120"/>
  <c r="I356" i="120"/>
  <c r="H356" i="120" s="1"/>
  <c r="N355" i="120"/>
  <c r="M355" i="120"/>
  <c r="L355" i="120"/>
  <c r="K355" i="120"/>
  <c r="J355" i="120"/>
  <c r="L354" i="120"/>
  <c r="I354" i="120"/>
  <c r="H354" i="120"/>
  <c r="L353" i="120"/>
  <c r="I353" i="120"/>
  <c r="H353" i="120"/>
  <c r="N352" i="120"/>
  <c r="M352" i="120"/>
  <c r="L352" i="120" s="1"/>
  <c r="K352" i="120"/>
  <c r="J352" i="120"/>
  <c r="I352" i="120" s="1"/>
  <c r="L351" i="120"/>
  <c r="H351" i="120" s="1"/>
  <c r="I351" i="120"/>
  <c r="L350" i="120"/>
  <c r="I350" i="120"/>
  <c r="H350" i="120" s="1"/>
  <c r="N349" i="120"/>
  <c r="M349" i="120"/>
  <c r="L349" i="120"/>
  <c r="K349" i="120"/>
  <c r="J349" i="120"/>
  <c r="I349" i="120" s="1"/>
  <c r="L348" i="120"/>
  <c r="I348" i="120"/>
  <c r="H348" i="120"/>
  <c r="L347" i="120"/>
  <c r="H347" i="120" s="1"/>
  <c r="I347" i="120"/>
  <c r="N346" i="120"/>
  <c r="M346" i="120"/>
  <c r="L346" i="120" s="1"/>
  <c r="K346" i="120"/>
  <c r="J346" i="120"/>
  <c r="I346" i="120"/>
  <c r="H346" i="120" s="1"/>
  <c r="L345" i="120"/>
  <c r="I345" i="120"/>
  <c r="H345" i="120" s="1"/>
  <c r="L344" i="120"/>
  <c r="I344" i="120"/>
  <c r="H344" i="120"/>
  <c r="N343" i="120"/>
  <c r="L343" i="120" s="1"/>
  <c r="M343" i="120"/>
  <c r="K343" i="120"/>
  <c r="J343" i="120"/>
  <c r="I343" i="120" s="1"/>
  <c r="H343" i="120" s="1"/>
  <c r="L342" i="120"/>
  <c r="I342" i="120"/>
  <c r="L341" i="120"/>
  <c r="I341" i="120"/>
  <c r="H341" i="120" s="1"/>
  <c r="N340" i="120"/>
  <c r="M340" i="120"/>
  <c r="L340" i="120"/>
  <c r="K340" i="120"/>
  <c r="J340" i="120"/>
  <c r="I340" i="120" s="1"/>
  <c r="H340" i="120" s="1"/>
  <c r="L339" i="120"/>
  <c r="I339" i="120"/>
  <c r="H339" i="120"/>
  <c r="L338" i="120"/>
  <c r="I338" i="120"/>
  <c r="N337" i="120"/>
  <c r="M337" i="120"/>
  <c r="L337" i="120" s="1"/>
  <c r="K337" i="120"/>
  <c r="J337" i="120"/>
  <c r="I337" i="120"/>
  <c r="L336" i="120"/>
  <c r="I336" i="120"/>
  <c r="H336" i="120" s="1"/>
  <c r="L335" i="120"/>
  <c r="I335" i="120"/>
  <c r="H335" i="120" s="1"/>
  <c r="N334" i="120"/>
  <c r="M334" i="120"/>
  <c r="K334" i="120"/>
  <c r="J334" i="120"/>
  <c r="I334" i="120" s="1"/>
  <c r="L333" i="120"/>
  <c r="I333" i="120"/>
  <c r="H333" i="120"/>
  <c r="L332" i="120"/>
  <c r="I332" i="120"/>
  <c r="H332" i="120" s="1"/>
  <c r="N331" i="120"/>
  <c r="M331" i="120"/>
  <c r="L331" i="120"/>
  <c r="K331" i="120"/>
  <c r="J331" i="120"/>
  <c r="I331" i="120" s="1"/>
  <c r="H331" i="120" s="1"/>
  <c r="L330" i="120"/>
  <c r="I330" i="120"/>
  <c r="H330" i="120" s="1"/>
  <c r="L329" i="120"/>
  <c r="I329" i="120"/>
  <c r="H329" i="120"/>
  <c r="N328" i="120"/>
  <c r="M328" i="120"/>
  <c r="L328" i="120"/>
  <c r="K328" i="120"/>
  <c r="J328" i="120"/>
  <c r="I328" i="120"/>
  <c r="H328" i="120"/>
  <c r="L327" i="120"/>
  <c r="I327" i="120"/>
  <c r="L326" i="120"/>
  <c r="I326" i="120"/>
  <c r="H326" i="120" s="1"/>
  <c r="N325" i="120"/>
  <c r="M325" i="120"/>
  <c r="L325" i="120"/>
  <c r="K325" i="120"/>
  <c r="J325" i="120"/>
  <c r="I325" i="120"/>
  <c r="L324" i="120"/>
  <c r="I324" i="120"/>
  <c r="H324" i="120"/>
  <c r="L323" i="120"/>
  <c r="H323" i="120" s="1"/>
  <c r="I323" i="120"/>
  <c r="N322" i="120"/>
  <c r="M322" i="120"/>
  <c r="L322" i="120" s="1"/>
  <c r="K322" i="120"/>
  <c r="J322" i="120"/>
  <c r="I322" i="120"/>
  <c r="L321" i="120"/>
  <c r="I321" i="120"/>
  <c r="H321" i="120" s="1"/>
  <c r="L320" i="120"/>
  <c r="I320" i="120"/>
  <c r="H320" i="120"/>
  <c r="N319" i="120"/>
  <c r="L319" i="120" s="1"/>
  <c r="M319" i="120"/>
  <c r="K319" i="120"/>
  <c r="I319" i="120" s="1"/>
  <c r="H319" i="120" s="1"/>
  <c r="J319" i="120"/>
  <c r="L318" i="120"/>
  <c r="I318" i="120"/>
  <c r="H318" i="120" s="1"/>
  <c r="L317" i="120"/>
  <c r="I317" i="120"/>
  <c r="H317" i="120" s="1"/>
  <c r="N316" i="120"/>
  <c r="M316" i="120"/>
  <c r="L316" i="120"/>
  <c r="K316" i="120"/>
  <c r="I316" i="120" s="1"/>
  <c r="H316" i="120" s="1"/>
  <c r="J316" i="120"/>
  <c r="L315" i="120"/>
  <c r="I315" i="120"/>
  <c r="H315" i="120" s="1"/>
  <c r="L314" i="120"/>
  <c r="I314" i="120"/>
  <c r="H314" i="120" s="1"/>
  <c r="N313" i="120"/>
  <c r="M313" i="120"/>
  <c r="L313" i="120" s="1"/>
  <c r="K313" i="120"/>
  <c r="J313" i="120"/>
  <c r="I313" i="120"/>
  <c r="H313" i="120" s="1"/>
  <c r="L312" i="120"/>
  <c r="I312" i="120"/>
  <c r="H312" i="120" s="1"/>
  <c r="L311" i="120"/>
  <c r="I311" i="120"/>
  <c r="H311" i="120" s="1"/>
  <c r="N310" i="120"/>
  <c r="M310" i="120"/>
  <c r="K310" i="120"/>
  <c r="J310" i="120"/>
  <c r="I310" i="120" s="1"/>
  <c r="L309" i="120"/>
  <c r="I309" i="120"/>
  <c r="H309" i="120" s="1"/>
  <c r="L308" i="120"/>
  <c r="I308" i="120"/>
  <c r="H308" i="120" s="1"/>
  <c r="N307" i="120"/>
  <c r="M307" i="120"/>
  <c r="L307" i="120" s="1"/>
  <c r="K307" i="120"/>
  <c r="J307" i="120"/>
  <c r="I307" i="120" s="1"/>
  <c r="L306" i="120"/>
  <c r="I306" i="120"/>
  <c r="H306" i="120" s="1"/>
  <c r="L305" i="120"/>
  <c r="I305" i="120"/>
  <c r="H305" i="120"/>
  <c r="N304" i="120"/>
  <c r="M304" i="120"/>
  <c r="L304" i="120" s="1"/>
  <c r="K304" i="120"/>
  <c r="J304" i="120"/>
  <c r="I304" i="120" s="1"/>
  <c r="H304" i="120" s="1"/>
  <c r="L303" i="120"/>
  <c r="I303" i="120"/>
  <c r="H303" i="120" s="1"/>
  <c r="L302" i="120"/>
  <c r="I302" i="120"/>
  <c r="H302" i="120" s="1"/>
  <c r="N301" i="120"/>
  <c r="M301" i="120"/>
  <c r="L301" i="120"/>
  <c r="K301" i="120"/>
  <c r="J301" i="120"/>
  <c r="I301" i="120" s="1"/>
  <c r="H301" i="120" s="1"/>
  <c r="L300" i="120"/>
  <c r="I300" i="120"/>
  <c r="H300" i="120"/>
  <c r="L299" i="120"/>
  <c r="H299" i="120" s="1"/>
  <c r="I299" i="120"/>
  <c r="N296" i="120"/>
  <c r="M296" i="120"/>
  <c r="L296" i="120" s="1"/>
  <c r="K296" i="120"/>
  <c r="J296" i="120"/>
  <c r="I296" i="120"/>
  <c r="N295" i="120"/>
  <c r="M295" i="120"/>
  <c r="L295" i="120" s="1"/>
  <c r="K295" i="120"/>
  <c r="J295" i="120"/>
  <c r="I295" i="120" s="1"/>
  <c r="H295" i="120"/>
  <c r="N293" i="120"/>
  <c r="L293" i="120" s="1"/>
  <c r="M293" i="120"/>
  <c r="K293" i="120"/>
  <c r="J293" i="120"/>
  <c r="I293" i="120"/>
  <c r="L292" i="120"/>
  <c r="I292" i="120"/>
  <c r="H292" i="120" s="1"/>
  <c r="L291" i="120"/>
  <c r="H291" i="120" s="1"/>
  <c r="I291" i="120"/>
  <c r="N290" i="120"/>
  <c r="L290" i="120" s="1"/>
  <c r="M290" i="120"/>
  <c r="K290" i="120"/>
  <c r="J290" i="120"/>
  <c r="I290" i="120"/>
  <c r="H290" i="120" s="1"/>
  <c r="L289" i="120"/>
  <c r="I289" i="120"/>
  <c r="H289" i="120" s="1"/>
  <c r="L288" i="120"/>
  <c r="I288" i="120"/>
  <c r="H288" i="120"/>
  <c r="N287" i="120"/>
  <c r="M287" i="120"/>
  <c r="K287" i="120"/>
  <c r="J287" i="120"/>
  <c r="I287" i="120" s="1"/>
  <c r="L286" i="120"/>
  <c r="I286" i="120"/>
  <c r="H286" i="120" s="1"/>
  <c r="L285" i="120"/>
  <c r="I285" i="120"/>
  <c r="H285" i="120" s="1"/>
  <c r="N284" i="120"/>
  <c r="M284" i="120"/>
  <c r="L284" i="120"/>
  <c r="K284" i="120"/>
  <c r="J284" i="120"/>
  <c r="L283" i="120"/>
  <c r="I283" i="120"/>
  <c r="H283" i="120" s="1"/>
  <c r="L282" i="120"/>
  <c r="I282" i="120"/>
  <c r="H282" i="120"/>
  <c r="N281" i="120"/>
  <c r="M281" i="120"/>
  <c r="L281" i="120" s="1"/>
  <c r="H281" i="120" s="1"/>
  <c r="K281" i="120"/>
  <c r="J281" i="120"/>
  <c r="I281" i="120"/>
  <c r="L280" i="120"/>
  <c r="I280" i="120"/>
  <c r="H280" i="120" s="1"/>
  <c r="L279" i="120"/>
  <c r="I279" i="120"/>
  <c r="H279" i="120" s="1"/>
  <c r="N278" i="120"/>
  <c r="M278" i="120"/>
  <c r="L278" i="120" s="1"/>
  <c r="K278" i="120"/>
  <c r="J278" i="120"/>
  <c r="I278" i="120" s="1"/>
  <c r="L277" i="120"/>
  <c r="I277" i="120"/>
  <c r="H277" i="120"/>
  <c r="L276" i="120"/>
  <c r="I276" i="120"/>
  <c r="N275" i="120"/>
  <c r="M275" i="120"/>
  <c r="L275" i="120" s="1"/>
  <c r="K275" i="120"/>
  <c r="J275" i="120"/>
  <c r="I275" i="120"/>
  <c r="H275" i="120" s="1"/>
  <c r="L274" i="120"/>
  <c r="I274" i="120"/>
  <c r="H274" i="120" s="1"/>
  <c r="L273" i="120"/>
  <c r="I273" i="120"/>
  <c r="H273" i="120"/>
  <c r="N272" i="120"/>
  <c r="M272" i="120"/>
  <c r="L272" i="120" s="1"/>
  <c r="K272" i="120"/>
  <c r="J272" i="120"/>
  <c r="I272" i="120" s="1"/>
  <c r="H272" i="120" s="1"/>
  <c r="L271" i="120"/>
  <c r="I271" i="120"/>
  <c r="L270" i="120"/>
  <c r="I270" i="120"/>
  <c r="H270" i="120" s="1"/>
  <c r="N269" i="120"/>
  <c r="M269" i="120"/>
  <c r="L269" i="120"/>
  <c r="K269" i="120"/>
  <c r="J269" i="120"/>
  <c r="L268" i="120"/>
  <c r="I268" i="120"/>
  <c r="H268" i="120"/>
  <c r="L267" i="120"/>
  <c r="I267" i="120"/>
  <c r="H267" i="120" s="1"/>
  <c r="N266" i="120"/>
  <c r="M266" i="120"/>
  <c r="L266" i="120" s="1"/>
  <c r="K266" i="120"/>
  <c r="J266" i="120"/>
  <c r="I266" i="120"/>
  <c r="H266" i="120" s="1"/>
  <c r="L265" i="120"/>
  <c r="I265" i="120"/>
  <c r="H265" i="120" s="1"/>
  <c r="L264" i="120"/>
  <c r="I264" i="120"/>
  <c r="H264" i="120"/>
  <c r="N263" i="120"/>
  <c r="M263" i="120"/>
  <c r="L263" i="120" s="1"/>
  <c r="K263" i="120"/>
  <c r="J263" i="120"/>
  <c r="I263" i="120" s="1"/>
  <c r="H263" i="120" s="1"/>
  <c r="L262" i="120"/>
  <c r="I262" i="120"/>
  <c r="H262" i="120" s="1"/>
  <c r="L261" i="120"/>
  <c r="I261" i="120"/>
  <c r="H261" i="120" s="1"/>
  <c r="N260" i="120"/>
  <c r="M260" i="120"/>
  <c r="L260" i="120"/>
  <c r="K260" i="120"/>
  <c r="J260" i="120"/>
  <c r="I260" i="120" s="1"/>
  <c r="H260" i="120" s="1"/>
  <c r="L259" i="120"/>
  <c r="I259" i="120"/>
  <c r="H259" i="120"/>
  <c r="L258" i="120"/>
  <c r="I258" i="120"/>
  <c r="H258" i="120"/>
  <c r="N257" i="120"/>
  <c r="M257" i="120"/>
  <c r="L257" i="120" s="1"/>
  <c r="H257" i="120" s="1"/>
  <c r="K257" i="120"/>
  <c r="J257" i="120"/>
  <c r="I257" i="120"/>
  <c r="L256" i="120"/>
  <c r="I256" i="120"/>
  <c r="H256" i="120" s="1"/>
  <c r="L255" i="120"/>
  <c r="I255" i="120"/>
  <c r="H255" i="120" s="1"/>
  <c r="N254" i="120"/>
  <c r="M254" i="120"/>
  <c r="L254" i="120" s="1"/>
  <c r="K254" i="120"/>
  <c r="J254" i="120"/>
  <c r="I254" i="120" s="1"/>
  <c r="L253" i="120"/>
  <c r="I253" i="120"/>
  <c r="H253" i="120"/>
  <c r="L252" i="120"/>
  <c r="H252" i="120" s="1"/>
  <c r="I252" i="120"/>
  <c r="N251" i="120"/>
  <c r="M251" i="120"/>
  <c r="L251" i="120" s="1"/>
  <c r="K251" i="120"/>
  <c r="J251" i="120"/>
  <c r="I251" i="120"/>
  <c r="H251" i="120" s="1"/>
  <c r="L250" i="120"/>
  <c r="K250" i="120"/>
  <c r="J250" i="120"/>
  <c r="I250" i="120" s="1"/>
  <c r="H250" i="120" s="1"/>
  <c r="L249" i="120"/>
  <c r="I249" i="120"/>
  <c r="N248" i="120"/>
  <c r="M248" i="120"/>
  <c r="L248" i="120"/>
  <c r="K248" i="120"/>
  <c r="J248" i="120"/>
  <c r="I248" i="120" s="1"/>
  <c r="H248" i="120" s="1"/>
  <c r="L247" i="120"/>
  <c r="I247" i="120"/>
  <c r="H247" i="120" s="1"/>
  <c r="L246" i="120"/>
  <c r="I246" i="120"/>
  <c r="H246" i="120"/>
  <c r="N245" i="120"/>
  <c r="M245" i="120"/>
  <c r="J245" i="120"/>
  <c r="L244" i="120"/>
  <c r="I244" i="120"/>
  <c r="H244" i="120"/>
  <c r="L243" i="120"/>
  <c r="K243" i="120"/>
  <c r="K245" i="120" s="1"/>
  <c r="I245" i="120" s="1"/>
  <c r="N242" i="120"/>
  <c r="M242" i="120"/>
  <c r="L242" i="120"/>
  <c r="K242" i="120"/>
  <c r="I242" i="120" s="1"/>
  <c r="J242" i="120"/>
  <c r="L241" i="120"/>
  <c r="I241" i="120"/>
  <c r="H241" i="120"/>
  <c r="L240" i="120"/>
  <c r="I240" i="120"/>
  <c r="N239" i="120"/>
  <c r="M239" i="120"/>
  <c r="L239" i="120" s="1"/>
  <c r="K239" i="120"/>
  <c r="J239" i="120"/>
  <c r="I239" i="120"/>
  <c r="H239" i="120" s="1"/>
  <c r="L238" i="120"/>
  <c r="I238" i="120"/>
  <c r="H238" i="120" s="1"/>
  <c r="L237" i="120"/>
  <c r="I237" i="120"/>
  <c r="H237" i="120"/>
  <c r="N236" i="120"/>
  <c r="M236" i="120"/>
  <c r="L236" i="120" s="1"/>
  <c r="K236" i="120"/>
  <c r="J236" i="120"/>
  <c r="I236" i="120" s="1"/>
  <c r="L235" i="120"/>
  <c r="I235" i="120"/>
  <c r="H235" i="120" s="1"/>
  <c r="L234" i="120"/>
  <c r="I234" i="120"/>
  <c r="H234" i="120" s="1"/>
  <c r="N233" i="120"/>
  <c r="M233" i="120"/>
  <c r="L233" i="120"/>
  <c r="K233" i="120"/>
  <c r="J233" i="120"/>
  <c r="I233" i="120" s="1"/>
  <c r="H233" i="120" s="1"/>
  <c r="L232" i="120"/>
  <c r="I232" i="120"/>
  <c r="H232" i="120" s="1"/>
  <c r="L231" i="120"/>
  <c r="I231" i="120"/>
  <c r="H231" i="120" s="1"/>
  <c r="N230" i="120"/>
  <c r="M230" i="120"/>
  <c r="L230" i="120"/>
  <c r="K230" i="120"/>
  <c r="J230" i="120"/>
  <c r="I230" i="120"/>
  <c r="H230" i="120"/>
  <c r="L229" i="120"/>
  <c r="H229" i="120" s="1"/>
  <c r="I229" i="120"/>
  <c r="L228" i="120"/>
  <c r="I228" i="120"/>
  <c r="H228" i="120" s="1"/>
  <c r="N227" i="120"/>
  <c r="M227" i="120"/>
  <c r="L227" i="120"/>
  <c r="K227" i="120"/>
  <c r="J227" i="120"/>
  <c r="I227" i="120"/>
  <c r="L226" i="120"/>
  <c r="I226" i="120"/>
  <c r="H226" i="120" s="1"/>
  <c r="L225" i="120"/>
  <c r="H225" i="120" s="1"/>
  <c r="I225" i="120"/>
  <c r="N224" i="120"/>
  <c r="M224" i="120"/>
  <c r="L224" i="120" s="1"/>
  <c r="K224" i="120"/>
  <c r="J224" i="120"/>
  <c r="I224" i="120"/>
  <c r="L223" i="120"/>
  <c r="I223" i="120"/>
  <c r="H223" i="120" s="1"/>
  <c r="L222" i="120"/>
  <c r="I222" i="120"/>
  <c r="H222" i="120" s="1"/>
  <c r="N221" i="120"/>
  <c r="L221" i="120" s="1"/>
  <c r="M221" i="120"/>
  <c r="K221" i="120"/>
  <c r="J221" i="120"/>
  <c r="I221" i="120" s="1"/>
  <c r="H221" i="120"/>
  <c r="L220" i="120"/>
  <c r="I220" i="120"/>
  <c r="H220" i="120" s="1"/>
  <c r="L219" i="120"/>
  <c r="I219" i="120"/>
  <c r="H219" i="120" s="1"/>
  <c r="N218" i="120"/>
  <c r="M218" i="120"/>
  <c r="L218" i="120" s="1"/>
  <c r="K218" i="120"/>
  <c r="I218" i="120" s="1"/>
  <c r="J218" i="120"/>
  <c r="L217" i="120"/>
  <c r="I217" i="120"/>
  <c r="H217" i="120"/>
  <c r="L216" i="120"/>
  <c r="I216" i="120"/>
  <c r="H216" i="120" s="1"/>
  <c r="N215" i="120"/>
  <c r="M215" i="120"/>
  <c r="L215" i="120" s="1"/>
  <c r="K215" i="120"/>
  <c r="J215" i="120"/>
  <c r="I215" i="120" s="1"/>
  <c r="H215" i="120" s="1"/>
  <c r="L214" i="120"/>
  <c r="I214" i="120"/>
  <c r="H214" i="120" s="1"/>
  <c r="L213" i="120"/>
  <c r="I213" i="120"/>
  <c r="H213" i="120"/>
  <c r="N212" i="120"/>
  <c r="N205" i="120" s="1"/>
  <c r="M212" i="120"/>
  <c r="K212" i="120"/>
  <c r="J212" i="120"/>
  <c r="I212" i="120" s="1"/>
  <c r="L211" i="120"/>
  <c r="I211" i="120"/>
  <c r="H211" i="120"/>
  <c r="L210" i="120"/>
  <c r="I210" i="120"/>
  <c r="H210" i="120" s="1"/>
  <c r="N209" i="120"/>
  <c r="M209" i="120"/>
  <c r="L209" i="120"/>
  <c r="K209" i="120"/>
  <c r="J209" i="120"/>
  <c r="L208" i="120"/>
  <c r="I208" i="120"/>
  <c r="H208" i="120" s="1"/>
  <c r="L207" i="120"/>
  <c r="I207" i="120"/>
  <c r="H207" i="120" s="1"/>
  <c r="N204" i="120"/>
  <c r="M204" i="120"/>
  <c r="L204" i="120" s="1"/>
  <c r="K204" i="120"/>
  <c r="J204" i="120"/>
  <c r="I204" i="120" s="1"/>
  <c r="H204" i="120" s="1"/>
  <c r="N203" i="120"/>
  <c r="M203" i="120"/>
  <c r="K203" i="120"/>
  <c r="J203" i="120"/>
  <c r="I203" i="120" s="1"/>
  <c r="N201" i="120"/>
  <c r="M201" i="120"/>
  <c r="L201" i="120"/>
  <c r="K201" i="120"/>
  <c r="J201" i="120"/>
  <c r="I201" i="120"/>
  <c r="L200" i="120"/>
  <c r="I200" i="120"/>
  <c r="H200" i="120"/>
  <c r="L199" i="120"/>
  <c r="I199" i="120"/>
  <c r="H199" i="120" s="1"/>
  <c r="N198" i="120"/>
  <c r="M198" i="120"/>
  <c r="L198" i="120" s="1"/>
  <c r="K198" i="120"/>
  <c r="J198" i="120"/>
  <c r="I198" i="120" s="1"/>
  <c r="H198" i="120" s="1"/>
  <c r="L197" i="120"/>
  <c r="J197" i="120"/>
  <c r="I197" i="120" s="1"/>
  <c r="H197" i="120" s="1"/>
  <c r="L196" i="120"/>
  <c r="I196" i="120"/>
  <c r="H196" i="120" s="1"/>
  <c r="N195" i="120"/>
  <c r="M195" i="120"/>
  <c r="L195" i="120"/>
  <c r="K195" i="120"/>
  <c r="J195" i="120"/>
  <c r="I195" i="120"/>
  <c r="H195" i="120" s="1"/>
  <c r="L194" i="120"/>
  <c r="I194" i="120"/>
  <c r="L193" i="120"/>
  <c r="I193" i="120"/>
  <c r="H193" i="120" s="1"/>
  <c r="N192" i="120"/>
  <c r="M192" i="120"/>
  <c r="L192" i="120"/>
  <c r="K192" i="120"/>
  <c r="J192" i="120"/>
  <c r="I192" i="120"/>
  <c r="L191" i="120"/>
  <c r="I191" i="120"/>
  <c r="H191" i="120"/>
  <c r="L190" i="120"/>
  <c r="I190" i="120"/>
  <c r="H190" i="120" s="1"/>
  <c r="N189" i="120"/>
  <c r="M189" i="120"/>
  <c r="L189" i="120" s="1"/>
  <c r="K189" i="120"/>
  <c r="J189" i="120"/>
  <c r="I189" i="120" s="1"/>
  <c r="H189" i="120" s="1"/>
  <c r="L188" i="120"/>
  <c r="I188" i="120"/>
  <c r="H188" i="120"/>
  <c r="L187" i="120"/>
  <c r="I187" i="120"/>
  <c r="H187" i="120" s="1"/>
  <c r="N186" i="120"/>
  <c r="M186" i="120"/>
  <c r="J186" i="120"/>
  <c r="L185" i="120"/>
  <c r="K185" i="120"/>
  <c r="L184" i="120"/>
  <c r="I184" i="120"/>
  <c r="H184" i="120" s="1"/>
  <c r="N183" i="120"/>
  <c r="M183" i="120"/>
  <c r="L183" i="120"/>
  <c r="K183" i="120"/>
  <c r="J183" i="120"/>
  <c r="I183" i="120"/>
  <c r="L182" i="120"/>
  <c r="I182" i="120"/>
  <c r="H182" i="120"/>
  <c r="L181" i="120"/>
  <c r="I181" i="120"/>
  <c r="H181" i="120" s="1"/>
  <c r="N180" i="120"/>
  <c r="M180" i="120"/>
  <c r="L180" i="120" s="1"/>
  <c r="K180" i="120"/>
  <c r="J180" i="120"/>
  <c r="I180" i="120" s="1"/>
  <c r="H180" i="120" s="1"/>
  <c r="L179" i="120"/>
  <c r="I179" i="120"/>
  <c r="H179" i="120" s="1"/>
  <c r="L178" i="120"/>
  <c r="I178" i="120"/>
  <c r="H178" i="120"/>
  <c r="N177" i="120"/>
  <c r="M177" i="120"/>
  <c r="K177" i="120"/>
  <c r="I177" i="120" s="1"/>
  <c r="J177" i="120"/>
  <c r="L176" i="120"/>
  <c r="I176" i="120"/>
  <c r="H176" i="120" s="1"/>
  <c r="L175" i="120"/>
  <c r="I175" i="120"/>
  <c r="H175" i="120" s="1"/>
  <c r="N174" i="120"/>
  <c r="M174" i="120"/>
  <c r="L174" i="120"/>
  <c r="K174" i="120"/>
  <c r="J174" i="120"/>
  <c r="I174" i="120" s="1"/>
  <c r="H174" i="120" s="1"/>
  <c r="L173" i="120"/>
  <c r="I173" i="120"/>
  <c r="H173" i="120"/>
  <c r="L172" i="120"/>
  <c r="I172" i="120"/>
  <c r="N171" i="120"/>
  <c r="M171" i="120"/>
  <c r="L171" i="120" s="1"/>
  <c r="K171" i="120"/>
  <c r="J171" i="120"/>
  <c r="I171" i="120"/>
  <c r="H171" i="120" s="1"/>
  <c r="L170" i="120"/>
  <c r="I170" i="120"/>
  <c r="H170" i="120" s="1"/>
  <c r="L169" i="120"/>
  <c r="I169" i="120"/>
  <c r="H169" i="120"/>
  <c r="N168" i="120"/>
  <c r="M168" i="120"/>
  <c r="L168" i="120" s="1"/>
  <c r="K168" i="120"/>
  <c r="J168" i="120"/>
  <c r="I168" i="120" s="1"/>
  <c r="L167" i="120"/>
  <c r="I167" i="120"/>
  <c r="H167" i="120" s="1"/>
  <c r="L166" i="120"/>
  <c r="I166" i="120"/>
  <c r="H166" i="120"/>
  <c r="N165" i="120"/>
  <c r="M165" i="120"/>
  <c r="L165" i="120"/>
  <c r="K165" i="120"/>
  <c r="J165" i="120"/>
  <c r="L164" i="120"/>
  <c r="I164" i="120"/>
  <c r="H164" i="120" s="1"/>
  <c r="L163" i="120"/>
  <c r="I163" i="120"/>
  <c r="H163" i="120" s="1"/>
  <c r="N162" i="120"/>
  <c r="M162" i="120"/>
  <c r="L162" i="120" s="1"/>
  <c r="K162" i="120"/>
  <c r="J162" i="120"/>
  <c r="I162" i="120"/>
  <c r="H162" i="120"/>
  <c r="L161" i="120"/>
  <c r="I161" i="120"/>
  <c r="L160" i="120"/>
  <c r="I160" i="120"/>
  <c r="H160" i="120" s="1"/>
  <c r="N159" i="120"/>
  <c r="M159" i="120"/>
  <c r="L159" i="120"/>
  <c r="K159" i="120"/>
  <c r="J159" i="120"/>
  <c r="I159" i="120" s="1"/>
  <c r="L158" i="120"/>
  <c r="I158" i="120"/>
  <c r="H158" i="120"/>
  <c r="L157" i="120"/>
  <c r="I157" i="120"/>
  <c r="H157" i="120" s="1"/>
  <c r="N156" i="120"/>
  <c r="M156" i="120"/>
  <c r="L156" i="120" s="1"/>
  <c r="K156" i="120"/>
  <c r="J156" i="120"/>
  <c r="I156" i="120" s="1"/>
  <c r="H156" i="120" s="1"/>
  <c r="L155" i="120"/>
  <c r="I155" i="120"/>
  <c r="H155" i="120" s="1"/>
  <c r="L154" i="120"/>
  <c r="I154" i="120"/>
  <c r="H154" i="120"/>
  <c r="N153" i="120"/>
  <c r="M153" i="120"/>
  <c r="K153" i="120"/>
  <c r="J153" i="120"/>
  <c r="I153" i="120" s="1"/>
  <c r="L152" i="120"/>
  <c r="I152" i="120"/>
  <c r="H152" i="120" s="1"/>
  <c r="L151" i="120"/>
  <c r="I151" i="120"/>
  <c r="H151" i="120" s="1"/>
  <c r="N150" i="120"/>
  <c r="M150" i="120"/>
  <c r="L150" i="120"/>
  <c r="K150" i="120"/>
  <c r="J150" i="120"/>
  <c r="I150" i="120" s="1"/>
  <c r="H150" i="120" s="1"/>
  <c r="L149" i="120"/>
  <c r="I149" i="120"/>
  <c r="H149" i="120"/>
  <c r="L148" i="120"/>
  <c r="I148" i="120"/>
  <c r="N147" i="120"/>
  <c r="M147" i="120"/>
  <c r="L147" i="120" s="1"/>
  <c r="K147" i="120"/>
  <c r="J147" i="120"/>
  <c r="J122" i="120" s="1"/>
  <c r="I147" i="120"/>
  <c r="H147" i="120" s="1"/>
  <c r="L146" i="120"/>
  <c r="I146" i="120"/>
  <c r="H146" i="120" s="1"/>
  <c r="L145" i="120"/>
  <c r="I145" i="120"/>
  <c r="H145" i="120"/>
  <c r="N144" i="120"/>
  <c r="M144" i="120"/>
  <c r="L144" i="120" s="1"/>
  <c r="K144" i="120"/>
  <c r="J144" i="120"/>
  <c r="I144" i="120" s="1"/>
  <c r="L143" i="120"/>
  <c r="I143" i="120"/>
  <c r="H143" i="120" s="1"/>
  <c r="L142" i="120"/>
  <c r="I142" i="120"/>
  <c r="H142" i="120" s="1"/>
  <c r="N141" i="120"/>
  <c r="M141" i="120"/>
  <c r="L141" i="120"/>
  <c r="K141" i="120"/>
  <c r="J141" i="120"/>
  <c r="I141" i="120" s="1"/>
  <c r="H141" i="120" s="1"/>
  <c r="L140" i="120"/>
  <c r="I140" i="120"/>
  <c r="H140" i="120" s="1"/>
  <c r="L139" i="120"/>
  <c r="I139" i="120"/>
  <c r="H139" i="120" s="1"/>
  <c r="N138" i="120"/>
  <c r="M138" i="120"/>
  <c r="L138" i="120" s="1"/>
  <c r="K138" i="120"/>
  <c r="J138" i="120"/>
  <c r="I138" i="120"/>
  <c r="H138" i="120"/>
  <c r="L137" i="120"/>
  <c r="I137" i="120"/>
  <c r="L136" i="120"/>
  <c r="I136" i="120"/>
  <c r="H136" i="120" s="1"/>
  <c r="N135" i="120"/>
  <c r="M135" i="120"/>
  <c r="L135" i="120"/>
  <c r="K135" i="120"/>
  <c r="J135" i="120"/>
  <c r="I135" i="120" s="1"/>
  <c r="H135" i="120" s="1"/>
  <c r="L134" i="120"/>
  <c r="I134" i="120"/>
  <c r="H134" i="120" s="1"/>
  <c r="L133" i="120"/>
  <c r="I133" i="120"/>
  <c r="N132" i="120"/>
  <c r="M132" i="120"/>
  <c r="L132" i="120"/>
  <c r="K132" i="120"/>
  <c r="J132" i="120"/>
  <c r="I132" i="120" s="1"/>
  <c r="H132" i="120" s="1"/>
  <c r="L131" i="120"/>
  <c r="I131" i="120"/>
  <c r="H131" i="120" s="1"/>
  <c r="L130" i="120"/>
  <c r="I130" i="120"/>
  <c r="H130" i="120"/>
  <c r="N129" i="120"/>
  <c r="M129" i="120"/>
  <c r="K129" i="120"/>
  <c r="J129" i="120"/>
  <c r="I129" i="120" s="1"/>
  <c r="L128" i="120"/>
  <c r="I128" i="120"/>
  <c r="H128" i="120" s="1"/>
  <c r="L127" i="120"/>
  <c r="I127" i="120"/>
  <c r="H127" i="120" s="1"/>
  <c r="N126" i="120"/>
  <c r="M126" i="120"/>
  <c r="L126" i="120"/>
  <c r="K126" i="120"/>
  <c r="J126" i="120"/>
  <c r="I126" i="120" s="1"/>
  <c r="H126" i="120" s="1"/>
  <c r="L125" i="120"/>
  <c r="I125" i="120"/>
  <c r="H125" i="120"/>
  <c r="L124" i="120"/>
  <c r="I124" i="120"/>
  <c r="N121" i="120"/>
  <c r="M121" i="120"/>
  <c r="L121" i="120" s="1"/>
  <c r="J121" i="120"/>
  <c r="N120" i="120"/>
  <c r="M120" i="120"/>
  <c r="K120" i="120"/>
  <c r="J120" i="120"/>
  <c r="I120" i="120" s="1"/>
  <c r="N117" i="120"/>
  <c r="M117" i="120"/>
  <c r="L117" i="120" s="1"/>
  <c r="J117" i="120"/>
  <c r="M116" i="120"/>
  <c r="K116" i="120"/>
  <c r="J116" i="120"/>
  <c r="N114" i="120"/>
  <c r="M114" i="120"/>
  <c r="L114" i="120"/>
  <c r="K114" i="120"/>
  <c r="J114" i="120"/>
  <c r="I114" i="120" s="1"/>
  <c r="H114" i="120" s="1"/>
  <c r="L113" i="120"/>
  <c r="H113" i="120" s="1"/>
  <c r="I113" i="120"/>
  <c r="L112" i="120"/>
  <c r="I112" i="120"/>
  <c r="H112" i="120"/>
  <c r="N111" i="120"/>
  <c r="M111" i="120"/>
  <c r="L111" i="120" s="1"/>
  <c r="K111" i="120"/>
  <c r="J111" i="120"/>
  <c r="I111" i="120"/>
  <c r="H111" i="120" s="1"/>
  <c r="L110" i="120"/>
  <c r="I110" i="120"/>
  <c r="H110" i="120" s="1"/>
  <c r="L109" i="120"/>
  <c r="I109" i="120"/>
  <c r="H109" i="120" s="1"/>
  <c r="N108" i="120"/>
  <c r="M108" i="120"/>
  <c r="L108" i="120" s="1"/>
  <c r="K108" i="120"/>
  <c r="J108" i="120"/>
  <c r="I108" i="120" s="1"/>
  <c r="L107" i="120"/>
  <c r="I107" i="120"/>
  <c r="H107" i="120"/>
  <c r="L106" i="120"/>
  <c r="I106" i="120"/>
  <c r="H106" i="120" s="1"/>
  <c r="N105" i="120"/>
  <c r="M105" i="120"/>
  <c r="L105" i="120" s="1"/>
  <c r="K105" i="120"/>
  <c r="J105" i="120"/>
  <c r="I105" i="120" s="1"/>
  <c r="H105" i="120" s="1"/>
  <c r="L104" i="120"/>
  <c r="I104" i="120"/>
  <c r="H104" i="120" s="1"/>
  <c r="L103" i="120"/>
  <c r="I103" i="120"/>
  <c r="H103" i="120" s="1"/>
  <c r="N102" i="120"/>
  <c r="L102" i="120" s="1"/>
  <c r="M102" i="120"/>
  <c r="K102" i="120"/>
  <c r="J102" i="120"/>
  <c r="I102" i="120" s="1"/>
  <c r="H102" i="120"/>
  <c r="L101" i="120"/>
  <c r="I101" i="120"/>
  <c r="L100" i="120"/>
  <c r="I100" i="120"/>
  <c r="H100" i="120" s="1"/>
  <c r="M99" i="120"/>
  <c r="L99" i="120" s="1"/>
  <c r="N98" i="120"/>
  <c r="M98" i="120"/>
  <c r="L98" i="120"/>
  <c r="K98" i="120"/>
  <c r="J98" i="120"/>
  <c r="N97" i="120"/>
  <c r="N99" i="120" s="1"/>
  <c r="M97" i="120"/>
  <c r="L97" i="120" s="1"/>
  <c r="K97" i="120"/>
  <c r="K99" i="120" s="1"/>
  <c r="J97" i="120"/>
  <c r="J99" i="120" s="1"/>
  <c r="I97" i="120"/>
  <c r="H97" i="120" s="1"/>
  <c r="N96" i="120"/>
  <c r="M96" i="120"/>
  <c r="L96" i="120" s="1"/>
  <c r="K96" i="120"/>
  <c r="J96" i="120"/>
  <c r="I96" i="120" s="1"/>
  <c r="H96" i="120" s="1"/>
  <c r="L95" i="120"/>
  <c r="I95" i="120"/>
  <c r="H95" i="120" s="1"/>
  <c r="L94" i="120"/>
  <c r="I94" i="120"/>
  <c r="H94" i="120"/>
  <c r="N93" i="120"/>
  <c r="M93" i="120"/>
  <c r="K93" i="120"/>
  <c r="J93" i="120"/>
  <c r="I93" i="120" s="1"/>
  <c r="L92" i="120"/>
  <c r="I92" i="120"/>
  <c r="H92" i="120" s="1"/>
  <c r="L91" i="120"/>
  <c r="I91" i="120"/>
  <c r="H91" i="120" s="1"/>
  <c r="K90" i="120"/>
  <c r="N89" i="120"/>
  <c r="M89" i="120"/>
  <c r="L89" i="120" s="1"/>
  <c r="K89" i="120"/>
  <c r="J89" i="120"/>
  <c r="I89" i="120"/>
  <c r="N88" i="120"/>
  <c r="N90" i="120" s="1"/>
  <c r="M88" i="120"/>
  <c r="L88" i="120" s="1"/>
  <c r="K88" i="120"/>
  <c r="J88" i="120"/>
  <c r="I88" i="120" s="1"/>
  <c r="H88" i="120" s="1"/>
  <c r="N87" i="120"/>
  <c r="M87" i="120"/>
  <c r="L87" i="120" s="1"/>
  <c r="K87" i="120"/>
  <c r="J87" i="120"/>
  <c r="I87" i="120"/>
  <c r="H87" i="120"/>
  <c r="L86" i="120"/>
  <c r="I86" i="120"/>
  <c r="L85" i="120"/>
  <c r="I85" i="120"/>
  <c r="H85" i="120" s="1"/>
  <c r="N84" i="120"/>
  <c r="M84" i="120"/>
  <c r="L84" i="120"/>
  <c r="K84" i="120"/>
  <c r="J84" i="120"/>
  <c r="I84" i="120" s="1"/>
  <c r="L83" i="120"/>
  <c r="I83" i="120"/>
  <c r="H83" i="120"/>
  <c r="L82" i="120"/>
  <c r="I82" i="120"/>
  <c r="H82" i="120" s="1"/>
  <c r="N81" i="120"/>
  <c r="M81" i="120"/>
  <c r="L81" i="120" s="1"/>
  <c r="K81" i="120"/>
  <c r="J81" i="120"/>
  <c r="I81" i="120" s="1"/>
  <c r="H81" i="120" s="1"/>
  <c r="L80" i="120"/>
  <c r="I80" i="120"/>
  <c r="H80" i="120" s="1"/>
  <c r="L79" i="120"/>
  <c r="I79" i="120"/>
  <c r="H79" i="120"/>
  <c r="N78" i="120"/>
  <c r="M78" i="120"/>
  <c r="K78" i="120"/>
  <c r="J78" i="120"/>
  <c r="I78" i="120" s="1"/>
  <c r="L77" i="120"/>
  <c r="I77" i="120"/>
  <c r="H77" i="120" s="1"/>
  <c r="L76" i="120"/>
  <c r="I76" i="120"/>
  <c r="H76" i="120" s="1"/>
  <c r="N75" i="120"/>
  <c r="M75" i="120"/>
  <c r="L75" i="120"/>
  <c r="K75" i="120"/>
  <c r="J75" i="120"/>
  <c r="I75" i="120" s="1"/>
  <c r="H75" i="120" s="1"/>
  <c r="L74" i="120"/>
  <c r="I74" i="120"/>
  <c r="H74" i="120"/>
  <c r="L73" i="120"/>
  <c r="I73" i="120"/>
  <c r="N72" i="120"/>
  <c r="M72" i="120"/>
  <c r="L72" i="120" s="1"/>
  <c r="K72" i="120"/>
  <c r="J72" i="120"/>
  <c r="I72" i="120"/>
  <c r="H72" i="120" s="1"/>
  <c r="L71" i="120"/>
  <c r="I71" i="120"/>
  <c r="H71" i="120" s="1"/>
  <c r="L70" i="120"/>
  <c r="I70" i="120"/>
  <c r="H70" i="120"/>
  <c r="N69" i="120"/>
  <c r="M69" i="120"/>
  <c r="L69" i="120" s="1"/>
  <c r="N68" i="120"/>
  <c r="N40" i="120" s="1"/>
  <c r="N36" i="120" s="1"/>
  <c r="M68" i="120"/>
  <c r="M40" i="120" s="1"/>
  <c r="K68" i="120"/>
  <c r="J68" i="120"/>
  <c r="I68" i="120" s="1"/>
  <c r="N67" i="120"/>
  <c r="M67" i="120"/>
  <c r="M39" i="120" s="1"/>
  <c r="L67" i="120"/>
  <c r="K67" i="120"/>
  <c r="J67" i="120"/>
  <c r="J69" i="120" s="1"/>
  <c r="N66" i="120"/>
  <c r="M66" i="120"/>
  <c r="L66" i="120"/>
  <c r="K66" i="120"/>
  <c r="J66" i="120"/>
  <c r="I66" i="120" s="1"/>
  <c r="H66" i="120" s="1"/>
  <c r="L65" i="120"/>
  <c r="I65" i="120"/>
  <c r="H65" i="120"/>
  <c r="L64" i="120"/>
  <c r="I64" i="120"/>
  <c r="H64" i="120" s="1"/>
  <c r="N63" i="120"/>
  <c r="M63" i="120"/>
  <c r="L63" i="120" s="1"/>
  <c r="K63" i="120"/>
  <c r="J63" i="120"/>
  <c r="I63" i="120"/>
  <c r="H63" i="120" s="1"/>
  <c r="L62" i="120"/>
  <c r="H62" i="120" s="1"/>
  <c r="I62" i="120"/>
  <c r="L61" i="120"/>
  <c r="I61" i="120"/>
  <c r="H61" i="120" s="1"/>
  <c r="N60" i="120"/>
  <c r="M60" i="120"/>
  <c r="L60" i="120" s="1"/>
  <c r="K60" i="120"/>
  <c r="J60" i="120"/>
  <c r="I60" i="120" s="1"/>
  <c r="L59" i="120"/>
  <c r="I59" i="120"/>
  <c r="H59" i="120"/>
  <c r="L58" i="120"/>
  <c r="H58" i="120" s="1"/>
  <c r="I58" i="120"/>
  <c r="N57" i="120"/>
  <c r="M57" i="120"/>
  <c r="L57" i="120" s="1"/>
  <c r="K57" i="120"/>
  <c r="J57" i="120"/>
  <c r="I57" i="120"/>
  <c r="H57" i="120" s="1"/>
  <c r="L56" i="120"/>
  <c r="I56" i="120"/>
  <c r="H56" i="120" s="1"/>
  <c r="L55" i="120"/>
  <c r="I55" i="120"/>
  <c r="H55" i="120" s="1"/>
  <c r="N54" i="120"/>
  <c r="L54" i="120" s="1"/>
  <c r="M54" i="120"/>
  <c r="K54" i="120"/>
  <c r="J54" i="120"/>
  <c r="I54" i="120" s="1"/>
  <c r="H54" i="120"/>
  <c r="L53" i="120"/>
  <c r="I53" i="120"/>
  <c r="L52" i="120"/>
  <c r="I52" i="120"/>
  <c r="H52" i="120" s="1"/>
  <c r="N51" i="120"/>
  <c r="M51" i="120"/>
  <c r="L51" i="120"/>
  <c r="K51" i="120"/>
  <c r="I51" i="120" s="1"/>
  <c r="H51" i="120" s="1"/>
  <c r="J51" i="120"/>
  <c r="L50" i="120"/>
  <c r="I50" i="120"/>
  <c r="H50" i="120"/>
  <c r="L49" i="120"/>
  <c r="I49" i="120"/>
  <c r="H49" i="120" s="1"/>
  <c r="N48" i="120"/>
  <c r="M48" i="120"/>
  <c r="L48" i="120" s="1"/>
  <c r="K48" i="120"/>
  <c r="J48" i="120"/>
  <c r="I48" i="120" s="1"/>
  <c r="H48" i="120" s="1"/>
  <c r="L47" i="120"/>
  <c r="I47" i="120"/>
  <c r="H47" i="120" s="1"/>
  <c r="L46" i="120"/>
  <c r="I46" i="120"/>
  <c r="H46" i="120"/>
  <c r="N45" i="120"/>
  <c r="M45" i="120"/>
  <c r="K45" i="120"/>
  <c r="J45" i="120"/>
  <c r="I45" i="120" s="1"/>
  <c r="L44" i="120"/>
  <c r="I44" i="120"/>
  <c r="H44" i="120"/>
  <c r="L43" i="120"/>
  <c r="I43" i="120"/>
  <c r="H43" i="120" s="1"/>
  <c r="K40" i="120"/>
  <c r="J40" i="120"/>
  <c r="I40" i="120" s="1"/>
  <c r="N39" i="120"/>
  <c r="M36" i="120"/>
  <c r="M12" i="120" s="1"/>
  <c r="K36" i="120"/>
  <c r="N35" i="120"/>
  <c r="N33" i="120"/>
  <c r="M33" i="120"/>
  <c r="L33" i="120" s="1"/>
  <c r="K33" i="120"/>
  <c r="J33" i="120"/>
  <c r="I33" i="120"/>
  <c r="H33" i="120" s="1"/>
  <c r="L32" i="120"/>
  <c r="I32" i="120"/>
  <c r="H32" i="120"/>
  <c r="L31" i="120"/>
  <c r="I31" i="120"/>
  <c r="H31" i="120"/>
  <c r="N30" i="120"/>
  <c r="M30" i="120"/>
  <c r="L30" i="120" s="1"/>
  <c r="K30" i="120"/>
  <c r="J30" i="120"/>
  <c r="I30" i="120" s="1"/>
  <c r="H30" i="120" s="1"/>
  <c r="L29" i="120"/>
  <c r="I29" i="120"/>
  <c r="H29" i="120" s="1"/>
  <c r="L28" i="120"/>
  <c r="I28" i="120"/>
  <c r="H28" i="120"/>
  <c r="N27" i="120"/>
  <c r="M27" i="120"/>
  <c r="L27" i="120"/>
  <c r="K27" i="120"/>
  <c r="K17" i="120" s="1"/>
  <c r="J27" i="120"/>
  <c r="I27" i="120" s="1"/>
  <c r="H27" i="120" s="1"/>
  <c r="L26" i="120"/>
  <c r="I26" i="120"/>
  <c r="H26" i="120"/>
  <c r="L25" i="120"/>
  <c r="I25" i="120"/>
  <c r="H25" i="120" s="1"/>
  <c r="N24" i="120"/>
  <c r="M24" i="120"/>
  <c r="L24" i="120"/>
  <c r="K24" i="120"/>
  <c r="J24" i="120"/>
  <c r="I24" i="120"/>
  <c r="H24" i="120"/>
  <c r="L23" i="120"/>
  <c r="I23" i="120"/>
  <c r="H23" i="120" s="1"/>
  <c r="L22" i="120"/>
  <c r="I22" i="120"/>
  <c r="H22" i="120"/>
  <c r="N21" i="120"/>
  <c r="N17" i="120" s="1"/>
  <c r="M21" i="120"/>
  <c r="L21" i="120" s="1"/>
  <c r="K21" i="120"/>
  <c r="J21" i="120"/>
  <c r="I21" i="120"/>
  <c r="H21" i="120" s="1"/>
  <c r="L20" i="120"/>
  <c r="I20" i="120"/>
  <c r="H20" i="120"/>
  <c r="L19" i="120"/>
  <c r="I19" i="120"/>
  <c r="H19" i="120" s="1"/>
  <c r="J17" i="120"/>
  <c r="N16" i="120"/>
  <c r="M16" i="120"/>
  <c r="L16" i="120" s="1"/>
  <c r="K16" i="120"/>
  <c r="J16" i="120"/>
  <c r="I16" i="120"/>
  <c r="N15" i="120"/>
  <c r="M15" i="120"/>
  <c r="L15" i="120"/>
  <c r="K15" i="120"/>
  <c r="J15" i="120"/>
  <c r="I15" i="120"/>
  <c r="H15" i="120"/>
  <c r="L36" i="120" l="1"/>
  <c r="N12" i="120"/>
  <c r="N688" i="120" s="1"/>
  <c r="L39" i="120"/>
  <c r="M35" i="120"/>
  <c r="H40" i="120"/>
  <c r="I17" i="120"/>
  <c r="H153" i="120"/>
  <c r="H16" i="120"/>
  <c r="M688" i="120"/>
  <c r="L12" i="120"/>
  <c r="L688" i="120" s="1"/>
  <c r="J90" i="120"/>
  <c r="I90" i="120" s="1"/>
  <c r="H218" i="120"/>
  <c r="M17" i="120"/>
  <c r="J41" i="120"/>
  <c r="H68" i="120"/>
  <c r="L93" i="120"/>
  <c r="L120" i="120"/>
  <c r="H120" i="120" s="1"/>
  <c r="H133" i="120"/>
  <c r="I165" i="120"/>
  <c r="H165" i="120" s="1"/>
  <c r="L186" i="120"/>
  <c r="I209" i="120"/>
  <c r="H209" i="120" s="1"/>
  <c r="J205" i="120"/>
  <c r="H242" i="120"/>
  <c r="H249" i="120"/>
  <c r="H254" i="120"/>
  <c r="H278" i="120"/>
  <c r="L287" i="120"/>
  <c r="H287" i="120" s="1"/>
  <c r="L310" i="120"/>
  <c r="I439" i="120"/>
  <c r="H439" i="120" s="1"/>
  <c r="L610" i="120"/>
  <c r="H93" i="120"/>
  <c r="J39" i="120"/>
  <c r="H60" i="120"/>
  <c r="H224" i="120"/>
  <c r="N297" i="120"/>
  <c r="H421" i="120"/>
  <c r="K205" i="120"/>
  <c r="L45" i="120"/>
  <c r="H45" i="120" s="1"/>
  <c r="L68" i="120"/>
  <c r="H73" i="120"/>
  <c r="I98" i="120"/>
  <c r="H98" i="120" s="1"/>
  <c r="H108" i="120"/>
  <c r="H124" i="120"/>
  <c r="M122" i="120"/>
  <c r="H148" i="120"/>
  <c r="H172" i="120"/>
  <c r="H192" i="120"/>
  <c r="H194" i="120"/>
  <c r="H201" i="120"/>
  <c r="L203" i="120"/>
  <c r="H203" i="120" s="1"/>
  <c r="H240" i="120"/>
  <c r="L245" i="120"/>
  <c r="H245" i="120" s="1"/>
  <c r="H271" i="120"/>
  <c r="H296" i="120"/>
  <c r="H352" i="120"/>
  <c r="L367" i="120"/>
  <c r="H367" i="120" s="1"/>
  <c r="I379" i="120"/>
  <c r="H379" i="120" s="1"/>
  <c r="H460" i="120"/>
  <c r="H490" i="120"/>
  <c r="H532" i="120"/>
  <c r="H550" i="120"/>
  <c r="H570" i="120"/>
  <c r="K41" i="120"/>
  <c r="K37" i="120" s="1"/>
  <c r="H89" i="120"/>
  <c r="N41" i="120"/>
  <c r="N37" i="120" s="1"/>
  <c r="N13" i="120" s="1"/>
  <c r="N689" i="120" s="1"/>
  <c r="H53" i="120"/>
  <c r="I69" i="120"/>
  <c r="H69" i="120" s="1"/>
  <c r="L40" i="120"/>
  <c r="L78" i="120"/>
  <c r="H78" i="120" s="1"/>
  <c r="H86" i="120"/>
  <c r="I116" i="120"/>
  <c r="L129" i="120"/>
  <c r="H129" i="120" s="1"/>
  <c r="H144" i="120"/>
  <c r="L153" i="120"/>
  <c r="H161" i="120"/>
  <c r="H168" i="120"/>
  <c r="L177" i="120"/>
  <c r="H177" i="120" s="1"/>
  <c r="N116" i="120"/>
  <c r="H227" i="120"/>
  <c r="H236" i="120"/>
  <c r="I269" i="120"/>
  <c r="H269" i="120" s="1"/>
  <c r="H276" i="120"/>
  <c r="H337" i="120"/>
  <c r="H362" i="120"/>
  <c r="H424" i="120"/>
  <c r="L475" i="120"/>
  <c r="H475" i="120" s="1"/>
  <c r="H538" i="120"/>
  <c r="L562" i="120"/>
  <c r="I99" i="120"/>
  <c r="H99" i="120" s="1"/>
  <c r="J36" i="120"/>
  <c r="I36" i="120" s="1"/>
  <c r="H36" i="120" s="1"/>
  <c r="K69" i="120"/>
  <c r="I67" i="120"/>
  <c r="H67" i="120" s="1"/>
  <c r="K39" i="120"/>
  <c r="K35" i="120" s="1"/>
  <c r="K11" i="120" s="1"/>
  <c r="K687" i="120" s="1"/>
  <c r="H84" i="120"/>
  <c r="H101" i="120"/>
  <c r="N122" i="120"/>
  <c r="N118" i="120" s="1"/>
  <c r="H137" i="120"/>
  <c r="H159" i="120"/>
  <c r="H183" i="120"/>
  <c r="I185" i="120"/>
  <c r="H185" i="120" s="1"/>
  <c r="K186" i="120"/>
  <c r="K122" i="120" s="1"/>
  <c r="I122" i="120" s="1"/>
  <c r="K121" i="120"/>
  <c r="L212" i="120"/>
  <c r="H212" i="120" s="1"/>
  <c r="M205" i="120"/>
  <c r="I284" i="120"/>
  <c r="H284" i="120" s="1"/>
  <c r="I355" i="120"/>
  <c r="H355" i="120" s="1"/>
  <c r="J297" i="120"/>
  <c r="I297" i="120" s="1"/>
  <c r="H407" i="120"/>
  <c r="I463" i="120"/>
  <c r="H463" i="120" s="1"/>
  <c r="H542" i="120"/>
  <c r="M90" i="120"/>
  <c r="L90" i="120" s="1"/>
  <c r="H293" i="120"/>
  <c r="H322" i="120"/>
  <c r="H338" i="120"/>
  <c r="H373" i="120"/>
  <c r="H422" i="120"/>
  <c r="H457" i="120"/>
  <c r="H459" i="120"/>
  <c r="L490" i="120"/>
  <c r="H498" i="120"/>
  <c r="H568" i="120"/>
  <c r="H571" i="120"/>
  <c r="H655" i="120"/>
  <c r="H349" i="120"/>
  <c r="I391" i="120"/>
  <c r="H391" i="120" s="1"/>
  <c r="I415" i="120"/>
  <c r="H415" i="120" s="1"/>
  <c r="H496" i="120"/>
  <c r="H511" i="120"/>
  <c r="H529" i="120"/>
  <c r="H574" i="120"/>
  <c r="H595" i="120"/>
  <c r="H607" i="120"/>
  <c r="H685" i="120"/>
  <c r="F12" i="122"/>
  <c r="I243" i="120"/>
  <c r="H243" i="120" s="1"/>
  <c r="H325" i="120"/>
  <c r="H327" i="120"/>
  <c r="I364" i="120"/>
  <c r="H364" i="120" s="1"/>
  <c r="L382" i="120"/>
  <c r="H382" i="120" s="1"/>
  <c r="H398" i="120"/>
  <c r="H409" i="120"/>
  <c r="H433" i="120"/>
  <c r="H474" i="120"/>
  <c r="H499" i="120"/>
  <c r="I544" i="120"/>
  <c r="H544" i="120" s="1"/>
  <c r="I559" i="120"/>
  <c r="H559" i="120" s="1"/>
  <c r="H566" i="120"/>
  <c r="L595" i="120"/>
  <c r="I622" i="120"/>
  <c r="H622" i="120" s="1"/>
  <c r="H629" i="120"/>
  <c r="I646" i="120"/>
  <c r="H646" i="120" s="1"/>
  <c r="H648" i="120"/>
  <c r="H673" i="120"/>
  <c r="M297" i="120"/>
  <c r="H307" i="120"/>
  <c r="H394" i="120"/>
  <c r="H448" i="120"/>
  <c r="H472" i="120"/>
  <c r="H547" i="120"/>
  <c r="H577" i="120"/>
  <c r="H610" i="120"/>
  <c r="H625" i="120"/>
  <c r="H661" i="120"/>
  <c r="K297" i="120"/>
  <c r="H310" i="120"/>
  <c r="L334" i="120"/>
  <c r="H334" i="120" s="1"/>
  <c r="H342" i="120"/>
  <c r="L418" i="120"/>
  <c r="H418" i="120" s="1"/>
  <c r="L514" i="120"/>
  <c r="H514" i="120" s="1"/>
  <c r="H522" i="120"/>
  <c r="I535" i="120"/>
  <c r="H535" i="120" s="1"/>
  <c r="H562" i="120"/>
  <c r="H586" i="120"/>
  <c r="H601" i="120"/>
  <c r="I637" i="120"/>
  <c r="H637" i="120" s="1"/>
  <c r="H649" i="120"/>
  <c r="H664" i="120"/>
  <c r="H668" i="120"/>
  <c r="L673" i="120"/>
  <c r="G12" i="122"/>
  <c r="K117" i="120" l="1"/>
  <c r="I121" i="120"/>
  <c r="H121" i="120" s="1"/>
  <c r="L116" i="120"/>
  <c r="H116" i="120" s="1"/>
  <c r="N11" i="120"/>
  <c r="N687" i="120" s="1"/>
  <c r="J35" i="120"/>
  <c r="I39" i="120"/>
  <c r="H39" i="120" s="1"/>
  <c r="L17" i="120"/>
  <c r="M11" i="120"/>
  <c r="L35" i="120"/>
  <c r="H297" i="120"/>
  <c r="M41" i="120"/>
  <c r="I186" i="120"/>
  <c r="H186" i="120" s="1"/>
  <c r="L205" i="120"/>
  <c r="M118" i="120"/>
  <c r="L118" i="120" s="1"/>
  <c r="H17" i="120"/>
  <c r="K118" i="120"/>
  <c r="K13" i="120" s="1"/>
  <c r="K689" i="120" s="1"/>
  <c r="H90" i="120"/>
  <c r="I41" i="120"/>
  <c r="J37" i="120"/>
  <c r="L122" i="120"/>
  <c r="H122" i="120" s="1"/>
  <c r="J118" i="120"/>
  <c r="I118" i="120" s="1"/>
  <c r="H118" i="120" s="1"/>
  <c r="I205" i="120"/>
  <c r="J12" i="120"/>
  <c r="L297" i="120"/>
  <c r="I35" i="120" l="1"/>
  <c r="H35" i="120" s="1"/>
  <c r="J11" i="120"/>
  <c r="L41" i="120"/>
  <c r="H41" i="120" s="1"/>
  <c r="M37" i="120"/>
  <c r="M687" i="120"/>
  <c r="L11" i="120"/>
  <c r="L687" i="120" s="1"/>
  <c r="I37" i="120"/>
  <c r="J13" i="120"/>
  <c r="J688" i="120"/>
  <c r="I12" i="120"/>
  <c r="I117" i="120"/>
  <c r="H117" i="120" s="1"/>
  <c r="K12" i="120"/>
  <c r="K688" i="120" s="1"/>
  <c r="H205" i="120"/>
  <c r="H37" i="120" l="1"/>
  <c r="L37" i="120"/>
  <c r="M13" i="120"/>
  <c r="I688" i="120"/>
  <c r="H12" i="120"/>
  <c r="H688" i="120" s="1"/>
  <c r="J687" i="120"/>
  <c r="I11" i="120"/>
  <c r="J689" i="120"/>
  <c r="I13" i="120"/>
  <c r="I687" i="120" l="1"/>
  <c r="H11" i="120"/>
  <c r="H687" i="120" s="1"/>
  <c r="M689" i="120"/>
  <c r="L13" i="120"/>
  <c r="L689" i="120" s="1"/>
  <c r="I689" i="120"/>
  <c r="H13" i="120"/>
  <c r="H689" i="120" s="1"/>
  <c r="F58" i="119" l="1"/>
  <c r="E58" i="119"/>
  <c r="D58" i="119"/>
  <c r="E56" i="119"/>
  <c r="D56" i="119"/>
  <c r="D54" i="119"/>
  <c r="E53" i="119"/>
  <c r="D53" i="119"/>
  <c r="E48" i="119"/>
  <c r="D48" i="119"/>
  <c r="D50" i="119" s="1"/>
  <c r="E44" i="119"/>
  <c r="D44" i="119"/>
  <c r="F43" i="119"/>
  <c r="E43" i="119"/>
  <c r="D43" i="119"/>
  <c r="E42" i="119"/>
  <c r="D42" i="119"/>
  <c r="F41" i="119"/>
  <c r="F40" i="119" s="1"/>
  <c r="F39" i="119" s="1"/>
  <c r="E41" i="119"/>
  <c r="E40" i="119" s="1"/>
  <c r="E39" i="119" s="1"/>
  <c r="D41" i="119"/>
  <c r="D40" i="119" s="1"/>
  <c r="D39" i="119" s="1"/>
  <c r="D33" i="119"/>
  <c r="F32" i="119"/>
  <c r="F31" i="119" s="1"/>
  <c r="E31" i="119"/>
  <c r="D31" i="119"/>
  <c r="F30" i="119"/>
  <c r="F29" i="119"/>
  <c r="F56" i="119" s="1"/>
  <c r="F28" i="119"/>
  <c r="F53" i="119" s="1"/>
  <c r="F27" i="119"/>
  <c r="F49" i="119" s="1"/>
  <c r="E27" i="119"/>
  <c r="E49" i="119" s="1"/>
  <c r="E50" i="119" s="1"/>
  <c r="D27" i="119"/>
  <c r="D49" i="119" s="1"/>
  <c r="D26" i="119"/>
  <c r="F23" i="119"/>
  <c r="F44" i="119" s="1"/>
  <c r="F22" i="119"/>
  <c r="F21" i="119" s="1"/>
  <c r="F54" i="119" s="1"/>
  <c r="E21" i="119"/>
  <c r="D21" i="119"/>
  <c r="F20" i="119"/>
  <c r="F19" i="119"/>
  <c r="F18" i="119"/>
  <c r="F60" i="119" s="1"/>
  <c r="E18" i="119"/>
  <c r="E60" i="119" s="1"/>
  <c r="D18" i="119"/>
  <c r="D60" i="119" s="1"/>
  <c r="F17" i="119"/>
  <c r="F42" i="119" s="1"/>
  <c r="F16" i="119"/>
  <c r="F15" i="119"/>
  <c r="E15" i="119"/>
  <c r="E54" i="119" s="1"/>
  <c r="D15" i="119"/>
  <c r="D14" i="119" s="1"/>
  <c r="D24" i="119" s="1"/>
  <c r="D35" i="119" s="1"/>
  <c r="E14" i="119"/>
  <c r="F13" i="119"/>
  <c r="F12" i="119"/>
  <c r="F48" i="119" s="1"/>
  <c r="F11" i="119"/>
  <c r="F52" i="119" s="1"/>
  <c r="E11" i="119"/>
  <c r="E24" i="119" s="1"/>
  <c r="D11" i="119"/>
  <c r="D37" i="119" s="1"/>
  <c r="F55" i="119" l="1"/>
  <c r="F57" i="119" s="1"/>
  <c r="F59" i="119" s="1"/>
  <c r="F63" i="119" s="1"/>
  <c r="F50" i="119"/>
  <c r="E26" i="119"/>
  <c r="D52" i="119"/>
  <c r="D55" i="119" s="1"/>
  <c r="D57" i="119" s="1"/>
  <c r="D59" i="119" s="1"/>
  <c r="D63" i="119" s="1"/>
  <c r="F26" i="119"/>
  <c r="E52" i="119"/>
  <c r="E55" i="119" s="1"/>
  <c r="E57" i="119" s="1"/>
  <c r="E59" i="119" s="1"/>
  <c r="E63" i="119" s="1"/>
  <c r="F14" i="119"/>
  <c r="F24" i="119" s="1"/>
  <c r="E33" i="119" l="1"/>
  <c r="E35" i="119" s="1"/>
  <c r="E37" i="119"/>
  <c r="F33" i="119"/>
  <c r="F35" i="119" s="1"/>
  <c r="F37" i="119"/>
  <c r="H96" i="118" l="1"/>
  <c r="G96" i="118"/>
  <c r="H95" i="118"/>
  <c r="G95" i="118"/>
  <c r="W94" i="118"/>
  <c r="V94" i="118"/>
  <c r="T94" i="118"/>
  <c r="S94" i="118"/>
  <c r="S95" i="118" s="1"/>
  <c r="Q94" i="118"/>
  <c r="P94" i="118"/>
  <c r="M94" i="118"/>
  <c r="L94" i="118"/>
  <c r="H94" i="118"/>
  <c r="G94" i="118"/>
  <c r="H93" i="118"/>
  <c r="G93" i="118"/>
  <c r="W92" i="118"/>
  <c r="W95" i="118" s="1"/>
  <c r="V92" i="118"/>
  <c r="V95" i="118" s="1"/>
  <c r="U92" i="118"/>
  <c r="T92" i="118"/>
  <c r="T95" i="118" s="1"/>
  <c r="S92" i="118"/>
  <c r="Q92" i="118"/>
  <c r="Q95" i="118" s="1"/>
  <c r="P92" i="118"/>
  <c r="P95" i="118" s="1"/>
  <c r="M92" i="118"/>
  <c r="M95" i="118" s="1"/>
  <c r="L92" i="118"/>
  <c r="L95" i="118" s="1"/>
  <c r="W90" i="118"/>
  <c r="V90" i="118"/>
  <c r="U90" i="118"/>
  <c r="T90" i="118"/>
  <c r="S90" i="118"/>
  <c r="Q90" i="118"/>
  <c r="P90" i="118"/>
  <c r="M90" i="118"/>
  <c r="L90" i="118"/>
  <c r="U89" i="118"/>
  <c r="R89" i="118"/>
  <c r="O89" i="118"/>
  <c r="N89" i="118"/>
  <c r="N90" i="118" s="1"/>
  <c r="K89" i="118"/>
  <c r="K90" i="118" s="1"/>
  <c r="J89" i="118"/>
  <c r="U87" i="118"/>
  <c r="R87" i="118"/>
  <c r="R90" i="118" s="1"/>
  <c r="O87" i="118"/>
  <c r="O90" i="118" s="1"/>
  <c r="N87" i="118"/>
  <c r="K87" i="118"/>
  <c r="J87" i="118"/>
  <c r="J90" i="118" s="1"/>
  <c r="H87" i="118"/>
  <c r="G87" i="118"/>
  <c r="W85" i="118"/>
  <c r="V85" i="118"/>
  <c r="T85" i="118"/>
  <c r="S85" i="118"/>
  <c r="Q85" i="118"/>
  <c r="P85" i="118"/>
  <c r="M85" i="118"/>
  <c r="L85" i="118"/>
  <c r="U84" i="118"/>
  <c r="U85" i="118" s="1"/>
  <c r="R84" i="118"/>
  <c r="N84" i="118" s="1"/>
  <c r="J84" i="118" s="1"/>
  <c r="O84" i="118"/>
  <c r="K84" i="118"/>
  <c r="U82" i="118"/>
  <c r="R82" i="118"/>
  <c r="R85" i="118" s="1"/>
  <c r="O82" i="118"/>
  <c r="O85" i="118" s="1"/>
  <c r="N82" i="118"/>
  <c r="N85" i="118" s="1"/>
  <c r="K82" i="118"/>
  <c r="K85" i="118" s="1"/>
  <c r="H82" i="118"/>
  <c r="G82" i="118"/>
  <c r="W80" i="118"/>
  <c r="V80" i="118"/>
  <c r="U80" i="118"/>
  <c r="T80" i="118"/>
  <c r="S80" i="118"/>
  <c r="Q80" i="118"/>
  <c r="P80" i="118"/>
  <c r="M80" i="118"/>
  <c r="L80" i="118"/>
  <c r="U79" i="118"/>
  <c r="R79" i="118"/>
  <c r="O79" i="118"/>
  <c r="N79" i="118"/>
  <c r="N80" i="118" s="1"/>
  <c r="K79" i="118"/>
  <c r="K80" i="118" s="1"/>
  <c r="J79" i="118"/>
  <c r="U77" i="118"/>
  <c r="R77" i="118"/>
  <c r="R80" i="118" s="1"/>
  <c r="O77" i="118"/>
  <c r="O80" i="118" s="1"/>
  <c r="N77" i="118"/>
  <c r="K77" i="118"/>
  <c r="J77" i="118"/>
  <c r="J80" i="118" s="1"/>
  <c r="H77" i="118"/>
  <c r="G77" i="118"/>
  <c r="W75" i="118"/>
  <c r="V75" i="118"/>
  <c r="T75" i="118"/>
  <c r="S75" i="118"/>
  <c r="Q75" i="118"/>
  <c r="P75" i="118"/>
  <c r="M75" i="118"/>
  <c r="L75" i="118"/>
  <c r="U74" i="118"/>
  <c r="U75" i="118" s="1"/>
  <c r="R74" i="118"/>
  <c r="N74" i="118" s="1"/>
  <c r="J74" i="118" s="1"/>
  <c r="O74" i="118"/>
  <c r="K74" i="118"/>
  <c r="U72" i="118"/>
  <c r="R72" i="118"/>
  <c r="R75" i="118" s="1"/>
  <c r="O72" i="118"/>
  <c r="O75" i="118" s="1"/>
  <c r="N72" i="118"/>
  <c r="K72" i="118"/>
  <c r="K75" i="118" s="1"/>
  <c r="H72" i="118"/>
  <c r="G72" i="118"/>
  <c r="W70" i="118"/>
  <c r="V70" i="118"/>
  <c r="U70" i="118"/>
  <c r="T70" i="118"/>
  <c r="S70" i="118"/>
  <c r="Q70" i="118"/>
  <c r="P70" i="118"/>
  <c r="M70" i="118"/>
  <c r="L70" i="118"/>
  <c r="U69" i="118"/>
  <c r="R69" i="118"/>
  <c r="O69" i="118"/>
  <c r="N69" i="118"/>
  <c r="N70" i="118" s="1"/>
  <c r="K69" i="118"/>
  <c r="K70" i="118" s="1"/>
  <c r="J69" i="118"/>
  <c r="U67" i="118"/>
  <c r="R67" i="118"/>
  <c r="R70" i="118" s="1"/>
  <c r="O67" i="118"/>
  <c r="O70" i="118" s="1"/>
  <c r="N67" i="118"/>
  <c r="K67" i="118"/>
  <c r="J67" i="118"/>
  <c r="J70" i="118" s="1"/>
  <c r="H67" i="118"/>
  <c r="G67" i="118"/>
  <c r="W65" i="118"/>
  <c r="V65" i="118"/>
  <c r="T65" i="118"/>
  <c r="S65" i="118"/>
  <c r="Q65" i="118"/>
  <c r="P65" i="118"/>
  <c r="M65" i="118"/>
  <c r="L65" i="118"/>
  <c r="U64" i="118"/>
  <c r="U65" i="118" s="1"/>
  <c r="R64" i="118"/>
  <c r="N64" i="118" s="1"/>
  <c r="J64" i="118" s="1"/>
  <c r="O64" i="118"/>
  <c r="K64" i="118"/>
  <c r="U62" i="118"/>
  <c r="R62" i="118"/>
  <c r="R65" i="118" s="1"/>
  <c r="O62" i="118"/>
  <c r="O65" i="118" s="1"/>
  <c r="N62" i="118"/>
  <c r="K62" i="118"/>
  <c r="J62" i="118" s="1"/>
  <c r="H62" i="118"/>
  <c r="G62" i="118"/>
  <c r="W60" i="118"/>
  <c r="V60" i="118"/>
  <c r="U60" i="118"/>
  <c r="T60" i="118"/>
  <c r="S60" i="118"/>
  <c r="Q60" i="118"/>
  <c r="P60" i="118"/>
  <c r="N60" i="118"/>
  <c r="M60" i="118"/>
  <c r="L60" i="118"/>
  <c r="U59" i="118"/>
  <c r="R59" i="118"/>
  <c r="O59" i="118"/>
  <c r="N59" i="118"/>
  <c r="K59" i="118"/>
  <c r="K60" i="118" s="1"/>
  <c r="J59" i="118"/>
  <c r="U57" i="118"/>
  <c r="R57" i="118"/>
  <c r="R60" i="118" s="1"/>
  <c r="O57" i="118"/>
  <c r="O60" i="118" s="1"/>
  <c r="N57" i="118"/>
  <c r="K57" i="118"/>
  <c r="J57" i="118"/>
  <c r="J60" i="118" s="1"/>
  <c r="H57" i="118"/>
  <c r="G57" i="118"/>
  <c r="W55" i="118"/>
  <c r="V55" i="118"/>
  <c r="T55" i="118"/>
  <c r="S55" i="118"/>
  <c r="Q55" i="118"/>
  <c r="P55" i="118"/>
  <c r="M55" i="118"/>
  <c r="L55" i="118"/>
  <c r="U54" i="118"/>
  <c r="U55" i="118" s="1"/>
  <c r="R54" i="118"/>
  <c r="O54" i="118"/>
  <c r="N54" i="118" s="1"/>
  <c r="J54" i="118" s="1"/>
  <c r="K54" i="118"/>
  <c r="U52" i="118"/>
  <c r="R52" i="118"/>
  <c r="R55" i="118" s="1"/>
  <c r="O52" i="118"/>
  <c r="O55" i="118" s="1"/>
  <c r="N52" i="118"/>
  <c r="N55" i="118" s="1"/>
  <c r="K52" i="118"/>
  <c r="J52" i="118" s="1"/>
  <c r="J55" i="118" s="1"/>
  <c r="H52" i="118"/>
  <c r="G52" i="118"/>
  <c r="W50" i="118"/>
  <c r="V50" i="118"/>
  <c r="U50" i="118"/>
  <c r="T50" i="118"/>
  <c r="S50" i="118"/>
  <c r="Q50" i="118"/>
  <c r="P50" i="118"/>
  <c r="M50" i="118"/>
  <c r="L50" i="118"/>
  <c r="U49" i="118"/>
  <c r="R49" i="118"/>
  <c r="O49" i="118"/>
  <c r="N49" i="118"/>
  <c r="N50" i="118" s="1"/>
  <c r="K49" i="118"/>
  <c r="K50" i="118" s="1"/>
  <c r="J49" i="118"/>
  <c r="U47" i="118"/>
  <c r="R47" i="118"/>
  <c r="R50" i="118" s="1"/>
  <c r="O47" i="118"/>
  <c r="O50" i="118" s="1"/>
  <c r="N47" i="118"/>
  <c r="K47" i="118"/>
  <c r="J47" i="118"/>
  <c r="J50" i="118" s="1"/>
  <c r="H47" i="118"/>
  <c r="G47" i="118"/>
  <c r="W45" i="118"/>
  <c r="V45" i="118"/>
  <c r="T45" i="118"/>
  <c r="S45" i="118"/>
  <c r="Q45" i="118"/>
  <c r="P45" i="118"/>
  <c r="M45" i="118"/>
  <c r="L45" i="118"/>
  <c r="U44" i="118"/>
  <c r="U45" i="118" s="1"/>
  <c r="R44" i="118"/>
  <c r="R45" i="118" s="1"/>
  <c r="O44" i="118"/>
  <c r="K44" i="118"/>
  <c r="U42" i="118"/>
  <c r="R42" i="118"/>
  <c r="O42" i="118"/>
  <c r="O45" i="118" s="1"/>
  <c r="N42" i="118"/>
  <c r="K42" i="118"/>
  <c r="K45" i="118" s="1"/>
  <c r="H42" i="118"/>
  <c r="G42" i="118"/>
  <c r="W40" i="118"/>
  <c r="V40" i="118"/>
  <c r="U40" i="118"/>
  <c r="T40" i="118"/>
  <c r="S40" i="118"/>
  <c r="Q40" i="118"/>
  <c r="P40" i="118"/>
  <c r="M40" i="118"/>
  <c r="L40" i="118"/>
  <c r="U39" i="118"/>
  <c r="R39" i="118"/>
  <c r="O39" i="118"/>
  <c r="N39" i="118"/>
  <c r="N40" i="118" s="1"/>
  <c r="K39" i="118"/>
  <c r="K40" i="118" s="1"/>
  <c r="J39" i="118"/>
  <c r="U37" i="118"/>
  <c r="R37" i="118"/>
  <c r="R40" i="118" s="1"/>
  <c r="O37" i="118"/>
  <c r="O40" i="118" s="1"/>
  <c r="N37" i="118"/>
  <c r="K37" i="118"/>
  <c r="J37" i="118"/>
  <c r="J40" i="118" s="1"/>
  <c r="H37" i="118"/>
  <c r="G37" i="118"/>
  <c r="W35" i="118"/>
  <c r="V35" i="118"/>
  <c r="T35" i="118"/>
  <c r="S35" i="118"/>
  <c r="Q35" i="118"/>
  <c r="P35" i="118"/>
  <c r="M35" i="118"/>
  <c r="L35" i="118"/>
  <c r="U34" i="118"/>
  <c r="R34" i="118"/>
  <c r="N34" i="118" s="1"/>
  <c r="J34" i="118" s="1"/>
  <c r="O34" i="118"/>
  <c r="K34" i="118"/>
  <c r="U32" i="118"/>
  <c r="U35" i="118" s="1"/>
  <c r="R32" i="118"/>
  <c r="R35" i="118" s="1"/>
  <c r="O32" i="118"/>
  <c r="O35" i="118" s="1"/>
  <c r="N32" i="118"/>
  <c r="K32" i="118"/>
  <c r="K35" i="118" s="1"/>
  <c r="H32" i="118"/>
  <c r="G32" i="118"/>
  <c r="W30" i="118"/>
  <c r="V30" i="118"/>
  <c r="U30" i="118"/>
  <c r="T30" i="118"/>
  <c r="S30" i="118"/>
  <c r="Q30" i="118"/>
  <c r="P30" i="118"/>
  <c r="N30" i="118"/>
  <c r="M30" i="118"/>
  <c r="L30" i="118"/>
  <c r="U29" i="118"/>
  <c r="R29" i="118"/>
  <c r="O29" i="118"/>
  <c r="N29" i="118"/>
  <c r="K29" i="118"/>
  <c r="K30" i="118" s="1"/>
  <c r="J29" i="118"/>
  <c r="U27" i="118"/>
  <c r="R27" i="118"/>
  <c r="R30" i="118" s="1"/>
  <c r="O27" i="118"/>
  <c r="O30" i="118" s="1"/>
  <c r="N27" i="118"/>
  <c r="K27" i="118"/>
  <c r="J27" i="118"/>
  <c r="J30" i="118" s="1"/>
  <c r="H27" i="118"/>
  <c r="G27" i="118"/>
  <c r="W25" i="118"/>
  <c r="V25" i="118"/>
  <c r="T25" i="118"/>
  <c r="S25" i="118"/>
  <c r="Q25" i="118"/>
  <c r="P25" i="118"/>
  <c r="M25" i="118"/>
  <c r="L25" i="118"/>
  <c r="U24" i="118"/>
  <c r="R24" i="118"/>
  <c r="O24" i="118"/>
  <c r="N24" i="118" s="1"/>
  <c r="J24" i="118" s="1"/>
  <c r="K24" i="118"/>
  <c r="U22" i="118"/>
  <c r="U25" i="118" s="1"/>
  <c r="R22" i="118"/>
  <c r="R25" i="118" s="1"/>
  <c r="O22" i="118"/>
  <c r="O25" i="118" s="1"/>
  <c r="N22" i="118"/>
  <c r="N25" i="118" s="1"/>
  <c r="K22" i="118"/>
  <c r="J22" i="118" s="1"/>
  <c r="J25" i="118" s="1"/>
  <c r="H22" i="118"/>
  <c r="G22" i="118"/>
  <c r="W20" i="118"/>
  <c r="V20" i="118"/>
  <c r="U20" i="118"/>
  <c r="T20" i="118"/>
  <c r="S20" i="118"/>
  <c r="Q20" i="118"/>
  <c r="P20" i="118"/>
  <c r="M20" i="118"/>
  <c r="L20" i="118"/>
  <c r="U19" i="118"/>
  <c r="U94" i="118" s="1"/>
  <c r="R19" i="118"/>
  <c r="O19" i="118"/>
  <c r="O94" i="118" s="1"/>
  <c r="N19" i="118"/>
  <c r="K19" i="118"/>
  <c r="K20" i="118" s="1"/>
  <c r="J19" i="118"/>
  <c r="U17" i="118"/>
  <c r="R17" i="118"/>
  <c r="R92" i="118" s="1"/>
  <c r="O17" i="118"/>
  <c r="O92" i="118" s="1"/>
  <c r="N17" i="118"/>
  <c r="K17" i="118"/>
  <c r="K92" i="118" s="1"/>
  <c r="J17" i="118"/>
  <c r="H17" i="118"/>
  <c r="H92" i="118" s="1"/>
  <c r="G17" i="118"/>
  <c r="G92" i="118" s="1"/>
  <c r="N94" i="118" l="1"/>
  <c r="J65" i="118"/>
  <c r="N65" i="118"/>
  <c r="U95" i="118"/>
  <c r="O95" i="118"/>
  <c r="N35" i="118"/>
  <c r="N75" i="118"/>
  <c r="N45" i="118"/>
  <c r="N20" i="118"/>
  <c r="O20" i="118"/>
  <c r="K25" i="118"/>
  <c r="K55" i="118"/>
  <c r="K65" i="118"/>
  <c r="R94" i="118"/>
  <c r="R95" i="118" s="1"/>
  <c r="N92" i="118"/>
  <c r="K94" i="118"/>
  <c r="K95" i="118" s="1"/>
  <c r="J20" i="118"/>
  <c r="R20" i="118"/>
  <c r="J32" i="118"/>
  <c r="J35" i="118" s="1"/>
  <c r="J42" i="118"/>
  <c r="J45" i="118" s="1"/>
  <c r="N44" i="118"/>
  <c r="J44" i="118" s="1"/>
  <c r="J94" i="118" s="1"/>
  <c r="J72" i="118"/>
  <c r="J75" i="118" s="1"/>
  <c r="J82" i="118"/>
  <c r="J85" i="118" s="1"/>
  <c r="J92" i="118" l="1"/>
  <c r="J95" i="118" s="1"/>
  <c r="N95" i="118"/>
  <c r="T238" i="117" l="1"/>
  <c r="V236" i="117"/>
  <c r="T236" i="117"/>
  <c r="M236" i="117"/>
  <c r="L236" i="117"/>
  <c r="W235" i="117"/>
  <c r="V235" i="117"/>
  <c r="V240" i="117" s="1"/>
  <c r="T235" i="117"/>
  <c r="S235" i="117"/>
  <c r="S236" i="117" s="1"/>
  <c r="Q235" i="117"/>
  <c r="Q240" i="117" s="1"/>
  <c r="P235" i="117"/>
  <c r="M235" i="117"/>
  <c r="M240" i="117" s="1"/>
  <c r="L235" i="117"/>
  <c r="W233" i="117"/>
  <c r="W236" i="117" s="1"/>
  <c r="V233" i="117"/>
  <c r="T233" i="117"/>
  <c r="S233" i="117"/>
  <c r="Q233" i="117"/>
  <c r="Q236" i="117" s="1"/>
  <c r="P233" i="117"/>
  <c r="P236" i="117" s="1"/>
  <c r="M233" i="117"/>
  <c r="L233" i="117"/>
  <c r="W231" i="117"/>
  <c r="V231" i="117"/>
  <c r="T231" i="117"/>
  <c r="S231" i="117"/>
  <c r="Q231" i="117"/>
  <c r="P231" i="117"/>
  <c r="O231" i="117"/>
  <c r="M231" i="117"/>
  <c r="L231" i="117"/>
  <c r="U230" i="117"/>
  <c r="R230" i="117"/>
  <c r="O230" i="117"/>
  <c r="N230" i="117"/>
  <c r="J230" i="117" s="1"/>
  <c r="K230" i="117"/>
  <c r="U228" i="117"/>
  <c r="U231" i="117" s="1"/>
  <c r="R228" i="117"/>
  <c r="R231" i="117" s="1"/>
  <c r="O228" i="117"/>
  <c r="N228" i="117"/>
  <c r="K228" i="117"/>
  <c r="K231" i="117" s="1"/>
  <c r="W226" i="117"/>
  <c r="V226" i="117"/>
  <c r="T226" i="117"/>
  <c r="S226" i="117"/>
  <c r="Q226" i="117"/>
  <c r="P226" i="117"/>
  <c r="M226" i="117"/>
  <c r="L226" i="117"/>
  <c r="U225" i="117"/>
  <c r="U226" i="117" s="1"/>
  <c r="R225" i="117"/>
  <c r="R235" i="117" s="1"/>
  <c r="O225" i="117"/>
  <c r="K225" i="117"/>
  <c r="U223" i="117"/>
  <c r="R223" i="117"/>
  <c r="O223" i="117"/>
  <c r="O226" i="117" s="1"/>
  <c r="K223" i="117"/>
  <c r="K226" i="117" s="1"/>
  <c r="W221" i="117"/>
  <c r="V221" i="117"/>
  <c r="T221" i="117"/>
  <c r="S221" i="117"/>
  <c r="Q221" i="117"/>
  <c r="P221" i="117"/>
  <c r="M221" i="117"/>
  <c r="L221" i="117"/>
  <c r="K221" i="117"/>
  <c r="U220" i="117"/>
  <c r="R220" i="117"/>
  <c r="O220" i="117"/>
  <c r="O221" i="117" s="1"/>
  <c r="K220" i="117"/>
  <c r="U218" i="117"/>
  <c r="U221" i="117" s="1"/>
  <c r="R218" i="117"/>
  <c r="R221" i="117" s="1"/>
  <c r="O218" i="117"/>
  <c r="K218" i="117"/>
  <c r="W216" i="117"/>
  <c r="V216" i="117"/>
  <c r="U216" i="117"/>
  <c r="T216" i="117"/>
  <c r="S216" i="117"/>
  <c r="Q216" i="117"/>
  <c r="P216" i="117"/>
  <c r="M216" i="117"/>
  <c r="L216" i="117"/>
  <c r="U215" i="117"/>
  <c r="R215" i="117"/>
  <c r="O215" i="117"/>
  <c r="N215" i="117"/>
  <c r="K215" i="117"/>
  <c r="K216" i="117" s="1"/>
  <c r="U213" i="117"/>
  <c r="R213" i="117"/>
  <c r="R216" i="117" s="1"/>
  <c r="O213" i="117"/>
  <c r="N213" i="117" s="1"/>
  <c r="K213" i="117"/>
  <c r="W211" i="117"/>
  <c r="V211" i="117"/>
  <c r="T211" i="117"/>
  <c r="S211" i="117"/>
  <c r="Q211" i="117"/>
  <c r="P211" i="117"/>
  <c r="O211" i="117"/>
  <c r="N211" i="117"/>
  <c r="M211" i="117"/>
  <c r="L211" i="117"/>
  <c r="U210" i="117"/>
  <c r="R210" i="117"/>
  <c r="O210" i="117"/>
  <c r="N210" i="117"/>
  <c r="J210" i="117" s="1"/>
  <c r="K210" i="117"/>
  <c r="U208" i="117"/>
  <c r="U211" i="117" s="1"/>
  <c r="R208" i="117"/>
  <c r="R211" i="117" s="1"/>
  <c r="O208" i="117"/>
  <c r="N208" i="117"/>
  <c r="K208" i="117"/>
  <c r="K211" i="117" s="1"/>
  <c r="J208" i="117"/>
  <c r="W206" i="117"/>
  <c r="V206" i="117"/>
  <c r="T206" i="117"/>
  <c r="S206" i="117"/>
  <c r="Q206" i="117"/>
  <c r="P206" i="117"/>
  <c r="M206" i="117"/>
  <c r="L206" i="117"/>
  <c r="U205" i="117"/>
  <c r="U206" i="117" s="1"/>
  <c r="R205" i="117"/>
  <c r="N205" i="117" s="1"/>
  <c r="O205" i="117"/>
  <c r="K205" i="117"/>
  <c r="J205" i="117" s="1"/>
  <c r="U203" i="117"/>
  <c r="R203" i="117"/>
  <c r="R206" i="117" s="1"/>
  <c r="O203" i="117"/>
  <c r="O206" i="117" s="1"/>
  <c r="N203" i="117"/>
  <c r="K203" i="117"/>
  <c r="K206" i="117" s="1"/>
  <c r="W201" i="117"/>
  <c r="V201" i="117"/>
  <c r="T201" i="117"/>
  <c r="S201" i="117"/>
  <c r="R201" i="117"/>
  <c r="Q201" i="117"/>
  <c r="P201" i="117"/>
  <c r="M201" i="117"/>
  <c r="L201" i="117"/>
  <c r="K201" i="117"/>
  <c r="U200" i="117"/>
  <c r="U235" i="117" s="1"/>
  <c r="R200" i="117"/>
  <c r="O200" i="117"/>
  <c r="K200" i="117"/>
  <c r="U198" i="117"/>
  <c r="R198" i="117"/>
  <c r="O198" i="117"/>
  <c r="O233" i="117" s="1"/>
  <c r="K198" i="117"/>
  <c r="H194" i="117"/>
  <c r="G194" i="117"/>
  <c r="G242" i="117" s="1"/>
  <c r="H193" i="117"/>
  <c r="G193" i="117"/>
  <c r="G241" i="117" s="1"/>
  <c r="W192" i="117"/>
  <c r="W193" i="117" s="1"/>
  <c r="V192" i="117"/>
  <c r="V193" i="117" s="1"/>
  <c r="T192" i="117"/>
  <c r="T193" i="117" s="1"/>
  <c r="S192" i="117"/>
  <c r="S193" i="117" s="1"/>
  <c r="Q192" i="117"/>
  <c r="P192" i="117"/>
  <c r="O192" i="117"/>
  <c r="M192" i="117"/>
  <c r="L192" i="117"/>
  <c r="L193" i="117" s="1"/>
  <c r="H192" i="117"/>
  <c r="G192" i="117"/>
  <c r="G240" i="117" s="1"/>
  <c r="H191" i="117"/>
  <c r="H239" i="117" s="1"/>
  <c r="G191" i="117"/>
  <c r="G239" i="117" s="1"/>
  <c r="W190" i="117"/>
  <c r="V190" i="117"/>
  <c r="T190" i="117"/>
  <c r="S190" i="117"/>
  <c r="Q190" i="117"/>
  <c r="Q193" i="117" s="1"/>
  <c r="P190" i="117"/>
  <c r="P193" i="117" s="1"/>
  <c r="M190" i="117"/>
  <c r="M193" i="117" s="1"/>
  <c r="L190" i="117"/>
  <c r="W188" i="117"/>
  <c r="V188" i="117"/>
  <c r="T188" i="117"/>
  <c r="S188" i="117"/>
  <c r="Q188" i="117"/>
  <c r="P188" i="117"/>
  <c r="M188" i="117"/>
  <c r="L188" i="117"/>
  <c r="U187" i="117"/>
  <c r="U188" i="117" s="1"/>
  <c r="R187" i="117"/>
  <c r="N187" i="117" s="1"/>
  <c r="O187" i="117"/>
  <c r="K187" i="117"/>
  <c r="J187" i="117" s="1"/>
  <c r="U185" i="117"/>
  <c r="R185" i="117"/>
  <c r="O185" i="117"/>
  <c r="O188" i="117" s="1"/>
  <c r="N185" i="117"/>
  <c r="K185" i="117"/>
  <c r="K188" i="117" s="1"/>
  <c r="H185" i="117"/>
  <c r="G185" i="117"/>
  <c r="W183" i="117"/>
  <c r="V183" i="117"/>
  <c r="U183" i="117"/>
  <c r="T183" i="117"/>
  <c r="S183" i="117"/>
  <c r="Q183" i="117"/>
  <c r="P183" i="117"/>
  <c r="N183" i="117"/>
  <c r="M183" i="117"/>
  <c r="L183" i="117"/>
  <c r="U182" i="117"/>
  <c r="R182" i="117"/>
  <c r="O182" i="117"/>
  <c r="N182" i="117"/>
  <c r="K182" i="117"/>
  <c r="K183" i="117" s="1"/>
  <c r="U180" i="117"/>
  <c r="R180" i="117"/>
  <c r="R183" i="117" s="1"/>
  <c r="O180" i="117"/>
  <c r="N180" i="117" s="1"/>
  <c r="K180" i="117"/>
  <c r="J180" i="117"/>
  <c r="H180" i="117"/>
  <c r="G180" i="117"/>
  <c r="W178" i="117"/>
  <c r="V178" i="117"/>
  <c r="T178" i="117"/>
  <c r="S178" i="117"/>
  <c r="Q178" i="117"/>
  <c r="P178" i="117"/>
  <c r="M178" i="117"/>
  <c r="L178" i="117"/>
  <c r="U177" i="117"/>
  <c r="U178" i="117" s="1"/>
  <c r="R177" i="117"/>
  <c r="O177" i="117"/>
  <c r="K177" i="117"/>
  <c r="U175" i="117"/>
  <c r="R175" i="117"/>
  <c r="R178" i="117" s="1"/>
  <c r="O175" i="117"/>
  <c r="O178" i="117" s="1"/>
  <c r="N175" i="117"/>
  <c r="K175" i="117"/>
  <c r="K178" i="117" s="1"/>
  <c r="H175" i="117"/>
  <c r="G175" i="117"/>
  <c r="W173" i="117"/>
  <c r="V173" i="117"/>
  <c r="U173" i="117"/>
  <c r="T173" i="117"/>
  <c r="S173" i="117"/>
  <c r="Q173" i="117"/>
  <c r="P173" i="117"/>
  <c r="M173" i="117"/>
  <c r="L173" i="117"/>
  <c r="U172" i="117"/>
  <c r="R172" i="117"/>
  <c r="O172" i="117"/>
  <c r="N172" i="117"/>
  <c r="K172" i="117"/>
  <c r="K173" i="117" s="1"/>
  <c r="U170" i="117"/>
  <c r="R170" i="117"/>
  <c r="R173" i="117" s="1"/>
  <c r="O170" i="117"/>
  <c r="N170" i="117" s="1"/>
  <c r="N173" i="117" s="1"/>
  <c r="K170" i="117"/>
  <c r="J170" i="117"/>
  <c r="H170" i="117"/>
  <c r="H190" i="117" s="1"/>
  <c r="H238" i="117" s="1"/>
  <c r="G170" i="117"/>
  <c r="W168" i="117"/>
  <c r="V168" i="117"/>
  <c r="T168" i="117"/>
  <c r="S168" i="117"/>
  <c r="Q168" i="117"/>
  <c r="P168" i="117"/>
  <c r="M168" i="117"/>
  <c r="L168" i="117"/>
  <c r="U167" i="117"/>
  <c r="U168" i="117" s="1"/>
  <c r="R167" i="117"/>
  <c r="N167" i="117" s="1"/>
  <c r="O167" i="117"/>
  <c r="K167" i="117"/>
  <c r="J167" i="117" s="1"/>
  <c r="U165" i="117"/>
  <c r="R165" i="117"/>
  <c r="R190" i="117" s="1"/>
  <c r="O165" i="117"/>
  <c r="O168" i="117" s="1"/>
  <c r="N165" i="117"/>
  <c r="K165" i="117"/>
  <c r="K168" i="117" s="1"/>
  <c r="H165" i="117"/>
  <c r="G165" i="117"/>
  <c r="W163" i="117"/>
  <c r="V163" i="117"/>
  <c r="U163" i="117"/>
  <c r="T163" i="117"/>
  <c r="S163" i="117"/>
  <c r="Q163" i="117"/>
  <c r="P163" i="117"/>
  <c r="M163" i="117"/>
  <c r="L163" i="117"/>
  <c r="U162" i="117"/>
  <c r="R162" i="117"/>
  <c r="O162" i="117"/>
  <c r="N162" i="117"/>
  <c r="K162" i="117"/>
  <c r="U160" i="117"/>
  <c r="U190" i="117" s="1"/>
  <c r="R160" i="117"/>
  <c r="R163" i="117" s="1"/>
  <c r="O160" i="117"/>
  <c r="K160" i="117"/>
  <c r="K190" i="117" s="1"/>
  <c r="H160" i="117"/>
  <c r="G160" i="117"/>
  <c r="G190" i="117" s="1"/>
  <c r="H156" i="117"/>
  <c r="H242" i="117" s="1"/>
  <c r="G156" i="117"/>
  <c r="T155" i="117"/>
  <c r="H155" i="117"/>
  <c r="H241" i="117" s="1"/>
  <c r="G155" i="117"/>
  <c r="W154" i="117"/>
  <c r="W155" i="117" s="1"/>
  <c r="V154" i="117"/>
  <c r="T154" i="117"/>
  <c r="S154" i="117"/>
  <c r="S155" i="117" s="1"/>
  <c r="Q154" i="117"/>
  <c r="P154" i="117"/>
  <c r="P155" i="117" s="1"/>
  <c r="M154" i="117"/>
  <c r="L154" i="117"/>
  <c r="H154" i="117"/>
  <c r="H240" i="117" s="1"/>
  <c r="G154" i="117"/>
  <c r="H153" i="117"/>
  <c r="G153" i="117"/>
  <c r="W152" i="117"/>
  <c r="W238" i="117" s="1"/>
  <c r="V152" i="117"/>
  <c r="T152" i="117"/>
  <c r="S152" i="117"/>
  <c r="S238" i="117" s="1"/>
  <c r="Q152" i="117"/>
  <c r="Q155" i="117" s="1"/>
  <c r="P152" i="117"/>
  <c r="P238" i="117" s="1"/>
  <c r="M152" i="117"/>
  <c r="M155" i="117" s="1"/>
  <c r="L152" i="117"/>
  <c r="L238" i="117" s="1"/>
  <c r="W150" i="117"/>
  <c r="V150" i="117"/>
  <c r="U150" i="117"/>
  <c r="T150" i="117"/>
  <c r="S150" i="117"/>
  <c r="Q150" i="117"/>
  <c r="P150" i="117"/>
  <c r="N150" i="117"/>
  <c r="M150" i="117"/>
  <c r="L150" i="117"/>
  <c r="U149" i="117"/>
  <c r="R149" i="117"/>
  <c r="O149" i="117"/>
  <c r="N149" i="117"/>
  <c r="K149" i="117"/>
  <c r="K150" i="117" s="1"/>
  <c r="J149" i="117"/>
  <c r="U147" i="117"/>
  <c r="R147" i="117"/>
  <c r="R150" i="117" s="1"/>
  <c r="O147" i="117"/>
  <c r="N147" i="117" s="1"/>
  <c r="K147" i="117"/>
  <c r="J147" i="117"/>
  <c r="H147" i="117"/>
  <c r="G147" i="117"/>
  <c r="W145" i="117"/>
  <c r="V145" i="117"/>
  <c r="T145" i="117"/>
  <c r="S145" i="117"/>
  <c r="Q145" i="117"/>
  <c r="P145" i="117"/>
  <c r="M145" i="117"/>
  <c r="L145" i="117"/>
  <c r="U144" i="117"/>
  <c r="U145" i="117" s="1"/>
  <c r="R144" i="117"/>
  <c r="O144" i="117"/>
  <c r="N144" i="117" s="1"/>
  <c r="K144" i="117"/>
  <c r="J144" i="117" s="1"/>
  <c r="U142" i="117"/>
  <c r="R142" i="117"/>
  <c r="R145" i="117" s="1"/>
  <c r="O142" i="117"/>
  <c r="O145" i="117" s="1"/>
  <c r="K142" i="117"/>
  <c r="H142" i="117"/>
  <c r="G142" i="117"/>
  <c r="W140" i="117"/>
  <c r="V140" i="117"/>
  <c r="U140" i="117"/>
  <c r="T140" i="117"/>
  <c r="S140" i="117"/>
  <c r="Q140" i="117"/>
  <c r="P140" i="117"/>
  <c r="M140" i="117"/>
  <c r="L140" i="117"/>
  <c r="U139" i="117"/>
  <c r="R139" i="117"/>
  <c r="O139" i="117"/>
  <c r="N139" i="117"/>
  <c r="K139" i="117"/>
  <c r="K140" i="117" s="1"/>
  <c r="J139" i="117"/>
  <c r="U137" i="117"/>
  <c r="R137" i="117"/>
  <c r="O137" i="117"/>
  <c r="N137" i="117" s="1"/>
  <c r="K137" i="117"/>
  <c r="H137" i="117"/>
  <c r="G137" i="117"/>
  <c r="W135" i="117"/>
  <c r="V135" i="117"/>
  <c r="T135" i="117"/>
  <c r="S135" i="117"/>
  <c r="R135" i="117"/>
  <c r="Q135" i="117"/>
  <c r="P135" i="117"/>
  <c r="M135" i="117"/>
  <c r="L135" i="117"/>
  <c r="U134" i="117"/>
  <c r="U135" i="117" s="1"/>
  <c r="R134" i="117"/>
  <c r="O134" i="117"/>
  <c r="N134" i="117" s="1"/>
  <c r="K134" i="117"/>
  <c r="U132" i="117"/>
  <c r="R132" i="117"/>
  <c r="O132" i="117"/>
  <c r="O135" i="117" s="1"/>
  <c r="N132" i="117"/>
  <c r="K132" i="117"/>
  <c r="H132" i="117"/>
  <c r="G132" i="117"/>
  <c r="W130" i="117"/>
  <c r="V130" i="117"/>
  <c r="U130" i="117"/>
  <c r="T130" i="117"/>
  <c r="S130" i="117"/>
  <c r="Q130" i="117"/>
  <c r="P130" i="117"/>
  <c r="N130" i="117"/>
  <c r="M130" i="117"/>
  <c r="L130" i="117"/>
  <c r="U129" i="117"/>
  <c r="R129" i="117"/>
  <c r="O129" i="117"/>
  <c r="N129" i="117"/>
  <c r="K129" i="117"/>
  <c r="K130" i="117" s="1"/>
  <c r="J129" i="117"/>
  <c r="U127" i="117"/>
  <c r="R127" i="117"/>
  <c r="R130" i="117" s="1"/>
  <c r="O127" i="117"/>
  <c r="N127" i="117" s="1"/>
  <c r="K127" i="117"/>
  <c r="J127" i="117"/>
  <c r="H127" i="117"/>
  <c r="G127" i="117"/>
  <c r="W125" i="117"/>
  <c r="V125" i="117"/>
  <c r="T125" i="117"/>
  <c r="S125" i="117"/>
  <c r="Q125" i="117"/>
  <c r="P125" i="117"/>
  <c r="M125" i="117"/>
  <c r="L125" i="117"/>
  <c r="U124" i="117"/>
  <c r="U125" i="117" s="1"/>
  <c r="R124" i="117"/>
  <c r="O124" i="117"/>
  <c r="N124" i="117" s="1"/>
  <c r="K124" i="117"/>
  <c r="J124" i="117" s="1"/>
  <c r="U122" i="117"/>
  <c r="R122" i="117"/>
  <c r="R125" i="117" s="1"/>
  <c r="O122" i="117"/>
  <c r="O125" i="117" s="1"/>
  <c r="K122" i="117"/>
  <c r="H122" i="117"/>
  <c r="G122" i="117"/>
  <c r="W120" i="117"/>
  <c r="V120" i="117"/>
  <c r="U120" i="117"/>
  <c r="T120" i="117"/>
  <c r="S120" i="117"/>
  <c r="Q120" i="117"/>
  <c r="P120" i="117"/>
  <c r="M120" i="117"/>
  <c r="L120" i="117"/>
  <c r="U119" i="117"/>
  <c r="R119" i="117"/>
  <c r="O119" i="117"/>
  <c r="N119" i="117"/>
  <c r="K119" i="117"/>
  <c r="K120" i="117" s="1"/>
  <c r="J119" i="117"/>
  <c r="U117" i="117"/>
  <c r="R117" i="117"/>
  <c r="R120" i="117" s="1"/>
  <c r="O117" i="117"/>
  <c r="N117" i="117" s="1"/>
  <c r="J117" i="117" s="1"/>
  <c r="J120" i="117" s="1"/>
  <c r="K117" i="117"/>
  <c r="H117" i="117"/>
  <c r="G117" i="117"/>
  <c r="W115" i="117"/>
  <c r="V115" i="117"/>
  <c r="T115" i="117"/>
  <c r="S115" i="117"/>
  <c r="R115" i="117"/>
  <c r="Q115" i="117"/>
  <c r="P115" i="117"/>
  <c r="M115" i="117"/>
  <c r="L115" i="117"/>
  <c r="U114" i="117"/>
  <c r="U115" i="117" s="1"/>
  <c r="R114" i="117"/>
  <c r="N114" i="117" s="1"/>
  <c r="O114" i="117"/>
  <c r="K114" i="117"/>
  <c r="U112" i="117"/>
  <c r="R112" i="117"/>
  <c r="O112" i="117"/>
  <c r="O115" i="117" s="1"/>
  <c r="N112" i="117"/>
  <c r="K112" i="117"/>
  <c r="K115" i="117" s="1"/>
  <c r="H112" i="117"/>
  <c r="G112" i="117"/>
  <c r="W110" i="117"/>
  <c r="V110" i="117"/>
  <c r="U110" i="117"/>
  <c r="T110" i="117"/>
  <c r="S110" i="117"/>
  <c r="Q110" i="117"/>
  <c r="P110" i="117"/>
  <c r="N110" i="117"/>
  <c r="M110" i="117"/>
  <c r="L110" i="117"/>
  <c r="U109" i="117"/>
  <c r="R109" i="117"/>
  <c r="O109" i="117"/>
  <c r="N109" i="117"/>
  <c r="K109" i="117"/>
  <c r="K110" i="117" s="1"/>
  <c r="J109" i="117"/>
  <c r="U107" i="117"/>
  <c r="R107" i="117"/>
  <c r="R110" i="117" s="1"/>
  <c r="O107" i="117"/>
  <c r="N107" i="117" s="1"/>
  <c r="K107" i="117"/>
  <c r="J107" i="117"/>
  <c r="H107" i="117"/>
  <c r="G107" i="117"/>
  <c r="W105" i="117"/>
  <c r="V105" i="117"/>
  <c r="T105" i="117"/>
  <c r="S105" i="117"/>
  <c r="Q105" i="117"/>
  <c r="P105" i="117"/>
  <c r="M105" i="117"/>
  <c r="L105" i="117"/>
  <c r="U104" i="117"/>
  <c r="U105" i="117" s="1"/>
  <c r="R104" i="117"/>
  <c r="O104" i="117"/>
  <c r="N104" i="117" s="1"/>
  <c r="K104" i="117"/>
  <c r="J104" i="117" s="1"/>
  <c r="U102" i="117"/>
  <c r="R102" i="117"/>
  <c r="R105" i="117" s="1"/>
  <c r="O102" i="117"/>
  <c r="O105" i="117" s="1"/>
  <c r="K102" i="117"/>
  <c r="H102" i="117"/>
  <c r="G102" i="117"/>
  <c r="W100" i="117"/>
  <c r="V100" i="117"/>
  <c r="U100" i="117"/>
  <c r="T100" i="117"/>
  <c r="S100" i="117"/>
  <c r="Q100" i="117"/>
  <c r="P100" i="117"/>
  <c r="M100" i="117"/>
  <c r="L100" i="117"/>
  <c r="U99" i="117"/>
  <c r="R99" i="117"/>
  <c r="O99" i="117"/>
  <c r="N99" i="117"/>
  <c r="K99" i="117"/>
  <c r="K100" i="117" s="1"/>
  <c r="J99" i="117"/>
  <c r="U97" i="117"/>
  <c r="R97" i="117"/>
  <c r="R100" i="117" s="1"/>
  <c r="O97" i="117"/>
  <c r="N97" i="117" s="1"/>
  <c r="J97" i="117" s="1"/>
  <c r="J100" i="117" s="1"/>
  <c r="K97" i="117"/>
  <c r="H97" i="117"/>
  <c r="G97" i="117"/>
  <c r="W95" i="117"/>
  <c r="V95" i="117"/>
  <c r="T95" i="117"/>
  <c r="S95" i="117"/>
  <c r="R95" i="117"/>
  <c r="Q95" i="117"/>
  <c r="P95" i="117"/>
  <c r="M95" i="117"/>
  <c r="L95" i="117"/>
  <c r="U94" i="117"/>
  <c r="U95" i="117" s="1"/>
  <c r="R94" i="117"/>
  <c r="O94" i="117"/>
  <c r="N94" i="117" s="1"/>
  <c r="K94" i="117"/>
  <c r="U92" i="117"/>
  <c r="R92" i="117"/>
  <c r="O92" i="117"/>
  <c r="O95" i="117" s="1"/>
  <c r="N92" i="117"/>
  <c r="K92" i="117"/>
  <c r="H92" i="117"/>
  <c r="G92" i="117"/>
  <c r="W90" i="117"/>
  <c r="V90" i="117"/>
  <c r="U90" i="117"/>
  <c r="T90" i="117"/>
  <c r="S90" i="117"/>
  <c r="Q90" i="117"/>
  <c r="P90" i="117"/>
  <c r="N90" i="117"/>
  <c r="M90" i="117"/>
  <c r="L90" i="117"/>
  <c r="U89" i="117"/>
  <c r="R89" i="117"/>
  <c r="O89" i="117"/>
  <c r="N89" i="117"/>
  <c r="K89" i="117"/>
  <c r="K90" i="117" s="1"/>
  <c r="J89" i="117"/>
  <c r="U87" i="117"/>
  <c r="R87" i="117"/>
  <c r="R90" i="117" s="1"/>
  <c r="O87" i="117"/>
  <c r="N87" i="117" s="1"/>
  <c r="K87" i="117"/>
  <c r="J87" i="117"/>
  <c r="H87" i="117"/>
  <c r="G87" i="117"/>
  <c r="W85" i="117"/>
  <c r="V85" i="117"/>
  <c r="T85" i="117"/>
  <c r="S85" i="117"/>
  <c r="Q85" i="117"/>
  <c r="P85" i="117"/>
  <c r="M85" i="117"/>
  <c r="L85" i="117"/>
  <c r="U84" i="117"/>
  <c r="U85" i="117" s="1"/>
  <c r="R84" i="117"/>
  <c r="N84" i="117" s="1"/>
  <c r="O84" i="117"/>
  <c r="K84" i="117"/>
  <c r="J84" i="117" s="1"/>
  <c r="U82" i="117"/>
  <c r="R82" i="117"/>
  <c r="R85" i="117" s="1"/>
  <c r="O82" i="117"/>
  <c r="O85" i="117" s="1"/>
  <c r="K82" i="117"/>
  <c r="K85" i="117" s="1"/>
  <c r="H82" i="117"/>
  <c r="G82" i="117"/>
  <c r="W80" i="117"/>
  <c r="V80" i="117"/>
  <c r="U80" i="117"/>
  <c r="T80" i="117"/>
  <c r="S80" i="117"/>
  <c r="Q80" i="117"/>
  <c r="P80" i="117"/>
  <c r="M80" i="117"/>
  <c r="L80" i="117"/>
  <c r="U79" i="117"/>
  <c r="R79" i="117"/>
  <c r="O79" i="117"/>
  <c r="N79" i="117"/>
  <c r="K79" i="117"/>
  <c r="K80" i="117" s="1"/>
  <c r="J79" i="117"/>
  <c r="U77" i="117"/>
  <c r="R77" i="117"/>
  <c r="R80" i="117" s="1"/>
  <c r="O77" i="117"/>
  <c r="N77" i="117" s="1"/>
  <c r="J77" i="117" s="1"/>
  <c r="J80" i="117" s="1"/>
  <c r="K77" i="117"/>
  <c r="H77" i="117"/>
  <c r="G77" i="117"/>
  <c r="W75" i="117"/>
  <c r="V75" i="117"/>
  <c r="T75" i="117"/>
  <c r="S75" i="117"/>
  <c r="R75" i="117"/>
  <c r="Q75" i="117"/>
  <c r="P75" i="117"/>
  <c r="M75" i="117"/>
  <c r="L75" i="117"/>
  <c r="U74" i="117"/>
  <c r="U75" i="117" s="1"/>
  <c r="R74" i="117"/>
  <c r="N74" i="117" s="1"/>
  <c r="O74" i="117"/>
  <c r="K74" i="117"/>
  <c r="U72" i="117"/>
  <c r="R72" i="117"/>
  <c r="O72" i="117"/>
  <c r="O75" i="117" s="1"/>
  <c r="N72" i="117"/>
  <c r="K72" i="117"/>
  <c r="K75" i="117" s="1"/>
  <c r="H72" i="117"/>
  <c r="G72" i="117"/>
  <c r="W70" i="117"/>
  <c r="V70" i="117"/>
  <c r="U70" i="117"/>
  <c r="T70" i="117"/>
  <c r="S70" i="117"/>
  <c r="Q70" i="117"/>
  <c r="P70" i="117"/>
  <c r="N70" i="117"/>
  <c r="M70" i="117"/>
  <c r="L70" i="117"/>
  <c r="U69" i="117"/>
  <c r="R69" i="117"/>
  <c r="O69" i="117"/>
  <c r="N69" i="117"/>
  <c r="K69" i="117"/>
  <c r="K70" i="117" s="1"/>
  <c r="J69" i="117"/>
  <c r="U67" i="117"/>
  <c r="R67" i="117"/>
  <c r="R70" i="117" s="1"/>
  <c r="O67" i="117"/>
  <c r="N67" i="117" s="1"/>
  <c r="K67" i="117"/>
  <c r="J67" i="117"/>
  <c r="H67" i="117"/>
  <c r="G67" i="117"/>
  <c r="W65" i="117"/>
  <c r="V65" i="117"/>
  <c r="T65" i="117"/>
  <c r="S65" i="117"/>
  <c r="Q65" i="117"/>
  <c r="P65" i="117"/>
  <c r="N65" i="117"/>
  <c r="M65" i="117"/>
  <c r="L65" i="117"/>
  <c r="U64" i="117"/>
  <c r="U65" i="117" s="1"/>
  <c r="R64" i="117"/>
  <c r="R65" i="117" s="1"/>
  <c r="O64" i="117"/>
  <c r="N64" i="117"/>
  <c r="K64" i="117"/>
  <c r="J64" i="117" s="1"/>
  <c r="U62" i="117"/>
  <c r="R62" i="117"/>
  <c r="O62" i="117"/>
  <c r="O65" i="117" s="1"/>
  <c r="N62" i="117"/>
  <c r="K62" i="117"/>
  <c r="J62" i="117"/>
  <c r="J65" i="117" s="1"/>
  <c r="H62" i="117"/>
  <c r="G62" i="117"/>
  <c r="W60" i="117"/>
  <c r="V60" i="117"/>
  <c r="T60" i="117"/>
  <c r="S60" i="117"/>
  <c r="R60" i="117"/>
  <c r="Q60" i="117"/>
  <c r="P60" i="117"/>
  <c r="M60" i="117"/>
  <c r="L60" i="117"/>
  <c r="K60" i="117"/>
  <c r="U59" i="117"/>
  <c r="R59" i="117"/>
  <c r="O59" i="117"/>
  <c r="N59" i="117"/>
  <c r="J59" i="117" s="1"/>
  <c r="K59" i="117"/>
  <c r="U57" i="117"/>
  <c r="U152" i="117" s="1"/>
  <c r="R57" i="117"/>
  <c r="O57" i="117"/>
  <c r="K57" i="117"/>
  <c r="H57" i="117"/>
  <c r="G57" i="117"/>
  <c r="W55" i="117"/>
  <c r="V55" i="117"/>
  <c r="T55" i="117"/>
  <c r="S55" i="117"/>
  <c r="Q55" i="117"/>
  <c r="P55" i="117"/>
  <c r="M55" i="117"/>
  <c r="L55" i="117"/>
  <c r="U54" i="117"/>
  <c r="U55" i="117" s="1"/>
  <c r="R54" i="117"/>
  <c r="R55" i="117" s="1"/>
  <c r="O54" i="117"/>
  <c r="K54" i="117"/>
  <c r="U52" i="117"/>
  <c r="R52" i="117"/>
  <c r="O52" i="117"/>
  <c r="O55" i="117" s="1"/>
  <c r="N52" i="117"/>
  <c r="K52" i="117"/>
  <c r="K55" i="117" s="1"/>
  <c r="H52" i="117"/>
  <c r="G52" i="117"/>
  <c r="W50" i="117"/>
  <c r="V50" i="117"/>
  <c r="T50" i="117"/>
  <c r="S50" i="117"/>
  <c r="Q50" i="117"/>
  <c r="P50" i="117"/>
  <c r="M50" i="117"/>
  <c r="L50" i="117"/>
  <c r="K50" i="117"/>
  <c r="U49" i="117"/>
  <c r="R49" i="117"/>
  <c r="O49" i="117"/>
  <c r="N49" i="117"/>
  <c r="K49" i="117"/>
  <c r="J49" i="117" s="1"/>
  <c r="U47" i="117"/>
  <c r="U50" i="117" s="1"/>
  <c r="R47" i="117"/>
  <c r="R50" i="117" s="1"/>
  <c r="O47" i="117"/>
  <c r="K47" i="117"/>
  <c r="H47" i="117"/>
  <c r="G47" i="117"/>
  <c r="W45" i="117"/>
  <c r="V45" i="117"/>
  <c r="U45" i="117"/>
  <c r="T45" i="117"/>
  <c r="S45" i="117"/>
  <c r="Q45" i="117"/>
  <c r="P45" i="117"/>
  <c r="M45" i="117"/>
  <c r="L45" i="117"/>
  <c r="U44" i="117"/>
  <c r="R44" i="117"/>
  <c r="R45" i="117" s="1"/>
  <c r="O44" i="117"/>
  <c r="O45" i="117" s="1"/>
  <c r="K44" i="117"/>
  <c r="U42" i="117"/>
  <c r="R42" i="117"/>
  <c r="O42" i="117"/>
  <c r="N42" i="117"/>
  <c r="K42" i="117"/>
  <c r="J42" i="117"/>
  <c r="H42" i="117"/>
  <c r="G42" i="117"/>
  <c r="W40" i="117"/>
  <c r="V40" i="117"/>
  <c r="T40" i="117"/>
  <c r="S40" i="117"/>
  <c r="R40" i="117"/>
  <c r="Q40" i="117"/>
  <c r="P40" i="117"/>
  <c r="M40" i="117"/>
  <c r="L40" i="117"/>
  <c r="K40" i="117"/>
  <c r="U39" i="117"/>
  <c r="R39" i="117"/>
  <c r="O39" i="117"/>
  <c r="N39" i="117"/>
  <c r="J39" i="117" s="1"/>
  <c r="K39" i="117"/>
  <c r="U37" i="117"/>
  <c r="U40" i="117" s="1"/>
  <c r="R37" i="117"/>
  <c r="O37" i="117"/>
  <c r="K37" i="117"/>
  <c r="H37" i="117"/>
  <c r="G37" i="117"/>
  <c r="W35" i="117"/>
  <c r="V35" i="117"/>
  <c r="T35" i="117"/>
  <c r="S35" i="117"/>
  <c r="Q35" i="117"/>
  <c r="P35" i="117"/>
  <c r="M35" i="117"/>
  <c r="L35" i="117"/>
  <c r="U34" i="117"/>
  <c r="U35" i="117" s="1"/>
  <c r="R34" i="117"/>
  <c r="R35" i="117" s="1"/>
  <c r="O34" i="117"/>
  <c r="K34" i="117"/>
  <c r="U32" i="117"/>
  <c r="R32" i="117"/>
  <c r="O32" i="117"/>
  <c r="O35" i="117" s="1"/>
  <c r="N32" i="117"/>
  <c r="K32" i="117"/>
  <c r="K35" i="117" s="1"/>
  <c r="H32" i="117"/>
  <c r="G32" i="117"/>
  <c r="W30" i="117"/>
  <c r="V30" i="117"/>
  <c r="T30" i="117"/>
  <c r="S30" i="117"/>
  <c r="Q30" i="117"/>
  <c r="P30" i="117"/>
  <c r="M30" i="117"/>
  <c r="L30" i="117"/>
  <c r="K30" i="117"/>
  <c r="U29" i="117"/>
  <c r="R29" i="117"/>
  <c r="O29" i="117"/>
  <c r="N29" i="117"/>
  <c r="K29" i="117"/>
  <c r="J29" i="117" s="1"/>
  <c r="U27" i="117"/>
  <c r="U30" i="117" s="1"/>
  <c r="R27" i="117"/>
  <c r="R30" i="117" s="1"/>
  <c r="O27" i="117"/>
  <c r="K27" i="117"/>
  <c r="H27" i="117"/>
  <c r="G27" i="117"/>
  <c r="W25" i="117"/>
  <c r="V25" i="117"/>
  <c r="U25" i="117"/>
  <c r="T25" i="117"/>
  <c r="S25" i="117"/>
  <c r="Q25" i="117"/>
  <c r="P25" i="117"/>
  <c r="M25" i="117"/>
  <c r="L25" i="117"/>
  <c r="U24" i="117"/>
  <c r="R24" i="117"/>
  <c r="R25" i="117" s="1"/>
  <c r="O24" i="117"/>
  <c r="O25" i="117" s="1"/>
  <c r="K24" i="117"/>
  <c r="U22" i="117"/>
  <c r="R22" i="117"/>
  <c r="O22" i="117"/>
  <c r="N22" i="117"/>
  <c r="K22" i="117"/>
  <c r="J22" i="117"/>
  <c r="H22" i="117"/>
  <c r="G22" i="117"/>
  <c r="W20" i="117"/>
  <c r="V20" i="117"/>
  <c r="T20" i="117"/>
  <c r="S20" i="117"/>
  <c r="R20" i="117"/>
  <c r="Q20" i="117"/>
  <c r="P20" i="117"/>
  <c r="M20" i="117"/>
  <c r="L20" i="117"/>
  <c r="K20" i="117"/>
  <c r="U19" i="117"/>
  <c r="R19" i="117"/>
  <c r="O19" i="117"/>
  <c r="N19" i="117"/>
  <c r="J19" i="117" s="1"/>
  <c r="K19" i="117"/>
  <c r="U17" i="117"/>
  <c r="U20" i="117" s="1"/>
  <c r="R17" i="117"/>
  <c r="O17" i="117"/>
  <c r="K17" i="117"/>
  <c r="H17" i="117"/>
  <c r="H152" i="117" s="1"/>
  <c r="G17" i="117"/>
  <c r="N55" i="117" l="1"/>
  <c r="L241" i="117"/>
  <c r="N192" i="117"/>
  <c r="N35" i="117"/>
  <c r="N152" i="117"/>
  <c r="N57" i="117"/>
  <c r="O60" i="117"/>
  <c r="J70" i="117"/>
  <c r="J90" i="117"/>
  <c r="J110" i="117"/>
  <c r="N135" i="117"/>
  <c r="K45" i="117"/>
  <c r="K65" i="117"/>
  <c r="N80" i="117"/>
  <c r="N120" i="117"/>
  <c r="N140" i="117"/>
  <c r="N216" i="117"/>
  <c r="J213" i="117"/>
  <c r="J216" i="117" s="1"/>
  <c r="L155" i="117"/>
  <c r="N168" i="117"/>
  <c r="J165" i="117"/>
  <c r="J168" i="117" s="1"/>
  <c r="J183" i="117"/>
  <c r="U233" i="117"/>
  <c r="U236" i="117" s="1"/>
  <c r="U201" i="117"/>
  <c r="N54" i="117"/>
  <c r="J54" i="117" s="1"/>
  <c r="U60" i="117"/>
  <c r="K152" i="117"/>
  <c r="N154" i="117"/>
  <c r="J142" i="117"/>
  <c r="J145" i="117" s="1"/>
  <c r="K193" i="117"/>
  <c r="R192" i="117"/>
  <c r="R240" i="117" s="1"/>
  <c r="J172" i="117"/>
  <c r="N206" i="117"/>
  <c r="J203" i="117"/>
  <c r="J206" i="117" s="1"/>
  <c r="J211" i="117"/>
  <c r="J218" i="117"/>
  <c r="J225" i="117"/>
  <c r="S240" i="117"/>
  <c r="S241" i="117" s="1"/>
  <c r="U154" i="117"/>
  <c r="U155" i="117" s="1"/>
  <c r="N17" i="117"/>
  <c r="O20" i="117"/>
  <c r="N37" i="117"/>
  <c r="O40" i="117"/>
  <c r="N75" i="117"/>
  <c r="J72" i="117"/>
  <c r="J75" i="117" s="1"/>
  <c r="N95" i="117"/>
  <c r="N115" i="117"/>
  <c r="J112" i="117"/>
  <c r="J130" i="117"/>
  <c r="J150" i="117"/>
  <c r="K163" i="117"/>
  <c r="K192" i="117"/>
  <c r="P240" i="117"/>
  <c r="P241" i="117" s="1"/>
  <c r="K25" i="117"/>
  <c r="N100" i="117"/>
  <c r="R154" i="117"/>
  <c r="N198" i="117"/>
  <c r="R233" i="117"/>
  <c r="R236" i="117" s="1"/>
  <c r="R226" i="117"/>
  <c r="J34" i="117"/>
  <c r="N188" i="117"/>
  <c r="J185" i="117"/>
  <c r="J188" i="117" s="1"/>
  <c r="N34" i="117"/>
  <c r="G152" i="117"/>
  <c r="G238" i="117" s="1"/>
  <c r="N27" i="117"/>
  <c r="O30" i="117"/>
  <c r="J32" i="117"/>
  <c r="N47" i="117"/>
  <c r="O50" i="117"/>
  <c r="J52" i="117"/>
  <c r="J74" i="117"/>
  <c r="N82" i="117"/>
  <c r="J94" i="117"/>
  <c r="N102" i="117"/>
  <c r="N105" i="117" s="1"/>
  <c r="J114" i="117"/>
  <c r="N122" i="117"/>
  <c r="N125" i="117" s="1"/>
  <c r="J134" i="117"/>
  <c r="J137" i="117"/>
  <c r="N142" i="117"/>
  <c r="N145" i="117" s="1"/>
  <c r="K154" i="117"/>
  <c r="O190" i="117"/>
  <c r="O193" i="117" s="1"/>
  <c r="U192" i="117"/>
  <c r="U193" i="117" s="1"/>
  <c r="N177" i="117"/>
  <c r="N178" i="117" s="1"/>
  <c r="O235" i="117"/>
  <c r="J215" i="117"/>
  <c r="N231" i="117"/>
  <c r="T240" i="117"/>
  <c r="V155" i="117"/>
  <c r="V238" i="117"/>
  <c r="V241" i="117" s="1"/>
  <c r="N218" i="117"/>
  <c r="N225" i="117"/>
  <c r="K235" i="117"/>
  <c r="K240" i="117" s="1"/>
  <c r="M238" i="117"/>
  <c r="M241" i="117" s="1"/>
  <c r="W241" i="117"/>
  <c r="J173" i="117"/>
  <c r="J175" i="117"/>
  <c r="L240" i="117"/>
  <c r="W240" i="117"/>
  <c r="T241" i="117"/>
  <c r="N24" i="117"/>
  <c r="N25" i="117" s="1"/>
  <c r="N44" i="117"/>
  <c r="N45" i="117" s="1"/>
  <c r="J92" i="117"/>
  <c r="J95" i="117" s="1"/>
  <c r="J132" i="117"/>
  <c r="R152" i="117"/>
  <c r="J162" i="117"/>
  <c r="R168" i="117"/>
  <c r="J182" i="117"/>
  <c r="R188" i="117"/>
  <c r="J198" i="117"/>
  <c r="N223" i="117"/>
  <c r="J228" i="117"/>
  <c r="J231" i="117" s="1"/>
  <c r="O70" i="117"/>
  <c r="O80" i="117"/>
  <c r="O90" i="117"/>
  <c r="K95" i="117"/>
  <c r="O100" i="117"/>
  <c r="K105" i="117"/>
  <c r="O110" i="117"/>
  <c r="O120" i="117"/>
  <c r="K125" i="117"/>
  <c r="O130" i="117"/>
  <c r="K135" i="117"/>
  <c r="O140" i="117"/>
  <c r="K145" i="117"/>
  <c r="O150" i="117"/>
  <c r="O152" i="117"/>
  <c r="O163" i="117"/>
  <c r="O173" i="117"/>
  <c r="O183" i="117"/>
  <c r="O216" i="117"/>
  <c r="K233" i="117"/>
  <c r="N160" i="117"/>
  <c r="N200" i="117"/>
  <c r="N220" i="117"/>
  <c r="J220" i="117" s="1"/>
  <c r="O154" i="117"/>
  <c r="O201" i="117"/>
  <c r="Q238" i="117"/>
  <c r="Q241" i="117" s="1"/>
  <c r="R140" i="117"/>
  <c r="O240" i="117" l="1"/>
  <c r="J47" i="117"/>
  <c r="J50" i="117" s="1"/>
  <c r="N50" i="117"/>
  <c r="O236" i="117"/>
  <c r="U240" i="117"/>
  <c r="J221" i="117"/>
  <c r="J177" i="117"/>
  <c r="J178" i="117" s="1"/>
  <c r="N235" i="117"/>
  <c r="N240" i="117" s="1"/>
  <c r="J200" i="117"/>
  <c r="J235" i="117" s="1"/>
  <c r="K238" i="117"/>
  <c r="K241" i="117" s="1"/>
  <c r="K155" i="117"/>
  <c r="N190" i="117"/>
  <c r="N193" i="117" s="1"/>
  <c r="N163" i="117"/>
  <c r="J160" i="117"/>
  <c r="N233" i="117"/>
  <c r="N201" i="117"/>
  <c r="J102" i="117"/>
  <c r="J105" i="117" s="1"/>
  <c r="U238" i="117"/>
  <c r="U241" i="117" s="1"/>
  <c r="J44" i="117"/>
  <c r="J45" i="117" s="1"/>
  <c r="R193" i="117"/>
  <c r="J192" i="117"/>
  <c r="J140" i="117"/>
  <c r="R238" i="117"/>
  <c r="R241" i="117" s="1"/>
  <c r="R155" i="117"/>
  <c r="N155" i="117"/>
  <c r="J135" i="117"/>
  <c r="O155" i="117"/>
  <c r="O238" i="117"/>
  <c r="O241" i="117" s="1"/>
  <c r="N226" i="117"/>
  <c r="J223" i="117"/>
  <c r="J226" i="117" s="1"/>
  <c r="J35" i="117"/>
  <c r="N221" i="117"/>
  <c r="N30" i="117"/>
  <c r="J27" i="117"/>
  <c r="J30" i="117" s="1"/>
  <c r="N40" i="117"/>
  <c r="J37" i="117"/>
  <c r="J40" i="117" s="1"/>
  <c r="J57" i="117"/>
  <c r="J60" i="117" s="1"/>
  <c r="N60" i="117"/>
  <c r="K236" i="117"/>
  <c r="N85" i="117"/>
  <c r="J82" i="117"/>
  <c r="J85" i="117" s="1"/>
  <c r="J122" i="117"/>
  <c r="J125" i="117" s="1"/>
  <c r="J24" i="117"/>
  <c r="J25" i="117" s="1"/>
  <c r="J115" i="117"/>
  <c r="N20" i="117"/>
  <c r="J17" i="117"/>
  <c r="J20" i="117" s="1"/>
  <c r="J55" i="117"/>
  <c r="J240" i="117" l="1"/>
  <c r="J201" i="117"/>
  <c r="J152" i="117"/>
  <c r="J163" i="117"/>
  <c r="J190" i="117"/>
  <c r="J193" i="117" s="1"/>
  <c r="J154" i="117"/>
  <c r="N238" i="117"/>
  <c r="N241" i="117" s="1"/>
  <c r="N236" i="117"/>
  <c r="J233" i="117"/>
  <c r="J236" i="117" s="1"/>
  <c r="J238" i="117" l="1"/>
  <c r="J241" i="117" s="1"/>
  <c r="J155" i="117"/>
  <c r="X157" i="116" l="1"/>
  <c r="X155" i="116"/>
  <c r="W155" i="116"/>
  <c r="N155" i="116"/>
  <c r="M155" i="116"/>
  <c r="T153" i="116"/>
  <c r="N153" i="116"/>
  <c r="X152" i="116"/>
  <c r="W152" i="116"/>
  <c r="U152" i="116"/>
  <c r="T152" i="116"/>
  <c r="R152" i="116"/>
  <c r="R157" i="116" s="1"/>
  <c r="Q152" i="116"/>
  <c r="Q157" i="116" s="1"/>
  <c r="N152" i="116"/>
  <c r="M152" i="116"/>
  <c r="X150" i="116"/>
  <c r="X153" i="116" s="1"/>
  <c r="W150" i="116"/>
  <c r="W153" i="116" s="1"/>
  <c r="U150" i="116"/>
  <c r="T150" i="116"/>
  <c r="R150" i="116"/>
  <c r="Q150" i="116"/>
  <c r="N150" i="116"/>
  <c r="M150" i="116"/>
  <c r="X148" i="116"/>
  <c r="W148" i="116"/>
  <c r="V148" i="116"/>
  <c r="U148" i="116"/>
  <c r="T148" i="116"/>
  <c r="R148" i="116"/>
  <c r="Q148" i="116"/>
  <c r="P148" i="116"/>
  <c r="O148" i="116"/>
  <c r="N148" i="116"/>
  <c r="M148" i="116"/>
  <c r="V147" i="116"/>
  <c r="S147" i="116"/>
  <c r="P147" i="116"/>
  <c r="O147" i="116"/>
  <c r="L147" i="116"/>
  <c r="K147" i="116"/>
  <c r="V145" i="116"/>
  <c r="S145" i="116"/>
  <c r="S148" i="116" s="1"/>
  <c r="P145" i="116"/>
  <c r="O145" i="116"/>
  <c r="L145" i="116"/>
  <c r="K145" i="116"/>
  <c r="X143" i="116"/>
  <c r="W143" i="116"/>
  <c r="U143" i="116"/>
  <c r="T143" i="116"/>
  <c r="S143" i="116"/>
  <c r="R143" i="116"/>
  <c r="Q143" i="116"/>
  <c r="N143" i="116"/>
  <c r="M143" i="116"/>
  <c r="V142" i="116"/>
  <c r="O142" i="116" s="1"/>
  <c r="S142" i="116"/>
  <c r="P142" i="116"/>
  <c r="L142" i="116"/>
  <c r="V140" i="116"/>
  <c r="S140" i="116"/>
  <c r="P140" i="116"/>
  <c r="P143" i="116" s="1"/>
  <c r="O140" i="116"/>
  <c r="K140" i="116" s="1"/>
  <c r="L140" i="116"/>
  <c r="L143" i="116" s="1"/>
  <c r="X138" i="116"/>
  <c r="W138" i="116"/>
  <c r="U138" i="116"/>
  <c r="T138" i="116"/>
  <c r="R138" i="116"/>
  <c r="Q138" i="116"/>
  <c r="N138" i="116"/>
  <c r="M138" i="116"/>
  <c r="L138" i="116"/>
  <c r="V137" i="116"/>
  <c r="S137" i="116"/>
  <c r="S138" i="116" s="1"/>
  <c r="P137" i="116"/>
  <c r="O137" i="116" s="1"/>
  <c r="K137" i="116" s="1"/>
  <c r="L137" i="116"/>
  <c r="V135" i="116"/>
  <c r="S135" i="116"/>
  <c r="P135" i="116"/>
  <c r="P138" i="116" s="1"/>
  <c r="O135" i="116"/>
  <c r="L135" i="116"/>
  <c r="K135" i="116" s="1"/>
  <c r="X133" i="116"/>
  <c r="W133" i="116"/>
  <c r="U133" i="116"/>
  <c r="T133" i="116"/>
  <c r="S133" i="116"/>
  <c r="R133" i="116"/>
  <c r="Q133" i="116"/>
  <c r="N133" i="116"/>
  <c r="M133" i="116"/>
  <c r="L133" i="116"/>
  <c r="V132" i="116"/>
  <c r="S132" i="116"/>
  <c r="P132" i="116"/>
  <c r="P133" i="116" s="1"/>
  <c r="O132" i="116"/>
  <c r="K132" i="116" s="1"/>
  <c r="L132" i="116"/>
  <c r="V130" i="116"/>
  <c r="V133" i="116" s="1"/>
  <c r="S130" i="116"/>
  <c r="P130" i="116"/>
  <c r="O130" i="116" s="1"/>
  <c r="L130" i="116"/>
  <c r="K130" i="116"/>
  <c r="X128" i="116"/>
  <c r="W128" i="116"/>
  <c r="V128" i="116"/>
  <c r="U128" i="116"/>
  <c r="T128" i="116"/>
  <c r="R128" i="116"/>
  <c r="Q128" i="116"/>
  <c r="P128" i="116"/>
  <c r="O128" i="116"/>
  <c r="N128" i="116"/>
  <c r="M128" i="116"/>
  <c r="V127" i="116"/>
  <c r="S127" i="116"/>
  <c r="P127" i="116"/>
  <c r="O127" i="116"/>
  <c r="L127" i="116"/>
  <c r="K127" i="116"/>
  <c r="V125" i="116"/>
  <c r="S125" i="116"/>
  <c r="P125" i="116"/>
  <c r="O125" i="116"/>
  <c r="L125" i="116"/>
  <c r="K125" i="116"/>
  <c r="X123" i="116"/>
  <c r="W123" i="116"/>
  <c r="U123" i="116"/>
  <c r="T123" i="116"/>
  <c r="R123" i="116"/>
  <c r="Q123" i="116"/>
  <c r="P123" i="116"/>
  <c r="O123" i="116"/>
  <c r="N123" i="116"/>
  <c r="M123" i="116"/>
  <c r="V122" i="116"/>
  <c r="S122" i="116"/>
  <c r="S123" i="116" s="1"/>
  <c r="P122" i="116"/>
  <c r="O122" i="116"/>
  <c r="L122" i="116"/>
  <c r="K122" i="116" s="1"/>
  <c r="V120" i="116"/>
  <c r="V123" i="116" s="1"/>
  <c r="S120" i="116"/>
  <c r="P120" i="116"/>
  <c r="O120" i="116"/>
  <c r="L120" i="116"/>
  <c r="L123" i="116" s="1"/>
  <c r="K120" i="116"/>
  <c r="K123" i="116" s="1"/>
  <c r="X118" i="116"/>
  <c r="W118" i="116"/>
  <c r="U118" i="116"/>
  <c r="T118" i="116"/>
  <c r="R118" i="116"/>
  <c r="Q118" i="116"/>
  <c r="N118" i="116"/>
  <c r="M118" i="116"/>
  <c r="L118" i="116"/>
  <c r="V117" i="116"/>
  <c r="S117" i="116"/>
  <c r="O117" i="116" s="1"/>
  <c r="P117" i="116"/>
  <c r="L117" i="116"/>
  <c r="K117" i="116"/>
  <c r="V115" i="116"/>
  <c r="V118" i="116" s="1"/>
  <c r="S115" i="116"/>
  <c r="S118" i="116" s="1"/>
  <c r="P115" i="116"/>
  <c r="P118" i="116" s="1"/>
  <c r="L115" i="116"/>
  <c r="X113" i="116"/>
  <c r="W113" i="116"/>
  <c r="U113" i="116"/>
  <c r="T113" i="116"/>
  <c r="S113" i="116"/>
  <c r="R113" i="116"/>
  <c r="Q113" i="116"/>
  <c r="N113" i="116"/>
  <c r="M113" i="116"/>
  <c r="L113" i="116"/>
  <c r="V112" i="116"/>
  <c r="S112" i="116"/>
  <c r="P112" i="116"/>
  <c r="P113" i="116" s="1"/>
  <c r="O112" i="116"/>
  <c r="L112" i="116"/>
  <c r="K112" i="116"/>
  <c r="V110" i="116"/>
  <c r="V113" i="116" s="1"/>
  <c r="S110" i="116"/>
  <c r="O110" i="116" s="1"/>
  <c r="K110" i="116" s="1"/>
  <c r="K113" i="116" s="1"/>
  <c r="P110" i="116"/>
  <c r="L110" i="116"/>
  <c r="X108" i="116"/>
  <c r="W108" i="116"/>
  <c r="V108" i="116"/>
  <c r="U108" i="116"/>
  <c r="T108" i="116"/>
  <c r="R108" i="116"/>
  <c r="Q108" i="116"/>
  <c r="N108" i="116"/>
  <c r="M108" i="116"/>
  <c r="V107" i="116"/>
  <c r="S107" i="116"/>
  <c r="P107" i="116"/>
  <c r="O107" i="116" s="1"/>
  <c r="K107" i="116" s="1"/>
  <c r="L107" i="116"/>
  <c r="V105" i="116"/>
  <c r="S105" i="116"/>
  <c r="P105" i="116"/>
  <c r="O105" i="116"/>
  <c r="L105" i="116"/>
  <c r="L108" i="116" s="1"/>
  <c r="X103" i="116"/>
  <c r="W103" i="116"/>
  <c r="U103" i="116"/>
  <c r="T103" i="116"/>
  <c r="R103" i="116"/>
  <c r="Q103" i="116"/>
  <c r="N103" i="116"/>
  <c r="M103" i="116"/>
  <c r="V102" i="116"/>
  <c r="S102" i="116"/>
  <c r="S103" i="116" s="1"/>
  <c r="P102" i="116"/>
  <c r="O102" i="116" s="1"/>
  <c r="L102" i="116"/>
  <c r="V100" i="116"/>
  <c r="S100" i="116"/>
  <c r="P100" i="116"/>
  <c r="P103" i="116" s="1"/>
  <c r="O100" i="116"/>
  <c r="L100" i="116"/>
  <c r="L103" i="116" s="1"/>
  <c r="K100" i="116"/>
  <c r="X98" i="116"/>
  <c r="W98" i="116"/>
  <c r="U98" i="116"/>
  <c r="T98" i="116"/>
  <c r="R98" i="116"/>
  <c r="Q98" i="116"/>
  <c r="N98" i="116"/>
  <c r="M98" i="116"/>
  <c r="L98" i="116"/>
  <c r="V97" i="116"/>
  <c r="S97" i="116"/>
  <c r="S98" i="116" s="1"/>
  <c r="P97" i="116"/>
  <c r="O97" i="116" s="1"/>
  <c r="L97" i="116"/>
  <c r="K97" i="116"/>
  <c r="V95" i="116"/>
  <c r="S95" i="116"/>
  <c r="P95" i="116"/>
  <c r="P98" i="116" s="1"/>
  <c r="O95" i="116"/>
  <c r="L95" i="116"/>
  <c r="K95" i="116" s="1"/>
  <c r="K98" i="116" s="1"/>
  <c r="X93" i="116"/>
  <c r="W93" i="116"/>
  <c r="V93" i="116"/>
  <c r="U93" i="116"/>
  <c r="T93" i="116"/>
  <c r="S93" i="116"/>
  <c r="R93" i="116"/>
  <c r="Q93" i="116"/>
  <c r="N93" i="116"/>
  <c r="M93" i="116"/>
  <c r="V92" i="116"/>
  <c r="S92" i="116"/>
  <c r="P92" i="116"/>
  <c r="P93" i="116" s="1"/>
  <c r="O92" i="116"/>
  <c r="O93" i="116" s="1"/>
  <c r="L92" i="116"/>
  <c r="L93" i="116" s="1"/>
  <c r="K92" i="116"/>
  <c r="V90" i="116"/>
  <c r="S90" i="116"/>
  <c r="O90" i="116" s="1"/>
  <c r="P90" i="116"/>
  <c r="L90" i="116"/>
  <c r="K90" i="116"/>
  <c r="K93" i="116" s="1"/>
  <c r="X88" i="116"/>
  <c r="W88" i="116"/>
  <c r="V88" i="116"/>
  <c r="U88" i="116"/>
  <c r="T88" i="116"/>
  <c r="R88" i="116"/>
  <c r="Q88" i="116"/>
  <c r="P88" i="116"/>
  <c r="O88" i="116"/>
  <c r="N88" i="116"/>
  <c r="M88" i="116"/>
  <c r="V87" i="116"/>
  <c r="S87" i="116"/>
  <c r="P87" i="116"/>
  <c r="O87" i="116"/>
  <c r="L87" i="116"/>
  <c r="K87" i="116"/>
  <c r="V85" i="116"/>
  <c r="S85" i="116"/>
  <c r="S88" i="116" s="1"/>
  <c r="P85" i="116"/>
  <c r="O85" i="116"/>
  <c r="L85" i="116"/>
  <c r="K85" i="116"/>
  <c r="X83" i="116"/>
  <c r="W83" i="116"/>
  <c r="U83" i="116"/>
  <c r="T83" i="116"/>
  <c r="R83" i="116"/>
  <c r="Q83" i="116"/>
  <c r="N83" i="116"/>
  <c r="M83" i="116"/>
  <c r="V82" i="116"/>
  <c r="S82" i="116"/>
  <c r="P82" i="116"/>
  <c r="O82" i="116"/>
  <c r="L82" i="116"/>
  <c r="K82" i="116" s="1"/>
  <c r="V80" i="116"/>
  <c r="V83" i="116" s="1"/>
  <c r="S80" i="116"/>
  <c r="S83" i="116" s="1"/>
  <c r="P80" i="116"/>
  <c r="O80" i="116" s="1"/>
  <c r="L80" i="116"/>
  <c r="L83" i="116" s="1"/>
  <c r="X78" i="116"/>
  <c r="W78" i="116"/>
  <c r="U78" i="116"/>
  <c r="T78" i="116"/>
  <c r="R78" i="116"/>
  <c r="Q78" i="116"/>
  <c r="N78" i="116"/>
  <c r="M78" i="116"/>
  <c r="L78" i="116"/>
  <c r="V77" i="116"/>
  <c r="S77" i="116"/>
  <c r="O77" i="116" s="1"/>
  <c r="K77" i="116" s="1"/>
  <c r="P77" i="116"/>
  <c r="L77" i="116"/>
  <c r="V75" i="116"/>
  <c r="S75" i="116"/>
  <c r="P75" i="116"/>
  <c r="P78" i="116" s="1"/>
  <c r="O75" i="116"/>
  <c r="L75" i="116"/>
  <c r="X73" i="116"/>
  <c r="W73" i="116"/>
  <c r="U73" i="116"/>
  <c r="T73" i="116"/>
  <c r="S73" i="116"/>
  <c r="R73" i="116"/>
  <c r="Q73" i="116"/>
  <c r="N73" i="116"/>
  <c r="M73" i="116"/>
  <c r="L73" i="116"/>
  <c r="V72" i="116"/>
  <c r="S72" i="116"/>
  <c r="P72" i="116"/>
  <c r="P73" i="116" s="1"/>
  <c r="O72" i="116"/>
  <c r="L72" i="116"/>
  <c r="K72" i="116"/>
  <c r="V70" i="116"/>
  <c r="V73" i="116" s="1"/>
  <c r="S70" i="116"/>
  <c r="P70" i="116"/>
  <c r="O70" i="116" s="1"/>
  <c r="O73" i="116" s="1"/>
  <c r="L70" i="116"/>
  <c r="K70" i="116"/>
  <c r="K73" i="116" s="1"/>
  <c r="X68" i="116"/>
  <c r="W68" i="116"/>
  <c r="V68" i="116"/>
  <c r="U68" i="116"/>
  <c r="T68" i="116"/>
  <c r="R68" i="116"/>
  <c r="Q68" i="116"/>
  <c r="P68" i="116"/>
  <c r="N68" i="116"/>
  <c r="M68" i="116"/>
  <c r="V67" i="116"/>
  <c r="S67" i="116"/>
  <c r="P67" i="116"/>
  <c r="O67" i="116"/>
  <c r="L67" i="116"/>
  <c r="K67" i="116" s="1"/>
  <c r="V65" i="116"/>
  <c r="S65" i="116"/>
  <c r="P65" i="116"/>
  <c r="O65" i="116"/>
  <c r="O68" i="116" s="1"/>
  <c r="L65" i="116"/>
  <c r="K65" i="116"/>
  <c r="X63" i="116"/>
  <c r="W63" i="116"/>
  <c r="U63" i="116"/>
  <c r="T63" i="116"/>
  <c r="R63" i="116"/>
  <c r="Q63" i="116"/>
  <c r="P63" i="116"/>
  <c r="O63" i="116"/>
  <c r="N63" i="116"/>
  <c r="M63" i="116"/>
  <c r="V62" i="116"/>
  <c r="S62" i="116"/>
  <c r="S63" i="116" s="1"/>
  <c r="P62" i="116"/>
  <c r="O62" i="116"/>
  <c r="L62" i="116"/>
  <c r="K62" i="116" s="1"/>
  <c r="V60" i="116"/>
  <c r="S60" i="116"/>
  <c r="P60" i="116"/>
  <c r="O60" i="116"/>
  <c r="L60" i="116"/>
  <c r="L63" i="116" s="1"/>
  <c r="K60" i="116"/>
  <c r="K63" i="116" s="1"/>
  <c r="X58" i="116"/>
  <c r="W58" i="116"/>
  <c r="U58" i="116"/>
  <c r="T58" i="116"/>
  <c r="R58" i="116"/>
  <c r="Q58" i="116"/>
  <c r="N58" i="116"/>
  <c r="M58" i="116"/>
  <c r="L58" i="116"/>
  <c r="V57" i="116"/>
  <c r="S57" i="116"/>
  <c r="S152" i="116" s="1"/>
  <c r="S157" i="116" s="1"/>
  <c r="P57" i="116"/>
  <c r="O57" i="116" s="1"/>
  <c r="L57" i="116"/>
  <c r="K57" i="116"/>
  <c r="V55" i="116"/>
  <c r="V58" i="116" s="1"/>
  <c r="S55" i="116"/>
  <c r="O55" i="116" s="1"/>
  <c r="P55" i="116"/>
  <c r="P58" i="116" s="1"/>
  <c r="L55" i="116"/>
  <c r="X53" i="116"/>
  <c r="W53" i="116"/>
  <c r="U53" i="116"/>
  <c r="T53" i="116"/>
  <c r="R53" i="116"/>
  <c r="Q53" i="116"/>
  <c r="N53" i="116"/>
  <c r="M53" i="116"/>
  <c r="L53" i="116"/>
  <c r="V52" i="116"/>
  <c r="S52" i="116"/>
  <c r="P52" i="116"/>
  <c r="O52" i="116"/>
  <c r="L52" i="116"/>
  <c r="K52" i="116"/>
  <c r="V50" i="116"/>
  <c r="V150" i="116" s="1"/>
  <c r="S50" i="116"/>
  <c r="O50" i="116" s="1"/>
  <c r="P50" i="116"/>
  <c r="L50" i="116"/>
  <c r="X45" i="116"/>
  <c r="X44" i="116"/>
  <c r="W44" i="116"/>
  <c r="W157" i="116" s="1"/>
  <c r="U44" i="116"/>
  <c r="U45" i="116" s="1"/>
  <c r="T44" i="116"/>
  <c r="R44" i="116"/>
  <c r="Q44" i="116"/>
  <c r="N44" i="116"/>
  <c r="N45" i="116" s="1"/>
  <c r="M44" i="116"/>
  <c r="M45" i="116" s="1"/>
  <c r="X42" i="116"/>
  <c r="W42" i="116"/>
  <c r="U42" i="116"/>
  <c r="U155" i="116" s="1"/>
  <c r="T42" i="116"/>
  <c r="T45" i="116" s="1"/>
  <c r="R42" i="116"/>
  <c r="R45" i="116" s="1"/>
  <c r="Q42" i="116"/>
  <c r="Q45" i="116" s="1"/>
  <c r="N42" i="116"/>
  <c r="M42" i="116"/>
  <c r="X40" i="116"/>
  <c r="W40" i="116"/>
  <c r="U40" i="116"/>
  <c r="T40" i="116"/>
  <c r="R40" i="116"/>
  <c r="Q40" i="116"/>
  <c r="N40" i="116"/>
  <c r="M40" i="116"/>
  <c r="V39" i="116"/>
  <c r="S39" i="116"/>
  <c r="P39" i="116"/>
  <c r="O39" i="116"/>
  <c r="L39" i="116"/>
  <c r="K39" i="116" s="1"/>
  <c r="V37" i="116"/>
  <c r="V40" i="116" s="1"/>
  <c r="S37" i="116"/>
  <c r="S40" i="116" s="1"/>
  <c r="P37" i="116"/>
  <c r="O37" i="116" s="1"/>
  <c r="L37" i="116"/>
  <c r="L40" i="116" s="1"/>
  <c r="X35" i="116"/>
  <c r="W35" i="116"/>
  <c r="U35" i="116"/>
  <c r="T35" i="116"/>
  <c r="R35" i="116"/>
  <c r="Q35" i="116"/>
  <c r="N35" i="116"/>
  <c r="M35" i="116"/>
  <c r="L35" i="116"/>
  <c r="V34" i="116"/>
  <c r="V44" i="116" s="1"/>
  <c r="S34" i="116"/>
  <c r="S35" i="116" s="1"/>
  <c r="P34" i="116"/>
  <c r="L34" i="116"/>
  <c r="V32" i="116"/>
  <c r="S32" i="116"/>
  <c r="P32" i="116"/>
  <c r="P35" i="116" s="1"/>
  <c r="O32" i="116"/>
  <c r="L32" i="116"/>
  <c r="K32" i="116" s="1"/>
  <c r="X30" i="116"/>
  <c r="W30" i="116"/>
  <c r="U30" i="116"/>
  <c r="T30" i="116"/>
  <c r="S30" i="116"/>
  <c r="R30" i="116"/>
  <c r="Q30" i="116"/>
  <c r="N30" i="116"/>
  <c r="M30" i="116"/>
  <c r="L30" i="116"/>
  <c r="V29" i="116"/>
  <c r="S29" i="116"/>
  <c r="P29" i="116"/>
  <c r="P30" i="116" s="1"/>
  <c r="O29" i="116"/>
  <c r="L29" i="116"/>
  <c r="K29" i="116"/>
  <c r="V27" i="116"/>
  <c r="V30" i="116" s="1"/>
  <c r="S27" i="116"/>
  <c r="O27" i="116" s="1"/>
  <c r="O30" i="116" s="1"/>
  <c r="P27" i="116"/>
  <c r="L27" i="116"/>
  <c r="K27" i="116"/>
  <c r="K30" i="116" s="1"/>
  <c r="X25" i="116"/>
  <c r="W25" i="116"/>
  <c r="V25" i="116"/>
  <c r="U25" i="116"/>
  <c r="T25" i="116"/>
  <c r="R25" i="116"/>
  <c r="Q25" i="116"/>
  <c r="P25" i="116"/>
  <c r="N25" i="116"/>
  <c r="M25" i="116"/>
  <c r="V24" i="116"/>
  <c r="S24" i="116"/>
  <c r="S44" i="116" s="1"/>
  <c r="P24" i="116"/>
  <c r="O24" i="116"/>
  <c r="L24" i="116"/>
  <c r="K24" i="116" s="1"/>
  <c r="V22" i="116"/>
  <c r="S22" i="116"/>
  <c r="P22" i="116"/>
  <c r="O22" i="116"/>
  <c r="L22" i="116"/>
  <c r="L42" i="116" s="1"/>
  <c r="K22" i="116"/>
  <c r="X20" i="116"/>
  <c r="W20" i="116"/>
  <c r="U20" i="116"/>
  <c r="T20" i="116"/>
  <c r="R20" i="116"/>
  <c r="Q20" i="116"/>
  <c r="P20" i="116"/>
  <c r="O20" i="116"/>
  <c r="N20" i="116"/>
  <c r="M20" i="116"/>
  <c r="V19" i="116"/>
  <c r="S19" i="116"/>
  <c r="S20" i="116" s="1"/>
  <c r="P19" i="116"/>
  <c r="O19" i="116"/>
  <c r="L19" i="116"/>
  <c r="K19" i="116" s="1"/>
  <c r="V17" i="116"/>
  <c r="S17" i="116"/>
  <c r="P17" i="116"/>
  <c r="O17" i="116"/>
  <c r="L17" i="116"/>
  <c r="L20" i="116" s="1"/>
  <c r="K17" i="116"/>
  <c r="K20" i="116" s="1"/>
  <c r="V153" i="116" l="1"/>
  <c r="U158" i="116"/>
  <c r="K133" i="116"/>
  <c r="O58" i="116"/>
  <c r="K55" i="116"/>
  <c r="K58" i="116" s="1"/>
  <c r="K37" i="116"/>
  <c r="K40" i="116" s="1"/>
  <c r="O40" i="116"/>
  <c r="O83" i="116"/>
  <c r="K80" i="116"/>
  <c r="K83" i="116" s="1"/>
  <c r="K152" i="116"/>
  <c r="O103" i="116"/>
  <c r="K138" i="116"/>
  <c r="O108" i="116"/>
  <c r="L44" i="116"/>
  <c r="L45" i="116" s="1"/>
  <c r="S78" i="116"/>
  <c r="O133" i="116"/>
  <c r="P150" i="116"/>
  <c r="U157" i="116"/>
  <c r="K25" i="116"/>
  <c r="O78" i="116"/>
  <c r="K75" i="116"/>
  <c r="K78" i="116" s="1"/>
  <c r="Q153" i="116"/>
  <c r="Q155" i="116"/>
  <c r="Q158" i="116" s="1"/>
  <c r="L152" i="116"/>
  <c r="L157" i="116" s="1"/>
  <c r="U153" i="116"/>
  <c r="P44" i="116"/>
  <c r="S42" i="116"/>
  <c r="S45" i="116" s="1"/>
  <c r="V53" i="116"/>
  <c r="L68" i="116"/>
  <c r="K128" i="116"/>
  <c r="R153" i="116"/>
  <c r="R155" i="116"/>
  <c r="R158" i="116" s="1"/>
  <c r="M157" i="116"/>
  <c r="M158" i="116" s="1"/>
  <c r="O42" i="116"/>
  <c r="S108" i="116"/>
  <c r="L128" i="116"/>
  <c r="V143" i="116"/>
  <c r="S150" i="116"/>
  <c r="N157" i="116"/>
  <c r="N158" i="116" s="1"/>
  <c r="P42" i="116"/>
  <c r="P45" i="116" s="1"/>
  <c r="V42" i="116"/>
  <c r="V35" i="116"/>
  <c r="P40" i="116"/>
  <c r="O152" i="116"/>
  <c r="O53" i="116"/>
  <c r="V78" i="116"/>
  <c r="K88" i="116"/>
  <c r="O98" i="116"/>
  <c r="K142" i="116"/>
  <c r="K143" i="116" s="1"/>
  <c r="O143" i="116"/>
  <c r="T155" i="116"/>
  <c r="P152" i="116"/>
  <c r="P157" i="116" s="1"/>
  <c r="S58" i="116"/>
  <c r="S68" i="116"/>
  <c r="V103" i="116"/>
  <c r="O113" i="116"/>
  <c r="K68" i="116"/>
  <c r="W158" i="116"/>
  <c r="L25" i="116"/>
  <c r="O138" i="116"/>
  <c r="X158" i="116"/>
  <c r="W45" i="116"/>
  <c r="K42" i="116"/>
  <c r="P83" i="116"/>
  <c r="S25" i="116"/>
  <c r="K50" i="116"/>
  <c r="L88" i="116"/>
  <c r="V138" i="116"/>
  <c r="K148" i="116"/>
  <c r="M153" i="116"/>
  <c r="L150" i="116"/>
  <c r="V152" i="116"/>
  <c r="V157" i="116" s="1"/>
  <c r="K102" i="116"/>
  <c r="K103" i="116" s="1"/>
  <c r="P108" i="116"/>
  <c r="S128" i="116"/>
  <c r="L148" i="116"/>
  <c r="V20" i="116"/>
  <c r="O25" i="116"/>
  <c r="O34" i="116"/>
  <c r="K34" i="116" s="1"/>
  <c r="K35" i="116" s="1"/>
  <c r="S53" i="116"/>
  <c r="V63" i="116"/>
  <c r="V98" i="116"/>
  <c r="K105" i="116"/>
  <c r="K108" i="116" s="1"/>
  <c r="O115" i="116"/>
  <c r="T157" i="116"/>
  <c r="P53" i="116"/>
  <c r="L155" i="116" l="1"/>
  <c r="L158" i="116" s="1"/>
  <c r="L153" i="116"/>
  <c r="P153" i="116"/>
  <c r="P155" i="116"/>
  <c r="P158" i="116" s="1"/>
  <c r="K44" i="116"/>
  <c r="K45" i="116" s="1"/>
  <c r="S155" i="116"/>
  <c r="S158" i="116" s="1"/>
  <c r="S153" i="116"/>
  <c r="O118" i="116"/>
  <c r="K115" i="116"/>
  <c r="K118" i="116" s="1"/>
  <c r="O157" i="116"/>
  <c r="K150" i="116"/>
  <c r="K53" i="116"/>
  <c r="T158" i="116"/>
  <c r="O35" i="116"/>
  <c r="O44" i="116"/>
  <c r="O150" i="116"/>
  <c r="O45" i="116"/>
  <c r="V155" i="116"/>
  <c r="V158" i="116" s="1"/>
  <c r="V45" i="116"/>
  <c r="K157" i="116" l="1"/>
  <c r="K155" i="116"/>
  <c r="K158" i="116" s="1"/>
  <c r="K153" i="116"/>
  <c r="O153" i="116"/>
  <c r="O155" i="116"/>
  <c r="O158" i="116" s="1"/>
  <c r="I551" i="115" l="1"/>
  <c r="H551" i="115"/>
  <c r="G551" i="115"/>
  <c r="G550" i="115"/>
  <c r="G549" i="115"/>
  <c r="I545" i="115"/>
  <c r="H545" i="115"/>
  <c r="G544" i="115"/>
  <c r="G545" i="115" s="1"/>
  <c r="G543" i="115"/>
  <c r="F537" i="115"/>
  <c r="I535" i="115"/>
  <c r="H535" i="115"/>
  <c r="F535" i="115"/>
  <c r="E535" i="115"/>
  <c r="G534" i="115"/>
  <c r="G533" i="115"/>
  <c r="G535" i="115" s="1"/>
  <c r="I532" i="115"/>
  <c r="H532" i="115"/>
  <c r="G532" i="115"/>
  <c r="F532" i="115"/>
  <c r="E532" i="115"/>
  <c r="G531" i="115"/>
  <c r="G530" i="115"/>
  <c r="I529" i="115"/>
  <c r="H529" i="115"/>
  <c r="G529" i="115"/>
  <c r="F529" i="115"/>
  <c r="E529" i="115"/>
  <c r="G528" i="115"/>
  <c r="G527" i="115"/>
  <c r="I526" i="115"/>
  <c r="H526" i="115"/>
  <c r="G526" i="115"/>
  <c r="F526" i="115"/>
  <c r="E526" i="115"/>
  <c r="G525" i="115"/>
  <c r="G524" i="115"/>
  <c r="I523" i="115"/>
  <c r="H523" i="115"/>
  <c r="G523" i="115"/>
  <c r="F523" i="115"/>
  <c r="E523" i="115"/>
  <c r="G522" i="115"/>
  <c r="G521" i="115"/>
  <c r="I520" i="115"/>
  <c r="H520" i="115"/>
  <c r="F520" i="115"/>
  <c r="E520" i="115"/>
  <c r="G519" i="115"/>
  <c r="G518" i="115"/>
  <c r="G520" i="115" s="1"/>
  <c r="I517" i="115"/>
  <c r="H517" i="115"/>
  <c r="F517" i="115"/>
  <c r="E517" i="115"/>
  <c r="G516" i="115"/>
  <c r="G515" i="115"/>
  <c r="G517" i="115" s="1"/>
  <c r="I514" i="115"/>
  <c r="H514" i="115"/>
  <c r="F514" i="115"/>
  <c r="E514" i="115"/>
  <c r="G513" i="115"/>
  <c r="G512" i="115"/>
  <c r="I511" i="115"/>
  <c r="H511" i="115"/>
  <c r="F511" i="115"/>
  <c r="E511" i="115"/>
  <c r="G510" i="115"/>
  <c r="G509" i="115"/>
  <c r="G511" i="115" s="1"/>
  <c r="I508" i="115"/>
  <c r="H508" i="115"/>
  <c r="G508" i="115"/>
  <c r="F508" i="115"/>
  <c r="E508" i="115"/>
  <c r="G507" i="115"/>
  <c r="G506" i="115"/>
  <c r="I505" i="115"/>
  <c r="H505" i="115"/>
  <c r="G505" i="115"/>
  <c r="F505" i="115"/>
  <c r="E505" i="115"/>
  <c r="G504" i="115"/>
  <c r="G503" i="115"/>
  <c r="I502" i="115"/>
  <c r="H502" i="115"/>
  <c r="G502" i="115"/>
  <c r="F502" i="115"/>
  <c r="E502" i="115"/>
  <c r="G501" i="115"/>
  <c r="G500" i="115"/>
  <c r="I499" i="115"/>
  <c r="H499" i="115"/>
  <c r="G499" i="115"/>
  <c r="F499" i="115"/>
  <c r="E499" i="115"/>
  <c r="G498" i="115"/>
  <c r="G497" i="115"/>
  <c r="I496" i="115"/>
  <c r="H496" i="115"/>
  <c r="F496" i="115"/>
  <c r="E496" i="115"/>
  <c r="G495" i="115"/>
  <c r="G494" i="115"/>
  <c r="G496" i="115" s="1"/>
  <c r="I493" i="115"/>
  <c r="H493" i="115"/>
  <c r="F493" i="115"/>
  <c r="E493" i="115"/>
  <c r="G492" i="115"/>
  <c r="G491" i="115"/>
  <c r="G493" i="115" s="1"/>
  <c r="I489" i="115"/>
  <c r="H489" i="115"/>
  <c r="F489" i="115"/>
  <c r="E489" i="115"/>
  <c r="I488" i="115"/>
  <c r="I490" i="115" s="1"/>
  <c r="H488" i="115"/>
  <c r="H490" i="115" s="1"/>
  <c r="F488" i="115"/>
  <c r="F490" i="115" s="1"/>
  <c r="E488" i="115"/>
  <c r="E490" i="115" s="1"/>
  <c r="I487" i="115"/>
  <c r="H487" i="115"/>
  <c r="F487" i="115"/>
  <c r="E487" i="115"/>
  <c r="G486" i="115"/>
  <c r="G485" i="115"/>
  <c r="I484" i="115"/>
  <c r="H484" i="115"/>
  <c r="G484" i="115"/>
  <c r="F484" i="115"/>
  <c r="E484" i="115"/>
  <c r="G483" i="115"/>
  <c r="G482" i="115"/>
  <c r="I481" i="115"/>
  <c r="H481" i="115"/>
  <c r="G481" i="115"/>
  <c r="F481" i="115"/>
  <c r="E481" i="115"/>
  <c r="G480" i="115"/>
  <c r="G479" i="115"/>
  <c r="H478" i="115"/>
  <c r="F478" i="115"/>
  <c r="I477" i="115"/>
  <c r="H477" i="115"/>
  <c r="G477" i="115"/>
  <c r="F477" i="115"/>
  <c r="E477" i="115"/>
  <c r="I476" i="115"/>
  <c r="I478" i="115" s="1"/>
  <c r="H476" i="115"/>
  <c r="F476" i="115"/>
  <c r="E476" i="115"/>
  <c r="I475" i="115"/>
  <c r="H475" i="115"/>
  <c r="G475" i="115"/>
  <c r="F475" i="115"/>
  <c r="E475" i="115"/>
  <c r="G474" i="115"/>
  <c r="G473" i="115"/>
  <c r="I472" i="115"/>
  <c r="H472" i="115"/>
  <c r="F472" i="115"/>
  <c r="E472" i="115"/>
  <c r="G471" i="115"/>
  <c r="G470" i="115"/>
  <c r="G472" i="115" s="1"/>
  <c r="I469" i="115"/>
  <c r="H469" i="115"/>
  <c r="F469" i="115"/>
  <c r="E469" i="115"/>
  <c r="G468" i="115"/>
  <c r="G467" i="115"/>
  <c r="G469" i="115" s="1"/>
  <c r="I466" i="115"/>
  <c r="H466" i="115"/>
  <c r="E466" i="115"/>
  <c r="G465" i="115"/>
  <c r="G462" i="115" s="1"/>
  <c r="G464" i="115"/>
  <c r="F464" i="115"/>
  <c r="F466" i="115" s="1"/>
  <c r="I462" i="115"/>
  <c r="H462" i="115"/>
  <c r="H538" i="115" s="1"/>
  <c r="F462" i="115"/>
  <c r="E462" i="115"/>
  <c r="I461" i="115"/>
  <c r="I463" i="115" s="1"/>
  <c r="H461" i="115"/>
  <c r="F461" i="115"/>
  <c r="F463" i="115" s="1"/>
  <c r="E461" i="115"/>
  <c r="E463" i="115" s="1"/>
  <c r="I460" i="115"/>
  <c r="H460" i="115"/>
  <c r="F460" i="115"/>
  <c r="E460" i="115"/>
  <c r="G459" i="115"/>
  <c r="G458" i="115"/>
  <c r="I457" i="115"/>
  <c r="H457" i="115"/>
  <c r="F457" i="115"/>
  <c r="E457" i="115"/>
  <c r="G456" i="115"/>
  <c r="G455" i="115"/>
  <c r="G457" i="115" s="1"/>
  <c r="I454" i="115"/>
  <c r="H454" i="115"/>
  <c r="I453" i="115"/>
  <c r="H453" i="115"/>
  <c r="G453" i="115"/>
  <c r="F453" i="115"/>
  <c r="F454" i="115" s="1"/>
  <c r="E453" i="115"/>
  <c r="E454" i="115" s="1"/>
  <c r="I452" i="115"/>
  <c r="H452" i="115"/>
  <c r="F452" i="115"/>
  <c r="E452" i="115"/>
  <c r="I451" i="115"/>
  <c r="H451" i="115"/>
  <c r="G451" i="115"/>
  <c r="F451" i="115"/>
  <c r="E451" i="115"/>
  <c r="G450" i="115"/>
  <c r="G447" i="115" s="1"/>
  <c r="G449" i="115"/>
  <c r="G448" i="115"/>
  <c r="F448" i="115"/>
  <c r="E448" i="115"/>
  <c r="I447" i="115"/>
  <c r="H447" i="115"/>
  <c r="F447" i="115"/>
  <c r="E447" i="115"/>
  <c r="I446" i="115"/>
  <c r="I448" i="115" s="1"/>
  <c r="H446" i="115"/>
  <c r="H448" i="115" s="1"/>
  <c r="G446" i="115"/>
  <c r="F446" i="115"/>
  <c r="E446" i="115"/>
  <c r="I445" i="115"/>
  <c r="H445" i="115"/>
  <c r="F445" i="115"/>
  <c r="E445" i="115"/>
  <c r="G444" i="115"/>
  <c r="G441" i="115" s="1"/>
  <c r="G443" i="115"/>
  <c r="G445" i="115" s="1"/>
  <c r="E442" i="115"/>
  <c r="I441" i="115"/>
  <c r="H441" i="115"/>
  <c r="F441" i="115"/>
  <c r="E441" i="115"/>
  <c r="I440" i="115"/>
  <c r="H440" i="115"/>
  <c r="H442" i="115" s="1"/>
  <c r="G440" i="115"/>
  <c r="F440" i="115"/>
  <c r="F442" i="115" s="1"/>
  <c r="E440" i="115"/>
  <c r="I439" i="115"/>
  <c r="H439" i="115"/>
  <c r="F439" i="115"/>
  <c r="E439" i="115"/>
  <c r="G438" i="115"/>
  <c r="G437" i="115"/>
  <c r="I436" i="115"/>
  <c r="H436" i="115"/>
  <c r="F436" i="115"/>
  <c r="E436" i="115"/>
  <c r="G435" i="115"/>
  <c r="G434" i="115"/>
  <c r="I433" i="115"/>
  <c r="H433" i="115"/>
  <c r="I432" i="115"/>
  <c r="H432" i="115"/>
  <c r="G432" i="115"/>
  <c r="F432" i="115"/>
  <c r="F433" i="115" s="1"/>
  <c r="E432" i="115"/>
  <c r="I431" i="115"/>
  <c r="H431" i="115"/>
  <c r="F431" i="115"/>
  <c r="E431" i="115"/>
  <c r="E433" i="115" s="1"/>
  <c r="I430" i="115"/>
  <c r="H430" i="115"/>
  <c r="G430" i="115"/>
  <c r="F430" i="115"/>
  <c r="E430" i="115"/>
  <c r="G429" i="115"/>
  <c r="G428" i="115"/>
  <c r="I427" i="115"/>
  <c r="H427" i="115"/>
  <c r="G427" i="115"/>
  <c r="F427" i="115"/>
  <c r="E427" i="115"/>
  <c r="G426" i="115"/>
  <c r="G425" i="115"/>
  <c r="I424" i="115"/>
  <c r="H424" i="115"/>
  <c r="G424" i="115"/>
  <c r="F424" i="115"/>
  <c r="E424" i="115"/>
  <c r="G423" i="115"/>
  <c r="G422" i="115"/>
  <c r="I421" i="115"/>
  <c r="H421" i="115"/>
  <c r="F421" i="115"/>
  <c r="E421" i="115"/>
  <c r="G420" i="115"/>
  <c r="G419" i="115"/>
  <c r="G421" i="115" s="1"/>
  <c r="I418" i="115"/>
  <c r="H418" i="115"/>
  <c r="F418" i="115"/>
  <c r="E418" i="115"/>
  <c r="G417" i="115"/>
  <c r="G416" i="115"/>
  <c r="G418" i="115" s="1"/>
  <c r="I415" i="115"/>
  <c r="H415" i="115"/>
  <c r="F415" i="115"/>
  <c r="E415" i="115"/>
  <c r="G414" i="115"/>
  <c r="G413" i="115"/>
  <c r="I412" i="115"/>
  <c r="H412" i="115"/>
  <c r="E412" i="115"/>
  <c r="G411" i="115"/>
  <c r="F411" i="115"/>
  <c r="G410" i="115"/>
  <c r="G412" i="115" s="1"/>
  <c r="I409" i="115"/>
  <c r="H409" i="115"/>
  <c r="F409" i="115"/>
  <c r="E409" i="115"/>
  <c r="G408" i="115"/>
  <c r="G407" i="115"/>
  <c r="G409" i="115" s="1"/>
  <c r="I406" i="115"/>
  <c r="H406" i="115"/>
  <c r="F406" i="115"/>
  <c r="E406" i="115"/>
  <c r="G405" i="115"/>
  <c r="G404" i="115"/>
  <c r="G406" i="115" s="1"/>
  <c r="I403" i="115"/>
  <c r="H403" i="115"/>
  <c r="G403" i="115"/>
  <c r="F403" i="115"/>
  <c r="E403" i="115"/>
  <c r="G402" i="115"/>
  <c r="G401" i="115"/>
  <c r="I400" i="115"/>
  <c r="H400" i="115"/>
  <c r="G400" i="115"/>
  <c r="F400" i="115"/>
  <c r="E400" i="115"/>
  <c r="G399" i="115"/>
  <c r="G398" i="115"/>
  <c r="I397" i="115"/>
  <c r="H397" i="115"/>
  <c r="G397" i="115"/>
  <c r="F397" i="115"/>
  <c r="E397" i="115"/>
  <c r="G396" i="115"/>
  <c r="G395" i="115"/>
  <c r="I394" i="115"/>
  <c r="H394" i="115"/>
  <c r="F394" i="115"/>
  <c r="E394" i="115"/>
  <c r="G393" i="115"/>
  <c r="G392" i="115"/>
  <c r="G394" i="115" s="1"/>
  <c r="I391" i="115"/>
  <c r="H391" i="115"/>
  <c r="F391" i="115"/>
  <c r="E391" i="115"/>
  <c r="G390" i="115"/>
  <c r="G389" i="115"/>
  <c r="I388" i="115"/>
  <c r="H388" i="115"/>
  <c r="F388" i="115"/>
  <c r="E388" i="115"/>
  <c r="G387" i="115"/>
  <c r="G386" i="115"/>
  <c r="I385" i="115"/>
  <c r="H385" i="115"/>
  <c r="F385" i="115"/>
  <c r="E385" i="115"/>
  <c r="G384" i="115"/>
  <c r="G383" i="115"/>
  <c r="G385" i="115" s="1"/>
  <c r="I382" i="115"/>
  <c r="H382" i="115"/>
  <c r="G382" i="115"/>
  <c r="F382" i="115"/>
  <c r="E382" i="115"/>
  <c r="G381" i="115"/>
  <c r="G380" i="115"/>
  <c r="I379" i="115"/>
  <c r="H379" i="115"/>
  <c r="G379" i="115"/>
  <c r="E379" i="115"/>
  <c r="G378" i="115"/>
  <c r="G377" i="115"/>
  <c r="F377" i="115"/>
  <c r="F379" i="115" s="1"/>
  <c r="I376" i="115"/>
  <c r="H376" i="115"/>
  <c r="G376" i="115"/>
  <c r="F376" i="115"/>
  <c r="E376" i="115"/>
  <c r="G375" i="115"/>
  <c r="G374" i="115"/>
  <c r="I373" i="115"/>
  <c r="H373" i="115"/>
  <c r="G373" i="115"/>
  <c r="F373" i="115"/>
  <c r="E373" i="115"/>
  <c r="G372" i="115"/>
  <c r="G371" i="115"/>
  <c r="F371" i="115"/>
  <c r="I370" i="115"/>
  <c r="H370" i="115"/>
  <c r="G370" i="115"/>
  <c r="F370" i="115"/>
  <c r="E370" i="115"/>
  <c r="G369" i="115"/>
  <c r="G368" i="115"/>
  <c r="I367" i="115"/>
  <c r="H367" i="115"/>
  <c r="G367" i="115"/>
  <c r="F367" i="115"/>
  <c r="E367" i="115"/>
  <c r="G366" i="115"/>
  <c r="G365" i="115"/>
  <c r="I364" i="115"/>
  <c r="H364" i="115"/>
  <c r="F364" i="115"/>
  <c r="E364" i="115"/>
  <c r="G363" i="115"/>
  <c r="G362" i="115"/>
  <c r="G364" i="115" s="1"/>
  <c r="I361" i="115"/>
  <c r="H361" i="115"/>
  <c r="E361" i="115"/>
  <c r="G360" i="115"/>
  <c r="G359" i="115"/>
  <c r="F359" i="115"/>
  <c r="F361" i="115" s="1"/>
  <c r="I358" i="115"/>
  <c r="H358" i="115"/>
  <c r="F358" i="115"/>
  <c r="E358" i="115"/>
  <c r="G357" i="115"/>
  <c r="G356" i="115"/>
  <c r="G358" i="115" s="1"/>
  <c r="I355" i="115"/>
  <c r="H355" i="115"/>
  <c r="F355" i="115"/>
  <c r="E355" i="115"/>
  <c r="G354" i="115"/>
  <c r="G353" i="115"/>
  <c r="G355" i="115" s="1"/>
  <c r="I352" i="115"/>
  <c r="H352" i="115"/>
  <c r="F352" i="115"/>
  <c r="E352" i="115"/>
  <c r="G351" i="115"/>
  <c r="G350" i="115"/>
  <c r="G352" i="115" s="1"/>
  <c r="I349" i="115"/>
  <c r="H349" i="115"/>
  <c r="G349" i="115"/>
  <c r="F349" i="115"/>
  <c r="E349" i="115"/>
  <c r="G348" i="115"/>
  <c r="G347" i="115"/>
  <c r="I346" i="115"/>
  <c r="H346" i="115"/>
  <c r="G346" i="115"/>
  <c r="F346" i="115"/>
  <c r="E346" i="115"/>
  <c r="G345" i="115"/>
  <c r="G344" i="115"/>
  <c r="F344" i="115"/>
  <c r="I343" i="115"/>
  <c r="H343" i="115"/>
  <c r="G343" i="115"/>
  <c r="F343" i="115"/>
  <c r="E343" i="115"/>
  <c r="G342" i="115"/>
  <c r="G341" i="115"/>
  <c r="I340" i="115"/>
  <c r="H340" i="115"/>
  <c r="G340" i="115"/>
  <c r="F340" i="115"/>
  <c r="E340" i="115"/>
  <c r="G339" i="115"/>
  <c r="G338" i="115"/>
  <c r="F338" i="115"/>
  <c r="I337" i="115"/>
  <c r="H337" i="115"/>
  <c r="G337" i="115"/>
  <c r="F337" i="115"/>
  <c r="E337" i="115"/>
  <c r="G336" i="115"/>
  <c r="G335" i="115"/>
  <c r="I334" i="115"/>
  <c r="H334" i="115"/>
  <c r="G334" i="115"/>
  <c r="F334" i="115"/>
  <c r="E334" i="115"/>
  <c r="G333" i="115"/>
  <c r="G332" i="115"/>
  <c r="I331" i="115"/>
  <c r="H331" i="115"/>
  <c r="F331" i="115"/>
  <c r="E331" i="115"/>
  <c r="G330" i="115"/>
  <c r="G329" i="115"/>
  <c r="G331" i="115" s="1"/>
  <c r="I328" i="115"/>
  <c r="H328" i="115"/>
  <c r="F328" i="115"/>
  <c r="E328" i="115"/>
  <c r="G327" i="115"/>
  <c r="G326" i="115"/>
  <c r="I325" i="115"/>
  <c r="H325" i="115"/>
  <c r="F325" i="115"/>
  <c r="E325" i="115"/>
  <c r="G324" i="115"/>
  <c r="G323" i="115"/>
  <c r="I322" i="115"/>
  <c r="I321" i="115"/>
  <c r="H321" i="115"/>
  <c r="G321" i="115"/>
  <c r="E321" i="115"/>
  <c r="E538" i="115" s="1"/>
  <c r="I320" i="115"/>
  <c r="I537" i="115" s="1"/>
  <c r="H320" i="115"/>
  <c r="F320" i="115"/>
  <c r="E320" i="115"/>
  <c r="E322" i="115" s="1"/>
  <c r="I312" i="115"/>
  <c r="H312" i="115"/>
  <c r="E312" i="115"/>
  <c r="G311" i="115"/>
  <c r="G299" i="115" s="1"/>
  <c r="G310" i="115"/>
  <c r="G312" i="115" s="1"/>
  <c r="I309" i="115"/>
  <c r="H309" i="115"/>
  <c r="E309" i="115"/>
  <c r="G308" i="115"/>
  <c r="G307" i="115"/>
  <c r="I306" i="115"/>
  <c r="H306" i="115"/>
  <c r="G306" i="115"/>
  <c r="E306" i="115"/>
  <c r="G305" i="115"/>
  <c r="G304" i="115"/>
  <c r="I303" i="115"/>
  <c r="H303" i="115"/>
  <c r="G303" i="115"/>
  <c r="E303" i="115"/>
  <c r="G302" i="115"/>
  <c r="G301" i="115"/>
  <c r="I299" i="115"/>
  <c r="H299" i="115"/>
  <c r="E299" i="115"/>
  <c r="I298" i="115"/>
  <c r="H298" i="115"/>
  <c r="H300" i="115" s="1"/>
  <c r="E298" i="115"/>
  <c r="E300" i="115" s="1"/>
  <c r="I297" i="115"/>
  <c r="H297" i="115"/>
  <c r="G297" i="115"/>
  <c r="E297" i="115"/>
  <c r="G296" i="115"/>
  <c r="G295" i="115"/>
  <c r="I294" i="115"/>
  <c r="H294" i="115"/>
  <c r="G294" i="115"/>
  <c r="E294" i="115"/>
  <c r="G293" i="115"/>
  <c r="G292" i="115"/>
  <c r="I291" i="115"/>
  <c r="H291" i="115"/>
  <c r="E291" i="115"/>
  <c r="G290" i="115"/>
  <c r="G289" i="115"/>
  <c r="I288" i="115"/>
  <c r="H288" i="115"/>
  <c r="E288" i="115"/>
  <c r="G287" i="115"/>
  <c r="G281" i="115" s="1"/>
  <c r="G286" i="115"/>
  <c r="G288" i="115" s="1"/>
  <c r="I285" i="115"/>
  <c r="H285" i="115"/>
  <c r="G285" i="115"/>
  <c r="E285" i="115"/>
  <c r="G284" i="115"/>
  <c r="G283" i="115"/>
  <c r="H282" i="115"/>
  <c r="I281" i="115"/>
  <c r="H281" i="115"/>
  <c r="E281" i="115"/>
  <c r="I280" i="115"/>
  <c r="I282" i="115" s="1"/>
  <c r="H280" i="115"/>
  <c r="G280" i="115"/>
  <c r="E280" i="115"/>
  <c r="E282" i="115" s="1"/>
  <c r="I279" i="115"/>
  <c r="H279" i="115"/>
  <c r="E279" i="115"/>
  <c r="G278" i="115"/>
  <c r="G277" i="115"/>
  <c r="G279" i="115" s="1"/>
  <c r="I276" i="115"/>
  <c r="H276" i="115"/>
  <c r="G276" i="115"/>
  <c r="E276" i="115"/>
  <c r="G275" i="115"/>
  <c r="G274" i="115"/>
  <c r="I273" i="115"/>
  <c r="H273" i="115"/>
  <c r="G273" i="115"/>
  <c r="E273" i="115"/>
  <c r="G272" i="115"/>
  <c r="G271" i="115"/>
  <c r="I270" i="115"/>
  <c r="H270" i="115"/>
  <c r="E270" i="115"/>
  <c r="G269" i="115"/>
  <c r="G268" i="115"/>
  <c r="G270" i="115" s="1"/>
  <c r="I267" i="115"/>
  <c r="H267" i="115"/>
  <c r="E267" i="115"/>
  <c r="G266" i="115"/>
  <c r="G265" i="115"/>
  <c r="G267" i="115" s="1"/>
  <c r="I264" i="115"/>
  <c r="H264" i="115"/>
  <c r="G264" i="115"/>
  <c r="E264" i="115"/>
  <c r="G263" i="115"/>
  <c r="G262" i="115"/>
  <c r="I261" i="115"/>
  <c r="H261" i="115"/>
  <c r="G261" i="115"/>
  <c r="E261" i="115"/>
  <c r="G260" i="115"/>
  <c r="G259" i="115"/>
  <c r="I258" i="115"/>
  <c r="H258" i="115"/>
  <c r="E258" i="115"/>
  <c r="G257" i="115"/>
  <c r="G256" i="115"/>
  <c r="I255" i="115"/>
  <c r="H255" i="115"/>
  <c r="E255" i="115"/>
  <c r="G254" i="115"/>
  <c r="G253" i="115"/>
  <c r="G255" i="115" s="1"/>
  <c r="I252" i="115"/>
  <c r="H252" i="115"/>
  <c r="G252" i="115"/>
  <c r="E252" i="115"/>
  <c r="G251" i="115"/>
  <c r="G250" i="115"/>
  <c r="I249" i="115"/>
  <c r="H249" i="115"/>
  <c r="G249" i="115"/>
  <c r="E249" i="115"/>
  <c r="G248" i="115"/>
  <c r="G247" i="115"/>
  <c r="I246" i="115"/>
  <c r="H246" i="115"/>
  <c r="E246" i="115"/>
  <c r="G245" i="115"/>
  <c r="G244" i="115"/>
  <c r="G246" i="115" s="1"/>
  <c r="I243" i="115"/>
  <c r="H243" i="115"/>
  <c r="E243" i="115"/>
  <c r="G242" i="115"/>
  <c r="G241" i="115"/>
  <c r="G243" i="115" s="1"/>
  <c r="I240" i="115"/>
  <c r="H240" i="115"/>
  <c r="G240" i="115"/>
  <c r="E240" i="115"/>
  <c r="G239" i="115"/>
  <c r="G238" i="115"/>
  <c r="I237" i="115"/>
  <c r="H237" i="115"/>
  <c r="G237" i="115"/>
  <c r="E237" i="115"/>
  <c r="G236" i="115"/>
  <c r="G235" i="115"/>
  <c r="I234" i="115"/>
  <c r="H234" i="115"/>
  <c r="E234" i="115"/>
  <c r="G233" i="115"/>
  <c r="G232" i="115"/>
  <c r="I231" i="115"/>
  <c r="H231" i="115"/>
  <c r="E231" i="115"/>
  <c r="G230" i="115"/>
  <c r="G229" i="115"/>
  <c r="G231" i="115" s="1"/>
  <c r="I228" i="115"/>
  <c r="H228" i="115"/>
  <c r="G228" i="115"/>
  <c r="E228" i="115"/>
  <c r="G227" i="115"/>
  <c r="G226" i="115"/>
  <c r="I225" i="115"/>
  <c r="H225" i="115"/>
  <c r="G225" i="115"/>
  <c r="E225" i="115"/>
  <c r="G224" i="115"/>
  <c r="G223" i="115"/>
  <c r="I222" i="115"/>
  <c r="H222" i="115"/>
  <c r="E222" i="115"/>
  <c r="G221" i="115"/>
  <c r="G220" i="115"/>
  <c r="G222" i="115" s="1"/>
  <c r="I219" i="115"/>
  <c r="H219" i="115"/>
  <c r="E219" i="115"/>
  <c r="G218" i="115"/>
  <c r="G217" i="115"/>
  <c r="G219" i="115" s="1"/>
  <c r="I216" i="115"/>
  <c r="H216" i="115"/>
  <c r="G216" i="115"/>
  <c r="E216" i="115"/>
  <c r="G215" i="115"/>
  <c r="G214" i="115"/>
  <c r="I213" i="115"/>
  <c r="H213" i="115"/>
  <c r="G213" i="115"/>
  <c r="E213" i="115"/>
  <c r="G212" i="115"/>
  <c r="G211" i="115"/>
  <c r="I210" i="115"/>
  <c r="H210" i="115"/>
  <c r="E210" i="115"/>
  <c r="G209" i="115"/>
  <c r="G208" i="115"/>
  <c r="I207" i="115"/>
  <c r="H207" i="115"/>
  <c r="E207" i="115"/>
  <c r="G206" i="115"/>
  <c r="G205" i="115"/>
  <c r="G207" i="115" s="1"/>
  <c r="I204" i="115"/>
  <c r="H204" i="115"/>
  <c r="G204" i="115"/>
  <c r="E204" i="115"/>
  <c r="G203" i="115"/>
  <c r="G202" i="115"/>
  <c r="I201" i="115"/>
  <c r="H201" i="115"/>
  <c r="G201" i="115"/>
  <c r="E201" i="115"/>
  <c r="G200" i="115"/>
  <c r="G199" i="115"/>
  <c r="I198" i="115"/>
  <c r="H198" i="115"/>
  <c r="E198" i="115"/>
  <c r="G197" i="115"/>
  <c r="G196" i="115"/>
  <c r="G198" i="115" s="1"/>
  <c r="I195" i="115"/>
  <c r="H195" i="115"/>
  <c r="E195" i="115"/>
  <c r="G194" i="115"/>
  <c r="G193" i="115"/>
  <c r="I192" i="115"/>
  <c r="I191" i="115"/>
  <c r="H191" i="115"/>
  <c r="E191" i="115"/>
  <c r="I190" i="115"/>
  <c r="H190" i="115"/>
  <c r="H192" i="115" s="1"/>
  <c r="E190" i="115"/>
  <c r="E192" i="115" s="1"/>
  <c r="I189" i="115"/>
  <c r="H189" i="115"/>
  <c r="E189" i="115"/>
  <c r="G188" i="115"/>
  <c r="G176" i="115" s="1"/>
  <c r="G187" i="115"/>
  <c r="G189" i="115" s="1"/>
  <c r="I186" i="115"/>
  <c r="H186" i="115"/>
  <c r="E186" i="115"/>
  <c r="G185" i="115"/>
  <c r="G184" i="115"/>
  <c r="G186" i="115" s="1"/>
  <c r="I183" i="115"/>
  <c r="H183" i="115"/>
  <c r="G183" i="115"/>
  <c r="E183" i="115"/>
  <c r="G182" i="115"/>
  <c r="G181" i="115"/>
  <c r="I180" i="115"/>
  <c r="H180" i="115"/>
  <c r="G180" i="115"/>
  <c r="E180" i="115"/>
  <c r="G179" i="115"/>
  <c r="G178" i="115"/>
  <c r="I176" i="115"/>
  <c r="H176" i="115"/>
  <c r="E176" i="115"/>
  <c r="I175" i="115"/>
  <c r="H175" i="115"/>
  <c r="H177" i="115" s="1"/>
  <c r="E175" i="115"/>
  <c r="E177" i="115" s="1"/>
  <c r="I174" i="115"/>
  <c r="H174" i="115"/>
  <c r="G174" i="115"/>
  <c r="E174" i="115"/>
  <c r="G173" i="115"/>
  <c r="G172" i="115"/>
  <c r="I171" i="115"/>
  <c r="H171" i="115"/>
  <c r="G171" i="115"/>
  <c r="E171" i="115"/>
  <c r="G170" i="115"/>
  <c r="G169" i="115"/>
  <c r="I168" i="115"/>
  <c r="H168" i="115"/>
  <c r="E168" i="115"/>
  <c r="G167" i="115"/>
  <c r="G161" i="115" s="1"/>
  <c r="G166" i="115"/>
  <c r="I165" i="115"/>
  <c r="H165" i="115"/>
  <c r="E165" i="115"/>
  <c r="G164" i="115"/>
  <c r="G163" i="115"/>
  <c r="I161" i="115"/>
  <c r="H161" i="115"/>
  <c r="E161" i="115"/>
  <c r="I160" i="115"/>
  <c r="I162" i="115" s="1"/>
  <c r="H160" i="115"/>
  <c r="H162" i="115" s="1"/>
  <c r="E160" i="115"/>
  <c r="E162" i="115" s="1"/>
  <c r="I159" i="115"/>
  <c r="H159" i="115"/>
  <c r="E159" i="115"/>
  <c r="G158" i="115"/>
  <c r="G152" i="115" s="1"/>
  <c r="G157" i="115"/>
  <c r="G159" i="115" s="1"/>
  <c r="I156" i="115"/>
  <c r="H156" i="115"/>
  <c r="E156" i="115"/>
  <c r="G155" i="115"/>
  <c r="G154" i="115"/>
  <c r="I152" i="115"/>
  <c r="H152" i="115"/>
  <c r="E152" i="115"/>
  <c r="I151" i="115"/>
  <c r="I153" i="115" s="1"/>
  <c r="H151" i="115"/>
  <c r="H153" i="115" s="1"/>
  <c r="E151" i="115"/>
  <c r="I150" i="115"/>
  <c r="H150" i="115"/>
  <c r="E150" i="115"/>
  <c r="G149" i="115"/>
  <c r="G148" i="115"/>
  <c r="G150" i="115" s="1"/>
  <c r="I147" i="115"/>
  <c r="H147" i="115"/>
  <c r="E147" i="115"/>
  <c r="G146" i="115"/>
  <c r="G145" i="115"/>
  <c r="G147" i="115" s="1"/>
  <c r="I144" i="115"/>
  <c r="H144" i="115"/>
  <c r="E144" i="115"/>
  <c r="G143" i="115"/>
  <c r="G144" i="115" s="1"/>
  <c r="G142" i="115"/>
  <c r="I141" i="115"/>
  <c r="H141" i="115"/>
  <c r="G141" i="115"/>
  <c r="E141" i="115"/>
  <c r="G140" i="115"/>
  <c r="G139" i="115"/>
  <c r="I138" i="115"/>
  <c r="H138" i="115"/>
  <c r="E138" i="115"/>
  <c r="G137" i="115"/>
  <c r="G136" i="115"/>
  <c r="G138" i="115" s="1"/>
  <c r="I135" i="115"/>
  <c r="H135" i="115"/>
  <c r="E135" i="115"/>
  <c r="G134" i="115"/>
  <c r="G133" i="115"/>
  <c r="G135" i="115" s="1"/>
  <c r="I132" i="115"/>
  <c r="H132" i="115"/>
  <c r="G132" i="115"/>
  <c r="E132" i="115"/>
  <c r="G131" i="115"/>
  <c r="G130" i="115"/>
  <c r="I129" i="115"/>
  <c r="H129" i="115"/>
  <c r="G129" i="115"/>
  <c r="E129" i="115"/>
  <c r="G128" i="115"/>
  <c r="G127" i="115"/>
  <c r="I126" i="115"/>
  <c r="H126" i="115"/>
  <c r="E126" i="115"/>
  <c r="G125" i="115"/>
  <c r="G119" i="115" s="1"/>
  <c r="G124" i="115"/>
  <c r="I123" i="115"/>
  <c r="H123" i="115"/>
  <c r="E123" i="115"/>
  <c r="G122" i="115"/>
  <c r="G121" i="115"/>
  <c r="I120" i="115"/>
  <c r="I119" i="115"/>
  <c r="H119" i="115"/>
  <c r="E119" i="115"/>
  <c r="I118" i="115"/>
  <c r="H118" i="115"/>
  <c r="H120" i="115" s="1"/>
  <c r="E118" i="115"/>
  <c r="I117" i="115"/>
  <c r="H117" i="115"/>
  <c r="E117" i="115"/>
  <c r="G116" i="115"/>
  <c r="G115" i="115"/>
  <c r="G117" i="115" s="1"/>
  <c r="I114" i="115"/>
  <c r="H114" i="115"/>
  <c r="E114" i="115"/>
  <c r="G113" i="115"/>
  <c r="G112" i="115"/>
  <c r="I111" i="115"/>
  <c r="H111" i="115"/>
  <c r="E111" i="115"/>
  <c r="G110" i="115"/>
  <c r="G109" i="115"/>
  <c r="G111" i="115" s="1"/>
  <c r="I108" i="115"/>
  <c r="H108" i="115"/>
  <c r="G108" i="115"/>
  <c r="E108" i="115"/>
  <c r="G107" i="115"/>
  <c r="G106" i="115"/>
  <c r="I105" i="115"/>
  <c r="H105" i="115"/>
  <c r="E105" i="115"/>
  <c r="G104" i="115"/>
  <c r="G101" i="115" s="1"/>
  <c r="G103" i="115"/>
  <c r="G105" i="115" s="1"/>
  <c r="I101" i="115"/>
  <c r="H101" i="115"/>
  <c r="E101" i="115"/>
  <c r="I100" i="115"/>
  <c r="I102" i="115" s="1"/>
  <c r="H100" i="115"/>
  <c r="E100" i="115"/>
  <c r="E102" i="115" s="1"/>
  <c r="I99" i="115"/>
  <c r="H99" i="115"/>
  <c r="G99" i="115"/>
  <c r="E99" i="115"/>
  <c r="G98" i="115"/>
  <c r="G97" i="115"/>
  <c r="I96" i="115"/>
  <c r="H96" i="115"/>
  <c r="E96" i="115"/>
  <c r="G95" i="115"/>
  <c r="G86" i="115" s="1"/>
  <c r="G94" i="115"/>
  <c r="I93" i="115"/>
  <c r="H93" i="115"/>
  <c r="E93" i="115"/>
  <c r="G92" i="115"/>
  <c r="G91" i="115"/>
  <c r="I90" i="115"/>
  <c r="H90" i="115"/>
  <c r="E90" i="115"/>
  <c r="G89" i="115"/>
  <c r="G88" i="115"/>
  <c r="G90" i="115" s="1"/>
  <c r="I86" i="115"/>
  <c r="H86" i="115"/>
  <c r="E86" i="115"/>
  <c r="I85" i="115"/>
  <c r="I87" i="115" s="1"/>
  <c r="H85" i="115"/>
  <c r="H87" i="115" s="1"/>
  <c r="E85" i="115"/>
  <c r="E87" i="115" s="1"/>
  <c r="I84" i="115"/>
  <c r="H84" i="115"/>
  <c r="E84" i="115"/>
  <c r="G83" i="115"/>
  <c r="G82" i="115"/>
  <c r="I80" i="115"/>
  <c r="H80" i="115"/>
  <c r="G80" i="115"/>
  <c r="E80" i="115"/>
  <c r="I79" i="115"/>
  <c r="I81" i="115" s="1"/>
  <c r="H79" i="115"/>
  <c r="H81" i="115" s="1"/>
  <c r="E79" i="115"/>
  <c r="I78" i="115"/>
  <c r="H78" i="115"/>
  <c r="E78" i="115"/>
  <c r="G77" i="115"/>
  <c r="G76" i="115"/>
  <c r="G73" i="115" s="1"/>
  <c r="G75" i="115" s="1"/>
  <c r="I74" i="115"/>
  <c r="H74" i="115"/>
  <c r="G74" i="115"/>
  <c r="E74" i="115"/>
  <c r="I73" i="115"/>
  <c r="I75" i="115" s="1"/>
  <c r="H73" i="115"/>
  <c r="E73" i="115"/>
  <c r="E75" i="115" s="1"/>
  <c r="I72" i="115"/>
  <c r="H72" i="115"/>
  <c r="G72" i="115"/>
  <c r="E72" i="115"/>
  <c r="G71" i="115"/>
  <c r="G70" i="115"/>
  <c r="I69" i="115"/>
  <c r="H69" i="115"/>
  <c r="E69" i="115"/>
  <c r="G68" i="115"/>
  <c r="G67" i="115"/>
  <c r="I66" i="115"/>
  <c r="H66" i="115"/>
  <c r="E66" i="115"/>
  <c r="G65" i="115"/>
  <c r="G64" i="115"/>
  <c r="G66" i="115" s="1"/>
  <c r="I63" i="115"/>
  <c r="H63" i="115"/>
  <c r="G63" i="115"/>
  <c r="E63" i="115"/>
  <c r="G62" i="115"/>
  <c r="G61" i="115"/>
  <c r="I60" i="115"/>
  <c r="H60" i="115"/>
  <c r="G60" i="115"/>
  <c r="E60" i="115"/>
  <c r="G59" i="115"/>
  <c r="G58" i="115"/>
  <c r="I57" i="115"/>
  <c r="H57" i="115"/>
  <c r="E57" i="115"/>
  <c r="G56" i="115"/>
  <c r="G55" i="115"/>
  <c r="G57" i="115" s="1"/>
  <c r="I54" i="115"/>
  <c r="H54" i="115"/>
  <c r="E54" i="115"/>
  <c r="G53" i="115"/>
  <c r="G52" i="115"/>
  <c r="G54" i="115" s="1"/>
  <c r="I51" i="115"/>
  <c r="H51" i="115"/>
  <c r="G51" i="115"/>
  <c r="E51" i="115"/>
  <c r="G50" i="115"/>
  <c r="G49" i="115"/>
  <c r="I48" i="115"/>
  <c r="H48" i="115"/>
  <c r="G48" i="115"/>
  <c r="E48" i="115"/>
  <c r="G47" i="115"/>
  <c r="G46" i="115"/>
  <c r="I45" i="115"/>
  <c r="H45" i="115"/>
  <c r="E45" i="115"/>
  <c r="G44" i="115"/>
  <c r="G43" i="115"/>
  <c r="I42" i="115"/>
  <c r="H42" i="115"/>
  <c r="E42" i="115"/>
  <c r="G41" i="115"/>
  <c r="G40" i="115"/>
  <c r="G42" i="115" s="1"/>
  <c r="I39" i="115"/>
  <c r="H39" i="115"/>
  <c r="G39" i="115"/>
  <c r="E39" i="115"/>
  <c r="G38" i="115"/>
  <c r="G37" i="115"/>
  <c r="I36" i="115"/>
  <c r="H36" i="115"/>
  <c r="G36" i="115"/>
  <c r="E36" i="115"/>
  <c r="G35" i="115"/>
  <c r="G34" i="115"/>
  <c r="I33" i="115"/>
  <c r="H33" i="115"/>
  <c r="E33" i="115"/>
  <c r="G32" i="115"/>
  <c r="G31" i="115"/>
  <c r="G33" i="115" s="1"/>
  <c r="I30" i="115"/>
  <c r="H30" i="115"/>
  <c r="E30" i="115"/>
  <c r="G29" i="115"/>
  <c r="G28" i="115"/>
  <c r="I27" i="115"/>
  <c r="I26" i="115"/>
  <c r="H26" i="115"/>
  <c r="E26" i="115"/>
  <c r="I25" i="115"/>
  <c r="H25" i="115"/>
  <c r="H27" i="115" s="1"/>
  <c r="E25" i="115"/>
  <c r="E27" i="115" s="1"/>
  <c r="I24" i="115"/>
  <c r="H24" i="115"/>
  <c r="E24" i="115"/>
  <c r="G23" i="115"/>
  <c r="G22" i="115"/>
  <c r="G19" i="115" s="1"/>
  <c r="I20" i="115"/>
  <c r="H20" i="115"/>
  <c r="G20" i="115"/>
  <c r="E20" i="115"/>
  <c r="I19" i="115"/>
  <c r="I21" i="115" s="1"/>
  <c r="H19" i="115"/>
  <c r="E19" i="115"/>
  <c r="E314" i="115" s="1"/>
  <c r="G346" i="114"/>
  <c r="G345" i="114"/>
  <c r="G344" i="114"/>
  <c r="G343" i="114"/>
  <c r="F342" i="114"/>
  <c r="F341" i="114" s="1"/>
  <c r="E342" i="114"/>
  <c r="G342" i="114" s="1"/>
  <c r="G340" i="114"/>
  <c r="G339" i="114"/>
  <c r="G338" i="114"/>
  <c r="G337" i="114"/>
  <c r="G336" i="114"/>
  <c r="G335" i="114"/>
  <c r="G334" i="114"/>
  <c r="F333" i="114"/>
  <c r="F332" i="114" s="1"/>
  <c r="E333" i="114"/>
  <c r="G333" i="114" s="1"/>
  <c r="E332" i="114"/>
  <c r="G332" i="114" s="1"/>
  <c r="G331" i="114"/>
  <c r="G330" i="114"/>
  <c r="G329" i="114"/>
  <c r="G328" i="114"/>
  <c r="F327" i="114"/>
  <c r="E327" i="114"/>
  <c r="G327" i="114" s="1"/>
  <c r="G326" i="114"/>
  <c r="G325" i="114"/>
  <c r="G324" i="114"/>
  <c r="F324" i="114"/>
  <c r="E324" i="114"/>
  <c r="G323" i="114"/>
  <c r="G322" i="114"/>
  <c r="G321" i="114"/>
  <c r="F320" i="114"/>
  <c r="E320" i="114"/>
  <c r="G320" i="114" s="1"/>
  <c r="G319" i="114"/>
  <c r="F318" i="114"/>
  <c r="G318" i="114" s="1"/>
  <c r="E318" i="114"/>
  <c r="G317" i="114"/>
  <c r="G316" i="114"/>
  <c r="F315" i="114"/>
  <c r="E315" i="114"/>
  <c r="G314" i="114"/>
  <c r="G313" i="114"/>
  <c r="G312" i="114"/>
  <c r="F311" i="114"/>
  <c r="E311" i="114"/>
  <c r="G310" i="114"/>
  <c r="G309" i="114"/>
  <c r="F308" i="114"/>
  <c r="G308" i="114" s="1"/>
  <c r="E308" i="114"/>
  <c r="G306" i="114"/>
  <c r="G305" i="114"/>
  <c r="G304" i="114"/>
  <c r="G303" i="114"/>
  <c r="G302" i="114"/>
  <c r="G301" i="114"/>
  <c r="G300" i="114"/>
  <c r="G299" i="114"/>
  <c r="G298" i="114"/>
  <c r="G297" i="114"/>
  <c r="G296" i="114"/>
  <c r="G295" i="114"/>
  <c r="G294" i="114"/>
  <c r="G293" i="114"/>
  <c r="G292" i="114"/>
  <c r="G291" i="114"/>
  <c r="G290" i="114"/>
  <c r="G289" i="114"/>
  <c r="G288" i="114"/>
  <c r="G287" i="114"/>
  <c r="G286" i="114"/>
  <c r="G285" i="114"/>
  <c r="G284" i="114"/>
  <c r="F283" i="114"/>
  <c r="E283" i="114"/>
  <c r="G282" i="114"/>
  <c r="G281" i="114"/>
  <c r="G280" i="114"/>
  <c r="F279" i="114"/>
  <c r="E279" i="114"/>
  <c r="G279" i="114" s="1"/>
  <c r="G278" i="114"/>
  <c r="F277" i="114"/>
  <c r="G277" i="114" s="1"/>
  <c r="E277" i="114"/>
  <c r="G276" i="114"/>
  <c r="F275" i="114"/>
  <c r="E275" i="114"/>
  <c r="G275" i="114" s="1"/>
  <c r="F274" i="114"/>
  <c r="G273" i="114"/>
  <c r="F272" i="114"/>
  <c r="G272" i="114" s="1"/>
  <c r="E272" i="114"/>
  <c r="G271" i="114"/>
  <c r="G270" i="114"/>
  <c r="G269" i="114"/>
  <c r="F268" i="114"/>
  <c r="F267" i="114" s="1"/>
  <c r="E268" i="114"/>
  <c r="E267" i="114" s="1"/>
  <c r="G266" i="114"/>
  <c r="G265" i="114"/>
  <c r="G264" i="114"/>
  <c r="G263" i="114"/>
  <c r="G262" i="114"/>
  <c r="G261" i="114"/>
  <c r="G260" i="114"/>
  <c r="G259" i="114"/>
  <c r="G258" i="114"/>
  <c r="G257" i="114"/>
  <c r="G256" i="114"/>
  <c r="G255" i="114"/>
  <c r="G254" i="114"/>
  <c r="G253" i="114"/>
  <c r="G252" i="114"/>
  <c r="G251" i="114"/>
  <c r="G250" i="114"/>
  <c r="G249" i="114"/>
  <c r="G248" i="114"/>
  <c r="G247" i="114"/>
  <c r="G246" i="114"/>
  <c r="G245" i="114"/>
  <c r="G244" i="114"/>
  <c r="G243" i="114"/>
  <c r="G242" i="114"/>
  <c r="G241" i="114"/>
  <c r="G240" i="114"/>
  <c r="G239" i="114"/>
  <c r="F238" i="114"/>
  <c r="E238" i="114"/>
  <c r="G238" i="114" s="1"/>
  <c r="G237" i="114"/>
  <c r="G236" i="114"/>
  <c r="G235" i="114"/>
  <c r="G234" i="114"/>
  <c r="G233" i="114"/>
  <c r="F232" i="114"/>
  <c r="E232" i="114"/>
  <c r="G232" i="114" s="1"/>
  <c r="G231" i="114"/>
  <c r="G230" i="114"/>
  <c r="G229" i="114"/>
  <c r="G228" i="114"/>
  <c r="G227" i="114"/>
  <c r="G226" i="114"/>
  <c r="G225" i="114"/>
  <c r="F224" i="114"/>
  <c r="E224" i="114"/>
  <c r="G223" i="114"/>
  <c r="F222" i="114"/>
  <c r="E222" i="114"/>
  <c r="G220" i="114"/>
  <c r="G219" i="114"/>
  <c r="G218" i="114"/>
  <c r="G217" i="114"/>
  <c r="G216" i="114"/>
  <c r="G215" i="114"/>
  <c r="G214" i="114"/>
  <c r="G213" i="114"/>
  <c r="G212" i="114"/>
  <c r="G211" i="114"/>
  <c r="G210" i="114"/>
  <c r="F209" i="114"/>
  <c r="E209" i="114"/>
  <c r="G208" i="114"/>
  <c r="G207" i="114"/>
  <c r="F206" i="114"/>
  <c r="E206" i="114"/>
  <c r="G205" i="114"/>
  <c r="G204" i="114"/>
  <c r="G203" i="114"/>
  <c r="G202" i="114"/>
  <c r="F201" i="114"/>
  <c r="E201" i="114"/>
  <c r="G200" i="114"/>
  <c r="G199" i="114"/>
  <c r="G198" i="114"/>
  <c r="G197" i="114"/>
  <c r="G196" i="114"/>
  <c r="G195" i="114"/>
  <c r="G194" i="114"/>
  <c r="G193" i="114"/>
  <c r="G192" i="114"/>
  <c r="G191" i="114"/>
  <c r="G190" i="114"/>
  <c r="G189" i="114"/>
  <c r="F188" i="114"/>
  <c r="E188" i="114"/>
  <c r="G188" i="114" s="1"/>
  <c r="G187" i="114"/>
  <c r="F186" i="114"/>
  <c r="E186" i="114"/>
  <c r="G186" i="114" s="1"/>
  <c r="G185" i="114"/>
  <c r="F184" i="114"/>
  <c r="E184" i="114"/>
  <c r="G182" i="114"/>
  <c r="G181" i="114"/>
  <c r="G180" i="114"/>
  <c r="G179" i="114"/>
  <c r="G178" i="114"/>
  <c r="G177" i="114"/>
  <c r="G176" i="114"/>
  <c r="G175" i="114"/>
  <c r="G174" i="114"/>
  <c r="G173" i="114"/>
  <c r="G172" i="114"/>
  <c r="G171" i="114"/>
  <c r="G170" i="114"/>
  <c r="G169" i="114"/>
  <c r="F168" i="114"/>
  <c r="E168" i="114"/>
  <c r="G167" i="114"/>
  <c r="F166" i="114"/>
  <c r="E166" i="114"/>
  <c r="G165" i="114"/>
  <c r="F164" i="114"/>
  <c r="E164" i="114"/>
  <c r="G164" i="114" s="1"/>
  <c r="G163" i="114"/>
  <c r="G162" i="114"/>
  <c r="G161" i="114"/>
  <c r="G160" i="114"/>
  <c r="G159" i="114"/>
  <c r="G158" i="114"/>
  <c r="G157" i="114"/>
  <c r="G156" i="114"/>
  <c r="G155" i="114"/>
  <c r="G154" i="114"/>
  <c r="G153" i="114"/>
  <c r="G152" i="114"/>
  <c r="G151" i="114"/>
  <c r="F150" i="114"/>
  <c r="E150" i="114"/>
  <c r="G150" i="114" s="1"/>
  <c r="G149" i="114"/>
  <c r="F148" i="114"/>
  <c r="E148" i="114"/>
  <c r="G147" i="114"/>
  <c r="G146" i="114"/>
  <c r="G145" i="114"/>
  <c r="G144" i="114"/>
  <c r="F143" i="114"/>
  <c r="F142" i="114" s="1"/>
  <c r="E143" i="114"/>
  <c r="G143" i="114" s="1"/>
  <c r="G141" i="114"/>
  <c r="G140" i="114"/>
  <c r="G139" i="114"/>
  <c r="G138" i="114"/>
  <c r="G137" i="114"/>
  <c r="G136" i="114"/>
  <c r="G135" i="114"/>
  <c r="G134" i="114"/>
  <c r="G133" i="114"/>
  <c r="G132" i="114"/>
  <c r="G131" i="114"/>
  <c r="G130" i="114"/>
  <c r="G129" i="114"/>
  <c r="G128" i="114"/>
  <c r="G127" i="114"/>
  <c r="G126" i="114"/>
  <c r="G125" i="114"/>
  <c r="F125" i="114"/>
  <c r="E125" i="114"/>
  <c r="G124" i="114"/>
  <c r="F123" i="114"/>
  <c r="E123" i="114"/>
  <c r="G123" i="114" s="1"/>
  <c r="G122" i="114"/>
  <c r="G121" i="114"/>
  <c r="G120" i="114"/>
  <c r="G119" i="114"/>
  <c r="F118" i="114"/>
  <c r="E118" i="114"/>
  <c r="G118" i="114" s="1"/>
  <c r="G117" i="114"/>
  <c r="G116" i="114"/>
  <c r="G115" i="114"/>
  <c r="F114" i="114"/>
  <c r="G114" i="114" s="1"/>
  <c r="E114" i="114"/>
  <c r="G113" i="114"/>
  <c r="F112" i="114"/>
  <c r="E112" i="114"/>
  <c r="G111" i="114"/>
  <c r="G110" i="114"/>
  <c r="F110" i="114"/>
  <c r="F109" i="114" s="1"/>
  <c r="E110" i="114"/>
  <c r="G108" i="114"/>
  <c r="G107" i="114"/>
  <c r="F106" i="114"/>
  <c r="F105" i="114" s="1"/>
  <c r="E106" i="114"/>
  <c r="E105" i="114" s="1"/>
  <c r="G105" i="114" s="1"/>
  <c r="G104" i="114"/>
  <c r="G103" i="114"/>
  <c r="G102" i="114"/>
  <c r="G101" i="114"/>
  <c r="G100" i="114"/>
  <c r="G99" i="114"/>
  <c r="G98" i="114"/>
  <c r="G97" i="114"/>
  <c r="G96" i="114"/>
  <c r="G95" i="114"/>
  <c r="G94" i="114"/>
  <c r="G93" i="114"/>
  <c r="G92" i="114"/>
  <c r="G91" i="114"/>
  <c r="G90" i="114"/>
  <c r="G89" i="114"/>
  <c r="G88" i="114"/>
  <c r="G87" i="114"/>
  <c r="G86" i="114"/>
  <c r="G85" i="114"/>
  <c r="G84" i="114"/>
  <c r="G83" i="114"/>
  <c r="G82" i="114"/>
  <c r="G81" i="114"/>
  <c r="G80" i="114"/>
  <c r="G79" i="114"/>
  <c r="G78" i="114"/>
  <c r="G77" i="114"/>
  <c r="G76" i="114"/>
  <c r="F75" i="114"/>
  <c r="E75" i="114"/>
  <c r="G74" i="114"/>
  <c r="G73" i="114"/>
  <c r="F72" i="114"/>
  <c r="E72" i="114"/>
  <c r="G72" i="114" s="1"/>
  <c r="G71" i="114"/>
  <c r="G70" i="114"/>
  <c r="G69" i="114"/>
  <c r="G68" i="114"/>
  <c r="G67" i="114"/>
  <c r="G66" i="114"/>
  <c r="G65" i="114"/>
  <c r="G64" i="114"/>
  <c r="G63" i="114"/>
  <c r="G62" i="114"/>
  <c r="G61" i="114"/>
  <c r="F60" i="114"/>
  <c r="G60" i="114" s="1"/>
  <c r="E60" i="114"/>
  <c r="G58" i="114"/>
  <c r="F57" i="114"/>
  <c r="F56" i="114" s="1"/>
  <c r="E57" i="114"/>
  <c r="E56" i="114" s="1"/>
  <c r="G55" i="114"/>
  <c r="F54" i="114"/>
  <c r="F53" i="114" s="1"/>
  <c r="E54" i="114"/>
  <c r="E53" i="114" s="1"/>
  <c r="G52" i="114"/>
  <c r="G51" i="114"/>
  <c r="F50" i="114"/>
  <c r="F49" i="114" s="1"/>
  <c r="E50" i="114"/>
  <c r="E49" i="114" s="1"/>
  <c r="G49" i="114" s="1"/>
  <c r="G48" i="114"/>
  <c r="F47" i="114"/>
  <c r="E47" i="114"/>
  <c r="G46" i="114"/>
  <c r="F45" i="114"/>
  <c r="E45" i="114"/>
  <c r="G45" i="114" s="1"/>
  <c r="G44" i="114"/>
  <c r="G43" i="114"/>
  <c r="G42" i="114"/>
  <c r="G41" i="114"/>
  <c r="G40" i="114"/>
  <c r="G39" i="114"/>
  <c r="G38" i="114"/>
  <c r="F37" i="114"/>
  <c r="E37" i="114"/>
  <c r="G37" i="114" s="1"/>
  <c r="G36" i="114"/>
  <c r="G35" i="114"/>
  <c r="F34" i="114"/>
  <c r="E34" i="114"/>
  <c r="G32" i="114"/>
  <c r="G31" i="114"/>
  <c r="G30" i="114"/>
  <c r="G29" i="114"/>
  <c r="F28" i="114"/>
  <c r="F27" i="114" s="1"/>
  <c r="E28" i="114"/>
  <c r="E27" i="114" s="1"/>
  <c r="G27" i="114" s="1"/>
  <c r="G26" i="114"/>
  <c r="G25" i="114"/>
  <c r="G24" i="114"/>
  <c r="G23" i="114"/>
  <c r="G22" i="114"/>
  <c r="G21" i="114"/>
  <c r="G20" i="114"/>
  <c r="G19" i="114"/>
  <c r="G18" i="114"/>
  <c r="G17" i="114"/>
  <c r="G16" i="114"/>
  <c r="G15" i="114"/>
  <c r="G14" i="114"/>
  <c r="G13" i="114"/>
  <c r="F12" i="114"/>
  <c r="F11" i="114" s="1"/>
  <c r="E12" i="114"/>
  <c r="E11" i="114" s="1"/>
  <c r="P421" i="113"/>
  <c r="O421" i="113"/>
  <c r="N421" i="113"/>
  <c r="L421" i="113"/>
  <c r="K421" i="113"/>
  <c r="J421" i="113"/>
  <c r="H421" i="113"/>
  <c r="G421" i="113"/>
  <c r="F421" i="113"/>
  <c r="M420" i="113"/>
  <c r="M417" i="113" s="1"/>
  <c r="M418" i="113" s="1"/>
  <c r="I420" i="113"/>
  <c r="I421" i="113" s="1"/>
  <c r="F420" i="113"/>
  <c r="E420" i="113"/>
  <c r="E417" i="113" s="1"/>
  <c r="E418" i="113" s="1"/>
  <c r="M419" i="113"/>
  <c r="M421" i="113" s="1"/>
  <c r="F419" i="113"/>
  <c r="E419" i="113"/>
  <c r="E421" i="113" s="1"/>
  <c r="D419" i="113"/>
  <c r="N418" i="113"/>
  <c r="F418" i="113"/>
  <c r="P417" i="113"/>
  <c r="O417" i="113"/>
  <c r="N417" i="113"/>
  <c r="L417" i="113"/>
  <c r="K417" i="113"/>
  <c r="J417" i="113"/>
  <c r="I417" i="113"/>
  <c r="H417" i="113"/>
  <c r="G417" i="113"/>
  <c r="F417" i="113"/>
  <c r="P416" i="113"/>
  <c r="P418" i="113" s="1"/>
  <c r="O416" i="113"/>
  <c r="O418" i="113" s="1"/>
  <c r="N416" i="113"/>
  <c r="M416" i="113"/>
  <c r="L416" i="113"/>
  <c r="L418" i="113" s="1"/>
  <c r="K416" i="113"/>
  <c r="J416" i="113"/>
  <c r="I416" i="113"/>
  <c r="I418" i="113" s="1"/>
  <c r="H416" i="113"/>
  <c r="H418" i="113" s="1"/>
  <c r="G416" i="113"/>
  <c r="G418" i="113" s="1"/>
  <c r="F416" i="113"/>
  <c r="E416" i="113"/>
  <c r="D416" i="113"/>
  <c r="P415" i="113"/>
  <c r="O415" i="113"/>
  <c r="N415" i="113"/>
  <c r="M415" i="113"/>
  <c r="L415" i="113"/>
  <c r="J415" i="113"/>
  <c r="I415" i="113"/>
  <c r="G415" i="113"/>
  <c r="M414" i="113"/>
  <c r="K414" i="113"/>
  <c r="K415" i="113" s="1"/>
  <c r="H414" i="113"/>
  <c r="H415" i="113" s="1"/>
  <c r="M413" i="113"/>
  <c r="F413" i="113"/>
  <c r="G412" i="113"/>
  <c r="P411" i="113"/>
  <c r="O411" i="113"/>
  <c r="N411" i="113"/>
  <c r="M411" i="113"/>
  <c r="L411" i="113"/>
  <c r="K411" i="113"/>
  <c r="J411" i="113"/>
  <c r="I411" i="113"/>
  <c r="H411" i="113"/>
  <c r="G411" i="113"/>
  <c r="P410" i="113"/>
  <c r="P412" i="113" s="1"/>
  <c r="O410" i="113"/>
  <c r="O412" i="113" s="1"/>
  <c r="N410" i="113"/>
  <c r="N412" i="113" s="1"/>
  <c r="M410" i="113"/>
  <c r="M412" i="113" s="1"/>
  <c r="L410" i="113"/>
  <c r="L412" i="113" s="1"/>
  <c r="K410" i="113"/>
  <c r="K412" i="113" s="1"/>
  <c r="J410" i="113"/>
  <c r="I410" i="113"/>
  <c r="I412" i="113" s="1"/>
  <c r="H410" i="113"/>
  <c r="H412" i="113" s="1"/>
  <c r="G410" i="113"/>
  <c r="F410" i="113"/>
  <c r="P409" i="113"/>
  <c r="O409" i="113"/>
  <c r="N409" i="113"/>
  <c r="L409" i="113"/>
  <c r="K409" i="113"/>
  <c r="J409" i="113"/>
  <c r="H409" i="113"/>
  <c r="G409" i="113"/>
  <c r="F409" i="113"/>
  <c r="N408" i="113"/>
  <c r="M408" i="113"/>
  <c r="I408" i="113"/>
  <c r="I409" i="113" s="1"/>
  <c r="F408" i="113"/>
  <c r="M407" i="113"/>
  <c r="M409" i="113" s="1"/>
  <c r="F407" i="113"/>
  <c r="E407" i="113" s="1"/>
  <c r="P406" i="113"/>
  <c r="O406" i="113"/>
  <c r="N406" i="113"/>
  <c r="M406" i="113"/>
  <c r="L406" i="113"/>
  <c r="K406" i="113"/>
  <c r="J406" i="113"/>
  <c r="I406" i="113"/>
  <c r="H406" i="113"/>
  <c r="G406" i="113"/>
  <c r="E406" i="113"/>
  <c r="D406" i="113"/>
  <c r="M405" i="113"/>
  <c r="D405" i="113" s="1"/>
  <c r="F405" i="113"/>
  <c r="E405" i="113"/>
  <c r="M404" i="113"/>
  <c r="F404" i="113"/>
  <c r="F406" i="113" s="1"/>
  <c r="E404" i="113"/>
  <c r="D404" i="113"/>
  <c r="P403" i="113"/>
  <c r="O403" i="113"/>
  <c r="N403" i="113"/>
  <c r="M403" i="113"/>
  <c r="L403" i="113"/>
  <c r="K403" i="113"/>
  <c r="J403" i="113"/>
  <c r="I403" i="113"/>
  <c r="H403" i="113"/>
  <c r="G403" i="113"/>
  <c r="M402" i="113"/>
  <c r="F402" i="113"/>
  <c r="E402" i="113" s="1"/>
  <c r="D402" i="113" s="1"/>
  <c r="M401" i="113"/>
  <c r="F401" i="113"/>
  <c r="E401" i="113"/>
  <c r="P400" i="113"/>
  <c r="O400" i="113"/>
  <c r="N400" i="113"/>
  <c r="L400" i="113"/>
  <c r="K400" i="113"/>
  <c r="J400" i="113"/>
  <c r="H400" i="113"/>
  <c r="G400" i="113"/>
  <c r="F400" i="113"/>
  <c r="M399" i="113"/>
  <c r="I399" i="113"/>
  <c r="I400" i="113" s="1"/>
  <c r="F399" i="113"/>
  <c r="M398" i="113"/>
  <c r="M400" i="113" s="1"/>
  <c r="F398" i="113"/>
  <c r="E398" i="113" s="1"/>
  <c r="P397" i="113"/>
  <c r="O397" i="113"/>
  <c r="N397" i="113"/>
  <c r="L397" i="113"/>
  <c r="K397" i="113"/>
  <c r="J397" i="113"/>
  <c r="I397" i="113"/>
  <c r="H397" i="113"/>
  <c r="G397" i="113"/>
  <c r="M396" i="113"/>
  <c r="M397" i="113" s="1"/>
  <c r="F396" i="113"/>
  <c r="E396" i="113"/>
  <c r="D396" i="113" s="1"/>
  <c r="M395" i="113"/>
  <c r="F395" i="113"/>
  <c r="F397" i="113" s="1"/>
  <c r="E395" i="113"/>
  <c r="P394" i="113"/>
  <c r="O394" i="113"/>
  <c r="N394" i="113"/>
  <c r="M394" i="113"/>
  <c r="L394" i="113"/>
  <c r="K394" i="113"/>
  <c r="J394" i="113"/>
  <c r="I394" i="113"/>
  <c r="H394" i="113"/>
  <c r="G394" i="113"/>
  <c r="M393" i="113"/>
  <c r="F393" i="113"/>
  <c r="E393" i="113" s="1"/>
  <c r="D393" i="113"/>
  <c r="M392" i="113"/>
  <c r="F392" i="113"/>
  <c r="P391" i="113"/>
  <c r="O391" i="113"/>
  <c r="N391" i="113"/>
  <c r="M391" i="113"/>
  <c r="L391" i="113"/>
  <c r="K391" i="113"/>
  <c r="J391" i="113"/>
  <c r="H391" i="113"/>
  <c r="G391" i="113"/>
  <c r="F391" i="113"/>
  <c r="M390" i="113"/>
  <c r="I390" i="113"/>
  <c r="I391" i="113" s="1"/>
  <c r="F390" i="113"/>
  <c r="M389" i="113"/>
  <c r="F389" i="113"/>
  <c r="E389" i="113" s="1"/>
  <c r="D389" i="113" s="1"/>
  <c r="P388" i="113"/>
  <c r="O388" i="113"/>
  <c r="N388" i="113"/>
  <c r="L388" i="113"/>
  <c r="K388" i="113"/>
  <c r="J388" i="113"/>
  <c r="I388" i="113"/>
  <c r="H388" i="113"/>
  <c r="G388" i="113"/>
  <c r="E388" i="113"/>
  <c r="M387" i="113"/>
  <c r="F387" i="113"/>
  <c r="E387" i="113"/>
  <c r="M386" i="113"/>
  <c r="F386" i="113"/>
  <c r="F388" i="113" s="1"/>
  <c r="E386" i="113"/>
  <c r="D386" i="113"/>
  <c r="P385" i="113"/>
  <c r="O385" i="113"/>
  <c r="N385" i="113"/>
  <c r="M385" i="113"/>
  <c r="L385" i="113"/>
  <c r="K385" i="113"/>
  <c r="J385" i="113"/>
  <c r="I385" i="113"/>
  <c r="H385" i="113"/>
  <c r="G385" i="113"/>
  <c r="M384" i="113"/>
  <c r="F384" i="113"/>
  <c r="E384" i="113"/>
  <c r="D384" i="113"/>
  <c r="M383" i="113"/>
  <c r="F383" i="113"/>
  <c r="F385" i="113" s="1"/>
  <c r="P382" i="113"/>
  <c r="O382" i="113"/>
  <c r="N382" i="113"/>
  <c r="L382" i="113"/>
  <c r="K382" i="113"/>
  <c r="J382" i="113"/>
  <c r="I382" i="113"/>
  <c r="H382" i="113"/>
  <c r="G382" i="113"/>
  <c r="F382" i="113"/>
  <c r="M381" i="113"/>
  <c r="F381" i="113"/>
  <c r="E381" i="113" s="1"/>
  <c r="D381" i="113" s="1"/>
  <c r="M380" i="113"/>
  <c r="M382" i="113" s="1"/>
  <c r="F380" i="113"/>
  <c r="E380" i="113" s="1"/>
  <c r="K379" i="113"/>
  <c r="J379" i="113"/>
  <c r="P378" i="113"/>
  <c r="P379" i="113" s="1"/>
  <c r="O378" i="113"/>
  <c r="O379" i="113" s="1"/>
  <c r="N378" i="113"/>
  <c r="L378" i="113"/>
  <c r="K378" i="113"/>
  <c r="J378" i="113"/>
  <c r="I378" i="113"/>
  <c r="H378" i="113"/>
  <c r="H379" i="113" s="1"/>
  <c r="G378" i="113"/>
  <c r="G379" i="113" s="1"/>
  <c r="P377" i="113"/>
  <c r="O377" i="113"/>
  <c r="N377" i="113"/>
  <c r="N379" i="113" s="1"/>
  <c r="L377" i="113"/>
  <c r="L379" i="113" s="1"/>
  <c r="K377" i="113"/>
  <c r="J377" i="113"/>
  <c r="I377" i="113"/>
  <c r="I379" i="113" s="1"/>
  <c r="H377" i="113"/>
  <c r="G377" i="113"/>
  <c r="P376" i="113"/>
  <c r="O376" i="113"/>
  <c r="L376" i="113"/>
  <c r="J376" i="113"/>
  <c r="I376" i="113"/>
  <c r="H376" i="113"/>
  <c r="G376" i="113"/>
  <c r="F376" i="113"/>
  <c r="N375" i="113"/>
  <c r="M375" i="113"/>
  <c r="K375" i="113"/>
  <c r="E375" i="113" s="1"/>
  <c r="D375" i="113" s="1"/>
  <c r="F375" i="113"/>
  <c r="M374" i="113"/>
  <c r="F374" i="113"/>
  <c r="E374" i="113"/>
  <c r="P373" i="113"/>
  <c r="O373" i="113"/>
  <c r="N373" i="113"/>
  <c r="M373" i="113"/>
  <c r="L373" i="113"/>
  <c r="K373" i="113"/>
  <c r="J373" i="113"/>
  <c r="I373" i="113"/>
  <c r="H373" i="113"/>
  <c r="G373" i="113"/>
  <c r="M372" i="113"/>
  <c r="F372" i="113"/>
  <c r="E372" i="113" s="1"/>
  <c r="D372" i="113"/>
  <c r="M371" i="113"/>
  <c r="H371" i="113"/>
  <c r="F371" i="113"/>
  <c r="P370" i="113"/>
  <c r="O370" i="113"/>
  <c r="N370" i="113"/>
  <c r="L370" i="113"/>
  <c r="K370" i="113"/>
  <c r="J370" i="113"/>
  <c r="I370" i="113"/>
  <c r="H370" i="113"/>
  <c r="G370" i="113"/>
  <c r="F370" i="113"/>
  <c r="M369" i="113"/>
  <c r="F369" i="113"/>
  <c r="E369" i="113" s="1"/>
  <c r="D369" i="113"/>
  <c r="M368" i="113"/>
  <c r="F368" i="113"/>
  <c r="E368" i="113" s="1"/>
  <c r="P367" i="113"/>
  <c r="O367" i="113"/>
  <c r="N367" i="113"/>
  <c r="M367" i="113"/>
  <c r="L367" i="113"/>
  <c r="K367" i="113"/>
  <c r="J367" i="113"/>
  <c r="I367" i="113"/>
  <c r="H367" i="113"/>
  <c r="G367" i="113"/>
  <c r="M366" i="113"/>
  <c r="F366" i="113"/>
  <c r="E366" i="113"/>
  <c r="D366" i="113" s="1"/>
  <c r="M365" i="113"/>
  <c r="H365" i="113"/>
  <c r="F365" i="113"/>
  <c r="F367" i="113" s="1"/>
  <c r="E365" i="113"/>
  <c r="E367" i="113" s="1"/>
  <c r="D365" i="113"/>
  <c r="P364" i="113"/>
  <c r="O364" i="113"/>
  <c r="N364" i="113"/>
  <c r="L364" i="113"/>
  <c r="K364" i="113"/>
  <c r="J364" i="113"/>
  <c r="I364" i="113"/>
  <c r="G364" i="113"/>
  <c r="M363" i="113"/>
  <c r="F363" i="113"/>
  <c r="E363" i="113" s="1"/>
  <c r="D363" i="113" s="1"/>
  <c r="M362" i="113"/>
  <c r="H362" i="113"/>
  <c r="H364" i="113" s="1"/>
  <c r="P361" i="113"/>
  <c r="O361" i="113"/>
  <c r="N361" i="113"/>
  <c r="L361" i="113"/>
  <c r="K361" i="113"/>
  <c r="J361" i="113"/>
  <c r="I361" i="113"/>
  <c r="H361" i="113"/>
  <c r="G361" i="113"/>
  <c r="M360" i="113"/>
  <c r="F360" i="113"/>
  <c r="E360" i="113"/>
  <c r="D360" i="113"/>
  <c r="M359" i="113"/>
  <c r="M361" i="113" s="1"/>
  <c r="F359" i="113"/>
  <c r="F361" i="113" s="1"/>
  <c r="E359" i="113"/>
  <c r="P358" i="113"/>
  <c r="O358" i="113"/>
  <c r="N358" i="113"/>
  <c r="M358" i="113"/>
  <c r="L358" i="113"/>
  <c r="K358" i="113"/>
  <c r="J358" i="113"/>
  <c r="I358" i="113"/>
  <c r="H358" i="113"/>
  <c r="G358" i="113"/>
  <c r="E358" i="113"/>
  <c r="M357" i="113"/>
  <c r="F357" i="113"/>
  <c r="E357" i="113" s="1"/>
  <c r="D357" i="113" s="1"/>
  <c r="M356" i="113"/>
  <c r="F356" i="113"/>
  <c r="F358" i="113" s="1"/>
  <c r="E356" i="113"/>
  <c r="D356" i="113" s="1"/>
  <c r="D358" i="113" s="1"/>
  <c r="P355" i="113"/>
  <c r="O355" i="113"/>
  <c r="N355" i="113"/>
  <c r="L355" i="113"/>
  <c r="K355" i="113"/>
  <c r="J355" i="113"/>
  <c r="I355" i="113"/>
  <c r="G355" i="113"/>
  <c r="M354" i="113"/>
  <c r="M348" i="113" s="1"/>
  <c r="F354" i="113"/>
  <c r="M353" i="113"/>
  <c r="H353" i="113"/>
  <c r="H355" i="113" s="1"/>
  <c r="P352" i="113"/>
  <c r="O352" i="113"/>
  <c r="N352" i="113"/>
  <c r="L352" i="113"/>
  <c r="K352" i="113"/>
  <c r="J352" i="113"/>
  <c r="I352" i="113"/>
  <c r="H352" i="113"/>
  <c r="G352" i="113"/>
  <c r="M351" i="113"/>
  <c r="F351" i="113"/>
  <c r="E351" i="113"/>
  <c r="D351" i="113" s="1"/>
  <c r="M350" i="113"/>
  <c r="M352" i="113" s="1"/>
  <c r="F350" i="113"/>
  <c r="F352" i="113" s="1"/>
  <c r="E350" i="113"/>
  <c r="L349" i="113"/>
  <c r="P348" i="113"/>
  <c r="O348" i="113"/>
  <c r="L348" i="113"/>
  <c r="J348" i="113"/>
  <c r="J349" i="113" s="1"/>
  <c r="I348" i="113"/>
  <c r="I349" i="113" s="1"/>
  <c r="H348" i="113"/>
  <c r="G348" i="113"/>
  <c r="P347" i="113"/>
  <c r="P349" i="113" s="1"/>
  <c r="O347" i="113"/>
  <c r="O349" i="113" s="1"/>
  <c r="N347" i="113"/>
  <c r="L347" i="113"/>
  <c r="K347" i="113"/>
  <c r="J347" i="113"/>
  <c r="I347" i="113"/>
  <c r="H347" i="113"/>
  <c r="H349" i="113" s="1"/>
  <c r="G347" i="113"/>
  <c r="G349" i="113" s="1"/>
  <c r="P346" i="113"/>
  <c r="O346" i="113"/>
  <c r="N346" i="113"/>
  <c r="M346" i="113"/>
  <c r="L346" i="113"/>
  <c r="K346" i="113"/>
  <c r="J346" i="113"/>
  <c r="I346" i="113"/>
  <c r="H346" i="113"/>
  <c r="G346" i="113"/>
  <c r="E346" i="113"/>
  <c r="D346" i="113"/>
  <c r="M345" i="113"/>
  <c r="M339" i="113" s="1"/>
  <c r="F345" i="113"/>
  <c r="E345" i="113"/>
  <c r="D345" i="113" s="1"/>
  <c r="M344" i="113"/>
  <c r="F344" i="113"/>
  <c r="F346" i="113" s="1"/>
  <c r="E344" i="113"/>
  <c r="D344" i="113"/>
  <c r="P343" i="113"/>
  <c r="O343" i="113"/>
  <c r="N343" i="113"/>
  <c r="M343" i="113"/>
  <c r="L343" i="113"/>
  <c r="K343" i="113"/>
  <c r="J343" i="113"/>
  <c r="I343" i="113"/>
  <c r="H343" i="113"/>
  <c r="G343" i="113"/>
  <c r="M342" i="113"/>
  <c r="F342" i="113"/>
  <c r="F339" i="113" s="1"/>
  <c r="E342" i="113"/>
  <c r="E339" i="113" s="1"/>
  <c r="D342" i="113"/>
  <c r="M341" i="113"/>
  <c r="F341" i="113"/>
  <c r="F338" i="113" s="1"/>
  <c r="F340" i="113" s="1"/>
  <c r="O340" i="113"/>
  <c r="N340" i="113"/>
  <c r="M340" i="113"/>
  <c r="G340" i="113"/>
  <c r="P339" i="113"/>
  <c r="O339" i="113"/>
  <c r="N339" i="113"/>
  <c r="L339" i="113"/>
  <c r="K339" i="113"/>
  <c r="K340" i="113" s="1"/>
  <c r="J339" i="113"/>
  <c r="J340" i="113" s="1"/>
  <c r="I339" i="113"/>
  <c r="H339" i="113"/>
  <c r="G339" i="113"/>
  <c r="D339" i="113"/>
  <c r="P338" i="113"/>
  <c r="P340" i="113" s="1"/>
  <c r="O338" i="113"/>
  <c r="N338" i="113"/>
  <c r="M338" i="113"/>
  <c r="L338" i="113"/>
  <c r="L340" i="113" s="1"/>
  <c r="K338" i="113"/>
  <c r="J338" i="113"/>
  <c r="I338" i="113"/>
  <c r="I340" i="113" s="1"/>
  <c r="H338" i="113"/>
  <c r="H340" i="113" s="1"/>
  <c r="G338" i="113"/>
  <c r="P337" i="113"/>
  <c r="O337" i="113"/>
  <c r="N337" i="113"/>
  <c r="M337" i="113"/>
  <c r="L337" i="113"/>
  <c r="K337" i="113"/>
  <c r="J337" i="113"/>
  <c r="I337" i="113"/>
  <c r="H337" i="113"/>
  <c r="G337" i="113"/>
  <c r="F337" i="113"/>
  <c r="M336" i="113"/>
  <c r="F336" i="113"/>
  <c r="E336" i="113" s="1"/>
  <c r="M335" i="113"/>
  <c r="F335" i="113"/>
  <c r="E335" i="113"/>
  <c r="D335" i="113"/>
  <c r="P334" i="113"/>
  <c r="O334" i="113"/>
  <c r="N334" i="113"/>
  <c r="L334" i="113"/>
  <c r="K334" i="113"/>
  <c r="J334" i="113"/>
  <c r="I334" i="113"/>
  <c r="H334" i="113"/>
  <c r="G334" i="113"/>
  <c r="M333" i="113"/>
  <c r="F333" i="113"/>
  <c r="E333" i="113"/>
  <c r="D333" i="113" s="1"/>
  <c r="M332" i="113"/>
  <c r="F332" i="113"/>
  <c r="P331" i="113"/>
  <c r="O331" i="113"/>
  <c r="N331" i="113"/>
  <c r="L331" i="113"/>
  <c r="J331" i="113"/>
  <c r="I331" i="113"/>
  <c r="H331" i="113"/>
  <c r="G331" i="113"/>
  <c r="F331" i="113"/>
  <c r="M330" i="113"/>
  <c r="F330" i="113"/>
  <c r="E330" i="113" s="1"/>
  <c r="D330" i="113" s="1"/>
  <c r="M329" i="113"/>
  <c r="M331" i="113" s="1"/>
  <c r="K329" i="113"/>
  <c r="F329" i="113"/>
  <c r="P328" i="113"/>
  <c r="O328" i="113"/>
  <c r="N328" i="113"/>
  <c r="M328" i="113"/>
  <c r="L328" i="113"/>
  <c r="K328" i="113"/>
  <c r="J328" i="113"/>
  <c r="I328" i="113"/>
  <c r="H328" i="113"/>
  <c r="G328" i="113"/>
  <c r="F328" i="113"/>
  <c r="M327" i="113"/>
  <c r="F327" i="113"/>
  <c r="E327" i="113" s="1"/>
  <c r="M326" i="113"/>
  <c r="F326" i="113"/>
  <c r="E326" i="113"/>
  <c r="D326" i="113"/>
  <c r="P325" i="113"/>
  <c r="O325" i="113"/>
  <c r="N325" i="113"/>
  <c r="L325" i="113"/>
  <c r="K325" i="113"/>
  <c r="J325" i="113"/>
  <c r="I325" i="113"/>
  <c r="H325" i="113"/>
  <c r="G325" i="113"/>
  <c r="M324" i="113"/>
  <c r="F324" i="113"/>
  <c r="E324" i="113" s="1"/>
  <c r="D324" i="113" s="1"/>
  <c r="M323" i="113"/>
  <c r="F323" i="113"/>
  <c r="P322" i="113"/>
  <c r="O322" i="113"/>
  <c r="N322" i="113"/>
  <c r="L322" i="113"/>
  <c r="K322" i="113"/>
  <c r="J322" i="113"/>
  <c r="I322" i="113"/>
  <c r="H322" i="113"/>
  <c r="G322" i="113"/>
  <c r="F322" i="113"/>
  <c r="M321" i="113"/>
  <c r="F321" i="113"/>
  <c r="E321" i="113" s="1"/>
  <c r="D321" i="113"/>
  <c r="M320" i="113"/>
  <c r="M322" i="113" s="1"/>
  <c r="F320" i="113"/>
  <c r="E320" i="113" s="1"/>
  <c r="P319" i="113"/>
  <c r="O319" i="113"/>
  <c r="N319" i="113"/>
  <c r="M319" i="113"/>
  <c r="L319" i="113"/>
  <c r="K319" i="113"/>
  <c r="J319" i="113"/>
  <c r="I319" i="113"/>
  <c r="H319" i="113"/>
  <c r="G319" i="113"/>
  <c r="E319" i="113"/>
  <c r="D319" i="113"/>
  <c r="M318" i="113"/>
  <c r="F318" i="113"/>
  <c r="E318" i="113"/>
  <c r="D318" i="113" s="1"/>
  <c r="M317" i="113"/>
  <c r="F317" i="113"/>
  <c r="F319" i="113" s="1"/>
  <c r="E317" i="113"/>
  <c r="D317" i="113"/>
  <c r="P316" i="113"/>
  <c r="O316" i="113"/>
  <c r="N316" i="113"/>
  <c r="L316" i="113"/>
  <c r="K316" i="113"/>
  <c r="J316" i="113"/>
  <c r="I316" i="113"/>
  <c r="G316" i="113"/>
  <c r="M315" i="113"/>
  <c r="H315" i="113"/>
  <c r="F315" i="113"/>
  <c r="M314" i="113"/>
  <c r="M316" i="113" s="1"/>
  <c r="F314" i="113"/>
  <c r="E314" i="113" s="1"/>
  <c r="O313" i="113"/>
  <c r="G313" i="113"/>
  <c r="P312" i="113"/>
  <c r="O312" i="113"/>
  <c r="N312" i="113"/>
  <c r="M312" i="113"/>
  <c r="L312" i="113"/>
  <c r="L313" i="113" s="1"/>
  <c r="K312" i="113"/>
  <c r="J312" i="113"/>
  <c r="I312" i="113"/>
  <c r="G312" i="113"/>
  <c r="P311" i="113"/>
  <c r="P313" i="113" s="1"/>
  <c r="O311" i="113"/>
  <c r="N311" i="113"/>
  <c r="N313" i="113" s="1"/>
  <c r="L311" i="113"/>
  <c r="J311" i="113"/>
  <c r="J313" i="113" s="1"/>
  <c r="I311" i="113"/>
  <c r="I313" i="113" s="1"/>
  <c r="H311" i="113"/>
  <c r="G311" i="113"/>
  <c r="F311" i="113"/>
  <c r="P310" i="113"/>
  <c r="O310" i="113"/>
  <c r="N310" i="113"/>
  <c r="L310" i="113"/>
  <c r="K310" i="113"/>
  <c r="J310" i="113"/>
  <c r="I310" i="113"/>
  <c r="F310" i="113"/>
  <c r="E310" i="113"/>
  <c r="N309" i="113"/>
  <c r="M309" i="113" s="1"/>
  <c r="K309" i="113"/>
  <c r="H309" i="113"/>
  <c r="H310" i="113" s="1"/>
  <c r="G309" i="113"/>
  <c r="G310" i="113" s="1"/>
  <c r="F309" i="113"/>
  <c r="E309" i="113" s="1"/>
  <c r="D309" i="113" s="1"/>
  <c r="M308" i="113"/>
  <c r="M310" i="113" s="1"/>
  <c r="F308" i="113"/>
  <c r="E308" i="113" s="1"/>
  <c r="D308" i="113" s="1"/>
  <c r="D310" i="113" s="1"/>
  <c r="P307" i="113"/>
  <c r="O307" i="113"/>
  <c r="N307" i="113"/>
  <c r="M307" i="113"/>
  <c r="L307" i="113"/>
  <c r="K307" i="113"/>
  <c r="J307" i="113"/>
  <c r="I307" i="113"/>
  <c r="H307" i="113"/>
  <c r="G307" i="113"/>
  <c r="M306" i="113"/>
  <c r="H306" i="113"/>
  <c r="F306" i="113" s="1"/>
  <c r="E306" i="113"/>
  <c r="D306" i="113" s="1"/>
  <c r="D307" i="113" s="1"/>
  <c r="M305" i="113"/>
  <c r="F305" i="113"/>
  <c r="F307" i="113" s="1"/>
  <c r="E305" i="113"/>
  <c r="E307" i="113" s="1"/>
  <c r="D305" i="113"/>
  <c r="P304" i="113"/>
  <c r="O304" i="113"/>
  <c r="N304" i="113"/>
  <c r="L304" i="113"/>
  <c r="K304" i="113"/>
  <c r="J304" i="113"/>
  <c r="I304" i="113"/>
  <c r="G304" i="113"/>
  <c r="F304" i="113"/>
  <c r="E304" i="113"/>
  <c r="M303" i="113"/>
  <c r="M304" i="113" s="1"/>
  <c r="F303" i="113"/>
  <c r="E303" i="113"/>
  <c r="D303" i="113" s="1"/>
  <c r="M302" i="113"/>
  <c r="H302" i="113"/>
  <c r="H304" i="113" s="1"/>
  <c r="F302" i="113"/>
  <c r="E302" i="113"/>
  <c r="D302" i="113" s="1"/>
  <c r="D304" i="113" s="1"/>
  <c r="P301" i="113"/>
  <c r="O301" i="113"/>
  <c r="N301" i="113"/>
  <c r="L301" i="113"/>
  <c r="K301" i="113"/>
  <c r="J301" i="113"/>
  <c r="I301" i="113"/>
  <c r="G301" i="113"/>
  <c r="M300" i="113"/>
  <c r="H300" i="113"/>
  <c r="H294" i="113" s="1"/>
  <c r="G300" i="113"/>
  <c r="F300" i="113"/>
  <c r="F294" i="113" s="1"/>
  <c r="E300" i="113"/>
  <c r="M299" i="113"/>
  <c r="H299" i="113"/>
  <c r="F299" i="113"/>
  <c r="F293" i="113" s="1"/>
  <c r="F295" i="113" s="1"/>
  <c r="E299" i="113"/>
  <c r="D299" i="113"/>
  <c r="P298" i="113"/>
  <c r="O298" i="113"/>
  <c r="N298" i="113"/>
  <c r="L298" i="113"/>
  <c r="K298" i="113"/>
  <c r="J298" i="113"/>
  <c r="I298" i="113"/>
  <c r="H298" i="113"/>
  <c r="G298" i="113"/>
  <c r="M297" i="113"/>
  <c r="D297" i="113" s="1"/>
  <c r="F297" i="113"/>
  <c r="E297" i="113"/>
  <c r="M296" i="113"/>
  <c r="F296" i="113"/>
  <c r="F298" i="113" s="1"/>
  <c r="P295" i="113"/>
  <c r="O295" i="113"/>
  <c r="L295" i="113"/>
  <c r="I295" i="113"/>
  <c r="H295" i="113"/>
  <c r="P294" i="113"/>
  <c r="O294" i="113"/>
  <c r="N294" i="113"/>
  <c r="L294" i="113"/>
  <c r="K294" i="113"/>
  <c r="J294" i="113"/>
  <c r="I294" i="113"/>
  <c r="P293" i="113"/>
  <c r="O293" i="113"/>
  <c r="N293" i="113"/>
  <c r="N295" i="113" s="1"/>
  <c r="L293" i="113"/>
  <c r="K293" i="113"/>
  <c r="J293" i="113"/>
  <c r="I293" i="113"/>
  <c r="H293" i="113"/>
  <c r="G293" i="113"/>
  <c r="P292" i="113"/>
  <c r="O292" i="113"/>
  <c r="N292" i="113"/>
  <c r="L292" i="113"/>
  <c r="K292" i="113"/>
  <c r="J292" i="113"/>
  <c r="I292" i="113"/>
  <c r="H292" i="113"/>
  <c r="G292" i="113"/>
  <c r="O291" i="113"/>
  <c r="O273" i="113" s="1"/>
  <c r="N291" i="113"/>
  <c r="M291" i="113" s="1"/>
  <c r="K291" i="113"/>
  <c r="F291" i="113"/>
  <c r="E291" i="113" s="1"/>
  <c r="D291" i="113" s="1"/>
  <c r="M290" i="113"/>
  <c r="H290" i="113"/>
  <c r="P289" i="113"/>
  <c r="O289" i="113"/>
  <c r="N289" i="113"/>
  <c r="M289" i="113"/>
  <c r="L289" i="113"/>
  <c r="K289" i="113"/>
  <c r="J289" i="113"/>
  <c r="I289" i="113"/>
  <c r="H289" i="113"/>
  <c r="G289" i="113"/>
  <c r="M288" i="113"/>
  <c r="F288" i="113"/>
  <c r="E288" i="113"/>
  <c r="D288" i="113"/>
  <c r="M287" i="113"/>
  <c r="F287" i="113"/>
  <c r="F289" i="113" s="1"/>
  <c r="P286" i="113"/>
  <c r="O286" i="113"/>
  <c r="L286" i="113"/>
  <c r="K286" i="113"/>
  <c r="J286" i="113"/>
  <c r="I286" i="113"/>
  <c r="H286" i="113"/>
  <c r="G286" i="113"/>
  <c r="N285" i="113"/>
  <c r="N286" i="113" s="1"/>
  <c r="M285" i="113"/>
  <c r="D285" i="113" s="1"/>
  <c r="K285" i="113"/>
  <c r="F285" i="113"/>
  <c r="E285" i="113" s="1"/>
  <c r="M284" i="113"/>
  <c r="M286" i="113" s="1"/>
  <c r="F284" i="113"/>
  <c r="P283" i="113"/>
  <c r="O283" i="113"/>
  <c r="N283" i="113"/>
  <c r="L283" i="113"/>
  <c r="K283" i="113"/>
  <c r="J283" i="113"/>
  <c r="I283" i="113"/>
  <c r="H283" i="113"/>
  <c r="G283" i="113"/>
  <c r="M282" i="113"/>
  <c r="M283" i="113" s="1"/>
  <c r="F282" i="113"/>
  <c r="M281" i="113"/>
  <c r="F281" i="113"/>
  <c r="E281" i="113"/>
  <c r="D281" i="113"/>
  <c r="P280" i="113"/>
  <c r="O280" i="113"/>
  <c r="N280" i="113"/>
  <c r="M280" i="113"/>
  <c r="L280" i="113"/>
  <c r="K280" i="113"/>
  <c r="J280" i="113"/>
  <c r="I280" i="113"/>
  <c r="H280" i="113"/>
  <c r="G280" i="113"/>
  <c r="M279" i="113"/>
  <c r="F279" i="113"/>
  <c r="E279" i="113"/>
  <c r="D279" i="113"/>
  <c r="M278" i="113"/>
  <c r="F278" i="113"/>
  <c r="P277" i="113"/>
  <c r="O277" i="113"/>
  <c r="N277" i="113"/>
  <c r="L277" i="113"/>
  <c r="K277" i="113"/>
  <c r="J277" i="113"/>
  <c r="I277" i="113"/>
  <c r="H277" i="113"/>
  <c r="G277" i="113"/>
  <c r="M276" i="113"/>
  <c r="M273" i="113" s="1"/>
  <c r="K276" i="113"/>
  <c r="F276" i="113"/>
  <c r="M275" i="113"/>
  <c r="F275" i="113"/>
  <c r="F277" i="113" s="1"/>
  <c r="E275" i="113"/>
  <c r="J274" i="113"/>
  <c r="P273" i="113"/>
  <c r="P274" i="113" s="1"/>
  <c r="L273" i="113"/>
  <c r="J273" i="113"/>
  <c r="I273" i="113"/>
  <c r="I274" i="113" s="1"/>
  <c r="H273" i="113"/>
  <c r="G273" i="113"/>
  <c r="P272" i="113"/>
  <c r="O272" i="113"/>
  <c r="N272" i="113"/>
  <c r="L272" i="113"/>
  <c r="L274" i="113" s="1"/>
  <c r="K272" i="113"/>
  <c r="J272" i="113"/>
  <c r="I272" i="113"/>
  <c r="G272" i="113"/>
  <c r="G274" i="113" s="1"/>
  <c r="P271" i="113"/>
  <c r="O271" i="113"/>
  <c r="L271" i="113"/>
  <c r="J271" i="113"/>
  <c r="I271" i="113"/>
  <c r="H271" i="113"/>
  <c r="G271" i="113"/>
  <c r="N270" i="113"/>
  <c r="N271" i="113" s="1"/>
  <c r="M270" i="113"/>
  <c r="K270" i="113"/>
  <c r="E270" i="113" s="1"/>
  <c r="D270" i="113" s="1"/>
  <c r="F270" i="113"/>
  <c r="M269" i="113"/>
  <c r="M271" i="113" s="1"/>
  <c r="F269" i="113"/>
  <c r="P268" i="113"/>
  <c r="O268" i="113"/>
  <c r="N268" i="113"/>
  <c r="M268" i="113"/>
  <c r="L268" i="113"/>
  <c r="K268" i="113"/>
  <c r="J268" i="113"/>
  <c r="I268" i="113"/>
  <c r="H268" i="113"/>
  <c r="G268" i="113"/>
  <c r="M267" i="113"/>
  <c r="F267" i="113"/>
  <c r="E267" i="113"/>
  <c r="D267" i="113" s="1"/>
  <c r="M266" i="113"/>
  <c r="F266" i="113"/>
  <c r="F268" i="113" s="1"/>
  <c r="E266" i="113"/>
  <c r="D266" i="113"/>
  <c r="P265" i="113"/>
  <c r="O265" i="113"/>
  <c r="N265" i="113"/>
  <c r="M265" i="113"/>
  <c r="L265" i="113"/>
  <c r="K265" i="113"/>
  <c r="J265" i="113"/>
  <c r="I265" i="113"/>
  <c r="H265" i="113"/>
  <c r="G265" i="113"/>
  <c r="F265" i="113"/>
  <c r="M264" i="113"/>
  <c r="F264" i="113"/>
  <c r="E264" i="113"/>
  <c r="D264" i="113"/>
  <c r="M263" i="113"/>
  <c r="F263" i="113"/>
  <c r="E263" i="113"/>
  <c r="P262" i="113"/>
  <c r="O262" i="113"/>
  <c r="N262" i="113"/>
  <c r="L262" i="113"/>
  <c r="K262" i="113"/>
  <c r="J262" i="113"/>
  <c r="I262" i="113"/>
  <c r="G262" i="113"/>
  <c r="M261" i="113"/>
  <c r="M262" i="113" s="1"/>
  <c r="F261" i="113"/>
  <c r="E261" i="113" s="1"/>
  <c r="D261" i="113" s="1"/>
  <c r="M260" i="113"/>
  <c r="H260" i="113"/>
  <c r="H262" i="113" s="1"/>
  <c r="F260" i="113"/>
  <c r="P259" i="113"/>
  <c r="O259" i="113"/>
  <c r="N259" i="113"/>
  <c r="M259" i="113"/>
  <c r="L259" i="113"/>
  <c r="K259" i="113"/>
  <c r="J259" i="113"/>
  <c r="I259" i="113"/>
  <c r="H259" i="113"/>
  <c r="G259" i="113"/>
  <c r="M258" i="113"/>
  <c r="F258" i="113"/>
  <c r="E258" i="113"/>
  <c r="D258" i="113" s="1"/>
  <c r="M257" i="113"/>
  <c r="H257" i="113"/>
  <c r="F257" i="113"/>
  <c r="F259" i="113" s="1"/>
  <c r="E257" i="113"/>
  <c r="P256" i="113"/>
  <c r="O256" i="113"/>
  <c r="N256" i="113"/>
  <c r="L256" i="113"/>
  <c r="J256" i="113"/>
  <c r="I256" i="113"/>
  <c r="H256" i="113"/>
  <c r="G256" i="113"/>
  <c r="F256" i="113"/>
  <c r="M255" i="113"/>
  <c r="K255" i="113"/>
  <c r="K256" i="113" s="1"/>
  <c r="F255" i="113"/>
  <c r="M254" i="113"/>
  <c r="M256" i="113" s="1"/>
  <c r="F254" i="113"/>
  <c r="E254" i="113"/>
  <c r="D254" i="113"/>
  <c r="P253" i="113"/>
  <c r="O253" i="113"/>
  <c r="N253" i="113"/>
  <c r="M253" i="113"/>
  <c r="L253" i="113"/>
  <c r="K253" i="113"/>
  <c r="J253" i="113"/>
  <c r="I253" i="113"/>
  <c r="H253" i="113"/>
  <c r="G253" i="113"/>
  <c r="M252" i="113"/>
  <c r="F252" i="113"/>
  <c r="E252" i="113"/>
  <c r="D252" i="113" s="1"/>
  <c r="M251" i="113"/>
  <c r="F251" i="113"/>
  <c r="F253" i="113" s="1"/>
  <c r="E251" i="113"/>
  <c r="D251" i="113"/>
  <c r="P250" i="113"/>
  <c r="O250" i="113"/>
  <c r="N250" i="113"/>
  <c r="M250" i="113"/>
  <c r="L250" i="113"/>
  <c r="K250" i="113"/>
  <c r="J250" i="113"/>
  <c r="I250" i="113"/>
  <c r="H250" i="113"/>
  <c r="G250" i="113"/>
  <c r="F250" i="113"/>
  <c r="M249" i="113"/>
  <c r="F249" i="113"/>
  <c r="E249" i="113"/>
  <c r="D249" i="113" s="1"/>
  <c r="M248" i="113"/>
  <c r="F248" i="113"/>
  <c r="E248" i="113"/>
  <c r="E250" i="113" s="1"/>
  <c r="D248" i="113"/>
  <c r="D250" i="113" s="1"/>
  <c r="P247" i="113"/>
  <c r="O247" i="113"/>
  <c r="N247" i="113"/>
  <c r="L247" i="113"/>
  <c r="K247" i="113"/>
  <c r="J247" i="113"/>
  <c r="I247" i="113"/>
  <c r="H247" i="113"/>
  <c r="G247" i="113"/>
  <c r="M246" i="113"/>
  <c r="F246" i="113"/>
  <c r="E246" i="113" s="1"/>
  <c r="D246" i="113" s="1"/>
  <c r="M245" i="113"/>
  <c r="M247" i="113" s="1"/>
  <c r="F245" i="113"/>
  <c r="P244" i="113"/>
  <c r="O244" i="113"/>
  <c r="N244" i="113"/>
  <c r="L244" i="113"/>
  <c r="K244" i="113"/>
  <c r="J244" i="113"/>
  <c r="I244" i="113"/>
  <c r="H244" i="113"/>
  <c r="G244" i="113"/>
  <c r="F244" i="113"/>
  <c r="M243" i="113"/>
  <c r="F243" i="113"/>
  <c r="E243" i="113"/>
  <c r="D243" i="113"/>
  <c r="D244" i="113" s="1"/>
  <c r="M242" i="113"/>
  <c r="F242" i="113"/>
  <c r="E242" i="113" s="1"/>
  <c r="D242" i="113"/>
  <c r="P241" i="113"/>
  <c r="N241" i="113"/>
  <c r="L241" i="113"/>
  <c r="K241" i="113"/>
  <c r="J241" i="113"/>
  <c r="I241" i="113"/>
  <c r="H241" i="113"/>
  <c r="G241" i="113"/>
  <c r="F241" i="113"/>
  <c r="O240" i="113"/>
  <c r="N240" i="113"/>
  <c r="M240" i="113"/>
  <c r="F240" i="113"/>
  <c r="M239" i="113"/>
  <c r="M241" i="113" s="1"/>
  <c r="F239" i="113"/>
  <c r="E239" i="113"/>
  <c r="P238" i="113"/>
  <c r="L238" i="113"/>
  <c r="G238" i="113"/>
  <c r="P237" i="113"/>
  <c r="N237" i="113"/>
  <c r="M237" i="113"/>
  <c r="L237" i="113"/>
  <c r="J237" i="113"/>
  <c r="J238" i="113" s="1"/>
  <c r="I237" i="113"/>
  <c r="H237" i="113"/>
  <c r="G237" i="113"/>
  <c r="P236" i="113"/>
  <c r="O236" i="113"/>
  <c r="N236" i="113"/>
  <c r="N238" i="113" s="1"/>
  <c r="M236" i="113"/>
  <c r="M238" i="113" s="1"/>
  <c r="L236" i="113"/>
  <c r="K236" i="113"/>
  <c r="J236" i="113"/>
  <c r="I236" i="113"/>
  <c r="G236" i="113"/>
  <c r="P235" i="113"/>
  <c r="L235" i="113"/>
  <c r="K235" i="113"/>
  <c r="J235" i="113"/>
  <c r="I235" i="113"/>
  <c r="G235" i="113"/>
  <c r="O234" i="113"/>
  <c r="O192" i="113" s="1"/>
  <c r="N234" i="113"/>
  <c r="N235" i="113" s="1"/>
  <c r="M234" i="113"/>
  <c r="K234" i="113"/>
  <c r="H234" i="113"/>
  <c r="H235" i="113" s="1"/>
  <c r="G234" i="113"/>
  <c r="M233" i="113"/>
  <c r="F233" i="113"/>
  <c r="E233" i="113" s="1"/>
  <c r="D233" i="113"/>
  <c r="P232" i="113"/>
  <c r="O232" i="113"/>
  <c r="N232" i="113"/>
  <c r="L232" i="113"/>
  <c r="K232" i="113"/>
  <c r="J232" i="113"/>
  <c r="I232" i="113"/>
  <c r="H232" i="113"/>
  <c r="G232" i="113"/>
  <c r="F232" i="113"/>
  <c r="M231" i="113"/>
  <c r="M232" i="113" s="1"/>
  <c r="F231" i="113"/>
  <c r="E231" i="113"/>
  <c r="D231" i="113" s="1"/>
  <c r="M230" i="113"/>
  <c r="F230" i="113"/>
  <c r="E230" i="113" s="1"/>
  <c r="P229" i="113"/>
  <c r="O229" i="113"/>
  <c r="N229" i="113"/>
  <c r="L229" i="113"/>
  <c r="K229" i="113"/>
  <c r="J229" i="113"/>
  <c r="I229" i="113"/>
  <c r="H229" i="113"/>
  <c r="G229" i="113"/>
  <c r="M228" i="113"/>
  <c r="M229" i="113" s="1"/>
  <c r="F228" i="113"/>
  <c r="M227" i="113"/>
  <c r="F227" i="113"/>
  <c r="E227" i="113"/>
  <c r="D227" i="113" s="1"/>
  <c r="P226" i="113"/>
  <c r="O226" i="113"/>
  <c r="N226" i="113"/>
  <c r="L226" i="113"/>
  <c r="K226" i="113"/>
  <c r="J226" i="113"/>
  <c r="I226" i="113"/>
  <c r="H226" i="113"/>
  <c r="G226" i="113"/>
  <c r="F226" i="113"/>
  <c r="M225" i="113"/>
  <c r="F225" i="113"/>
  <c r="E225" i="113" s="1"/>
  <c r="D225" i="113" s="1"/>
  <c r="M224" i="113"/>
  <c r="M226" i="113" s="1"/>
  <c r="F224" i="113"/>
  <c r="E224" i="113"/>
  <c r="P223" i="113"/>
  <c r="O223" i="113"/>
  <c r="N223" i="113"/>
  <c r="L223" i="113"/>
  <c r="K223" i="113"/>
  <c r="J223" i="113"/>
  <c r="I223" i="113"/>
  <c r="H223" i="113"/>
  <c r="G223" i="113"/>
  <c r="M222" i="113"/>
  <c r="M223" i="113" s="1"/>
  <c r="H222" i="113"/>
  <c r="F222" i="113" s="1"/>
  <c r="E222" i="113" s="1"/>
  <c r="D222" i="113" s="1"/>
  <c r="M221" i="113"/>
  <c r="F221" i="113"/>
  <c r="E221" i="113"/>
  <c r="E223" i="113" s="1"/>
  <c r="D221" i="113"/>
  <c r="P220" i="113"/>
  <c r="O220" i="113"/>
  <c r="N220" i="113"/>
  <c r="L220" i="113"/>
  <c r="K220" i="113"/>
  <c r="J220" i="113"/>
  <c r="I220" i="113"/>
  <c r="H220" i="113"/>
  <c r="G220" i="113"/>
  <c r="M219" i="113"/>
  <c r="D219" i="113" s="1"/>
  <c r="F219" i="113"/>
  <c r="E219" i="113"/>
  <c r="M218" i="113"/>
  <c r="F218" i="113"/>
  <c r="F220" i="113" s="1"/>
  <c r="P217" i="113"/>
  <c r="O217" i="113"/>
  <c r="N217" i="113"/>
  <c r="L217" i="113"/>
  <c r="J217" i="113"/>
  <c r="I217" i="113"/>
  <c r="H217" i="113"/>
  <c r="G217" i="113"/>
  <c r="M216" i="113"/>
  <c r="K216" i="113"/>
  <c r="K217" i="113" s="1"/>
  <c r="F216" i="113"/>
  <c r="M215" i="113"/>
  <c r="F215" i="113"/>
  <c r="E215" i="113" s="1"/>
  <c r="P214" i="113"/>
  <c r="O214" i="113"/>
  <c r="N214" i="113"/>
  <c r="L214" i="113"/>
  <c r="K214" i="113"/>
  <c r="J214" i="113"/>
  <c r="I214" i="113"/>
  <c r="H214" i="113"/>
  <c r="G214" i="113"/>
  <c r="M213" i="113"/>
  <c r="F213" i="113"/>
  <c r="E213" i="113"/>
  <c r="M212" i="113"/>
  <c r="F212" i="113"/>
  <c r="F214" i="113" s="1"/>
  <c r="P211" i="113"/>
  <c r="O211" i="113"/>
  <c r="N211" i="113"/>
  <c r="M211" i="113"/>
  <c r="L211" i="113"/>
  <c r="K211" i="113"/>
  <c r="J211" i="113"/>
  <c r="I211" i="113"/>
  <c r="H211" i="113"/>
  <c r="G211" i="113"/>
  <c r="M210" i="113"/>
  <c r="F210" i="113"/>
  <c r="F211" i="113" s="1"/>
  <c r="M209" i="113"/>
  <c r="F209" i="113"/>
  <c r="E209" i="113"/>
  <c r="D209" i="113" s="1"/>
  <c r="P208" i="113"/>
  <c r="O208" i="113"/>
  <c r="N208" i="113"/>
  <c r="L208" i="113"/>
  <c r="K208" i="113"/>
  <c r="J208" i="113"/>
  <c r="I208" i="113"/>
  <c r="H208" i="113"/>
  <c r="G208" i="113"/>
  <c r="M207" i="113"/>
  <c r="F207" i="113"/>
  <c r="M206" i="113"/>
  <c r="M208" i="113" s="1"/>
  <c r="F206" i="113"/>
  <c r="E206" i="113" s="1"/>
  <c r="P205" i="113"/>
  <c r="O205" i="113"/>
  <c r="N205" i="113"/>
  <c r="M205" i="113"/>
  <c r="L205" i="113"/>
  <c r="K205" i="113"/>
  <c r="J205" i="113"/>
  <c r="I205" i="113"/>
  <c r="H205" i="113"/>
  <c r="G205" i="113"/>
  <c r="E205" i="113"/>
  <c r="D205" i="113"/>
  <c r="M204" i="113"/>
  <c r="F204" i="113"/>
  <c r="E204" i="113" s="1"/>
  <c r="D204" i="113"/>
  <c r="M203" i="113"/>
  <c r="F203" i="113"/>
  <c r="F205" i="113" s="1"/>
  <c r="E203" i="113"/>
  <c r="D203" i="113"/>
  <c r="P202" i="113"/>
  <c r="O202" i="113"/>
  <c r="N202" i="113"/>
  <c r="L202" i="113"/>
  <c r="K202" i="113"/>
  <c r="J202" i="113"/>
  <c r="I202" i="113"/>
  <c r="H202" i="113"/>
  <c r="G202" i="113"/>
  <c r="M201" i="113"/>
  <c r="F201" i="113"/>
  <c r="M200" i="113"/>
  <c r="F200" i="113"/>
  <c r="E200" i="113"/>
  <c r="P199" i="113"/>
  <c r="O199" i="113"/>
  <c r="N199" i="113"/>
  <c r="M199" i="113"/>
  <c r="L199" i="113"/>
  <c r="K199" i="113"/>
  <c r="J199" i="113"/>
  <c r="I199" i="113"/>
  <c r="H199" i="113"/>
  <c r="G199" i="113"/>
  <c r="M198" i="113"/>
  <c r="F198" i="113"/>
  <c r="E198" i="113"/>
  <c r="D198" i="113" s="1"/>
  <c r="M197" i="113"/>
  <c r="F197" i="113"/>
  <c r="F199" i="113" s="1"/>
  <c r="P196" i="113"/>
  <c r="O196" i="113"/>
  <c r="N196" i="113"/>
  <c r="L196" i="113"/>
  <c r="K196" i="113"/>
  <c r="J196" i="113"/>
  <c r="I196" i="113"/>
  <c r="H196" i="113"/>
  <c r="G196" i="113"/>
  <c r="M195" i="113"/>
  <c r="F195" i="113"/>
  <c r="E195" i="113"/>
  <c r="D195" i="113" s="1"/>
  <c r="M194" i="113"/>
  <c r="F194" i="113"/>
  <c r="O193" i="113"/>
  <c r="L193" i="113"/>
  <c r="P192" i="113"/>
  <c r="N192" i="113"/>
  <c r="L192" i="113"/>
  <c r="K192" i="113"/>
  <c r="K193" i="113" s="1"/>
  <c r="J192" i="113"/>
  <c r="I192" i="113"/>
  <c r="P191" i="113"/>
  <c r="P193" i="113" s="1"/>
  <c r="O191" i="113"/>
  <c r="N191" i="113"/>
  <c r="N193" i="113" s="1"/>
  <c r="L191" i="113"/>
  <c r="K191" i="113"/>
  <c r="J191" i="113"/>
  <c r="J193" i="113" s="1"/>
  <c r="I191" i="113"/>
  <c r="I193" i="113" s="1"/>
  <c r="H191" i="113"/>
  <c r="G191" i="113"/>
  <c r="P190" i="113"/>
  <c r="O190" i="113"/>
  <c r="N190" i="113"/>
  <c r="M190" i="113"/>
  <c r="L190" i="113"/>
  <c r="K190" i="113"/>
  <c r="J190" i="113"/>
  <c r="I190" i="113"/>
  <c r="H190" i="113"/>
  <c r="G190" i="113"/>
  <c r="M189" i="113"/>
  <c r="M186" i="113" s="1"/>
  <c r="F189" i="113"/>
  <c r="M188" i="113"/>
  <c r="F188" i="113"/>
  <c r="E188" i="113"/>
  <c r="D188" i="113" s="1"/>
  <c r="D185" i="113" s="1"/>
  <c r="P187" i="113"/>
  <c r="L187" i="113"/>
  <c r="K187" i="113"/>
  <c r="H187" i="113"/>
  <c r="P186" i="113"/>
  <c r="O186" i="113"/>
  <c r="O187" i="113" s="1"/>
  <c r="N186" i="113"/>
  <c r="L186" i="113"/>
  <c r="K186" i="113"/>
  <c r="J186" i="113"/>
  <c r="I186" i="113"/>
  <c r="H186" i="113"/>
  <c r="G186" i="113"/>
  <c r="P185" i="113"/>
  <c r="O185" i="113"/>
  <c r="N185" i="113"/>
  <c r="N187" i="113" s="1"/>
  <c r="M185" i="113"/>
  <c r="M187" i="113" s="1"/>
  <c r="L185" i="113"/>
  <c r="K185" i="113"/>
  <c r="J185" i="113"/>
  <c r="J187" i="113" s="1"/>
  <c r="I185" i="113"/>
  <c r="H185" i="113"/>
  <c r="G185" i="113"/>
  <c r="F185" i="113"/>
  <c r="E185" i="113"/>
  <c r="P184" i="113"/>
  <c r="O184" i="113"/>
  <c r="N184" i="113"/>
  <c r="L184" i="113"/>
  <c r="K184" i="113"/>
  <c r="J184" i="113"/>
  <c r="I184" i="113"/>
  <c r="H184" i="113"/>
  <c r="G184" i="113"/>
  <c r="F184" i="113"/>
  <c r="M183" i="113"/>
  <c r="F183" i="113"/>
  <c r="E183" i="113" s="1"/>
  <c r="D183" i="113" s="1"/>
  <c r="M182" i="113"/>
  <c r="M184" i="113" s="1"/>
  <c r="F182" i="113"/>
  <c r="E182" i="113" s="1"/>
  <c r="D182" i="113"/>
  <c r="D184" i="113" s="1"/>
  <c r="P181" i="113"/>
  <c r="O181" i="113"/>
  <c r="N181" i="113"/>
  <c r="L181" i="113"/>
  <c r="K181" i="113"/>
  <c r="J181" i="113"/>
  <c r="I181" i="113"/>
  <c r="H181" i="113"/>
  <c r="G181" i="113"/>
  <c r="M180" i="113"/>
  <c r="F180" i="113"/>
  <c r="E180" i="113"/>
  <c r="D180" i="113" s="1"/>
  <c r="D177" i="113" s="1"/>
  <c r="M179" i="113"/>
  <c r="F179" i="113"/>
  <c r="L178" i="113"/>
  <c r="I178" i="113"/>
  <c r="H178" i="113"/>
  <c r="P177" i="113"/>
  <c r="O177" i="113"/>
  <c r="N177" i="113"/>
  <c r="M177" i="113"/>
  <c r="L177" i="113"/>
  <c r="K177" i="113"/>
  <c r="J177" i="113"/>
  <c r="I177" i="113"/>
  <c r="H177" i="113"/>
  <c r="G177" i="113"/>
  <c r="F177" i="113"/>
  <c r="E177" i="113"/>
  <c r="P176" i="113"/>
  <c r="P178" i="113" s="1"/>
  <c r="O176" i="113"/>
  <c r="O178" i="113" s="1"/>
  <c r="N176" i="113"/>
  <c r="L176" i="113"/>
  <c r="K176" i="113"/>
  <c r="K178" i="113" s="1"/>
  <c r="J176" i="113"/>
  <c r="J178" i="113" s="1"/>
  <c r="I176" i="113"/>
  <c r="H176" i="113"/>
  <c r="G176" i="113"/>
  <c r="G178" i="113" s="1"/>
  <c r="P175" i="113"/>
  <c r="O175" i="113"/>
  <c r="N175" i="113"/>
  <c r="L175" i="113"/>
  <c r="K175" i="113"/>
  <c r="J175" i="113"/>
  <c r="I175" i="113"/>
  <c r="H175" i="113"/>
  <c r="G175" i="113"/>
  <c r="M174" i="113"/>
  <c r="M168" i="113" s="1"/>
  <c r="F174" i="113"/>
  <c r="E174" i="113" s="1"/>
  <c r="E168" i="113" s="1"/>
  <c r="M173" i="113"/>
  <c r="F173" i="113"/>
  <c r="F175" i="113" s="1"/>
  <c r="E173" i="113"/>
  <c r="P172" i="113"/>
  <c r="O172" i="113"/>
  <c r="N172" i="113"/>
  <c r="M172" i="113"/>
  <c r="L172" i="113"/>
  <c r="K172" i="113"/>
  <c r="J172" i="113"/>
  <c r="I172" i="113"/>
  <c r="H172" i="113"/>
  <c r="G172" i="113"/>
  <c r="E172" i="113"/>
  <c r="M171" i="113"/>
  <c r="F171" i="113"/>
  <c r="E171" i="113"/>
  <c r="D171" i="113" s="1"/>
  <c r="M170" i="113"/>
  <c r="F170" i="113"/>
  <c r="F172" i="113" s="1"/>
  <c r="E170" i="113"/>
  <c r="D170" i="113"/>
  <c r="D172" i="113" s="1"/>
  <c r="J169" i="113"/>
  <c r="I169" i="113"/>
  <c r="P168" i="113"/>
  <c r="O168" i="113"/>
  <c r="N168" i="113"/>
  <c r="L168" i="113"/>
  <c r="K168" i="113"/>
  <c r="J168" i="113"/>
  <c r="I168" i="113"/>
  <c r="H168" i="113"/>
  <c r="G168" i="113"/>
  <c r="F168" i="113"/>
  <c r="P167" i="113"/>
  <c r="P169" i="113" s="1"/>
  <c r="O167" i="113"/>
  <c r="N167" i="113"/>
  <c r="N169" i="113" s="1"/>
  <c r="L167" i="113"/>
  <c r="L169" i="113" s="1"/>
  <c r="K167" i="113"/>
  <c r="K169" i="113" s="1"/>
  <c r="J167" i="113"/>
  <c r="I167" i="113"/>
  <c r="H167" i="113"/>
  <c r="H169" i="113" s="1"/>
  <c r="G167" i="113"/>
  <c r="F167" i="113"/>
  <c r="P166" i="113"/>
  <c r="O166" i="113"/>
  <c r="N166" i="113"/>
  <c r="L166" i="113"/>
  <c r="K166" i="113"/>
  <c r="J166" i="113"/>
  <c r="I166" i="113"/>
  <c r="H166" i="113"/>
  <c r="G166" i="113"/>
  <c r="M165" i="113"/>
  <c r="M166" i="113" s="1"/>
  <c r="F165" i="113"/>
  <c r="E165" i="113"/>
  <c r="E162" i="113" s="1"/>
  <c r="D165" i="113"/>
  <c r="D162" i="113" s="1"/>
  <c r="M164" i="113"/>
  <c r="F164" i="113"/>
  <c r="F161" i="113" s="1"/>
  <c r="E164" i="113"/>
  <c r="E161" i="113" s="1"/>
  <c r="N163" i="113"/>
  <c r="M163" i="113"/>
  <c r="I163" i="113"/>
  <c r="F163" i="113"/>
  <c r="E163" i="113"/>
  <c r="P162" i="113"/>
  <c r="O162" i="113"/>
  <c r="N162" i="113"/>
  <c r="M162" i="113"/>
  <c r="L162" i="113"/>
  <c r="K162" i="113"/>
  <c r="J162" i="113"/>
  <c r="I162" i="113"/>
  <c r="H162" i="113"/>
  <c r="G162" i="113"/>
  <c r="F162" i="113"/>
  <c r="P161" i="113"/>
  <c r="P163" i="113" s="1"/>
  <c r="O161" i="113"/>
  <c r="O163" i="113" s="1"/>
  <c r="N161" i="113"/>
  <c r="M161" i="113"/>
  <c r="L161" i="113"/>
  <c r="L163" i="113" s="1"/>
  <c r="K161" i="113"/>
  <c r="J161" i="113"/>
  <c r="I161" i="113"/>
  <c r="H161" i="113"/>
  <c r="H163" i="113" s="1"/>
  <c r="G161" i="113"/>
  <c r="G163" i="113" s="1"/>
  <c r="P160" i="113"/>
  <c r="O160" i="113"/>
  <c r="N160" i="113"/>
  <c r="L160" i="113"/>
  <c r="K160" i="113"/>
  <c r="J160" i="113"/>
  <c r="I160" i="113"/>
  <c r="H160" i="113"/>
  <c r="G160" i="113"/>
  <c r="E160" i="113"/>
  <c r="M159" i="113"/>
  <c r="F159" i="113"/>
  <c r="E159" i="113"/>
  <c r="E156" i="113" s="1"/>
  <c r="M158" i="113"/>
  <c r="M155" i="113" s="1"/>
  <c r="M157" i="113" s="1"/>
  <c r="F158" i="113"/>
  <c r="F160" i="113" s="1"/>
  <c r="E158" i="113"/>
  <c r="E155" i="113" s="1"/>
  <c r="E157" i="113" s="1"/>
  <c r="D158" i="113"/>
  <c r="J157" i="113"/>
  <c r="P156" i="113"/>
  <c r="O156" i="113"/>
  <c r="N156" i="113"/>
  <c r="M156" i="113"/>
  <c r="L156" i="113"/>
  <c r="K156" i="113"/>
  <c r="J156" i="113"/>
  <c r="I156" i="113"/>
  <c r="I157" i="113" s="1"/>
  <c r="H156" i="113"/>
  <c r="G156" i="113"/>
  <c r="F156" i="113"/>
  <c r="P155" i="113"/>
  <c r="P157" i="113" s="1"/>
  <c r="O155" i="113"/>
  <c r="N155" i="113"/>
  <c r="L155" i="113"/>
  <c r="L157" i="113" s="1"/>
  <c r="K155" i="113"/>
  <c r="K157" i="113" s="1"/>
  <c r="J155" i="113"/>
  <c r="I155" i="113"/>
  <c r="H155" i="113"/>
  <c r="H157" i="113" s="1"/>
  <c r="G155" i="113"/>
  <c r="G157" i="113" s="1"/>
  <c r="F155" i="113"/>
  <c r="P154" i="113"/>
  <c r="O154" i="113"/>
  <c r="N154" i="113"/>
  <c r="L154" i="113"/>
  <c r="K154" i="113"/>
  <c r="J154" i="113"/>
  <c r="I154" i="113"/>
  <c r="G154" i="113"/>
  <c r="M153" i="113"/>
  <c r="K153" i="113"/>
  <c r="H153" i="113"/>
  <c r="H154" i="113" s="1"/>
  <c r="F153" i="113"/>
  <c r="E153" i="113" s="1"/>
  <c r="D153" i="113" s="1"/>
  <c r="M152" i="113"/>
  <c r="M154" i="113" s="1"/>
  <c r="K152" i="113"/>
  <c r="F152" i="113"/>
  <c r="P151" i="113"/>
  <c r="O151" i="113"/>
  <c r="N151" i="113"/>
  <c r="L151" i="113"/>
  <c r="K151" i="113"/>
  <c r="J151" i="113"/>
  <c r="I151" i="113"/>
  <c r="H151" i="113"/>
  <c r="G151" i="113"/>
  <c r="M150" i="113"/>
  <c r="M151" i="113" s="1"/>
  <c r="F150" i="113"/>
  <c r="E150" i="113"/>
  <c r="D150" i="113"/>
  <c r="M149" i="113"/>
  <c r="H149" i="113"/>
  <c r="F149" i="113"/>
  <c r="F151" i="113" s="1"/>
  <c r="P148" i="113"/>
  <c r="O148" i="113"/>
  <c r="N148" i="113"/>
  <c r="L148" i="113"/>
  <c r="K148" i="113"/>
  <c r="J148" i="113"/>
  <c r="I148" i="113"/>
  <c r="H148" i="113"/>
  <c r="G148" i="113"/>
  <c r="M147" i="113"/>
  <c r="F147" i="113"/>
  <c r="E147" i="113"/>
  <c r="D147" i="113" s="1"/>
  <c r="M146" i="113"/>
  <c r="M148" i="113" s="1"/>
  <c r="F146" i="113"/>
  <c r="E146" i="113" s="1"/>
  <c r="P145" i="113"/>
  <c r="O145" i="113"/>
  <c r="N145" i="113"/>
  <c r="L145" i="113"/>
  <c r="K145" i="113"/>
  <c r="J145" i="113"/>
  <c r="I145" i="113"/>
  <c r="G145" i="113"/>
  <c r="M144" i="113"/>
  <c r="D144" i="113" s="1"/>
  <c r="F144" i="113"/>
  <c r="E144" i="113"/>
  <c r="M143" i="113"/>
  <c r="H143" i="113"/>
  <c r="P142" i="113"/>
  <c r="N142" i="113"/>
  <c r="L142" i="113"/>
  <c r="J142" i="113"/>
  <c r="I142" i="113"/>
  <c r="G142" i="113"/>
  <c r="N141" i="113"/>
  <c r="M141" i="113"/>
  <c r="M142" i="113" s="1"/>
  <c r="K141" i="113"/>
  <c r="K135" i="113" s="1"/>
  <c r="H141" i="113"/>
  <c r="H142" i="113" s="1"/>
  <c r="F141" i="113"/>
  <c r="O140" i="113"/>
  <c r="O142" i="113" s="1"/>
  <c r="M140" i="113"/>
  <c r="K140" i="113"/>
  <c r="K142" i="113" s="1"/>
  <c r="F140" i="113"/>
  <c r="P139" i="113"/>
  <c r="O139" i="113"/>
  <c r="N139" i="113"/>
  <c r="L139" i="113"/>
  <c r="K139" i="113"/>
  <c r="J139" i="113"/>
  <c r="I139" i="113"/>
  <c r="H139" i="113"/>
  <c r="G139" i="113"/>
  <c r="F139" i="113"/>
  <c r="D139" i="113"/>
  <c r="M138" i="113"/>
  <c r="F138" i="113"/>
  <c r="E138" i="113"/>
  <c r="D138" i="113"/>
  <c r="M137" i="113"/>
  <c r="M139" i="113" s="1"/>
  <c r="F137" i="113"/>
  <c r="E137" i="113" s="1"/>
  <c r="E139" i="113" s="1"/>
  <c r="D137" i="113"/>
  <c r="P136" i="113"/>
  <c r="L136" i="113"/>
  <c r="I136" i="113"/>
  <c r="P135" i="113"/>
  <c r="O135" i="113"/>
  <c r="N135" i="113"/>
  <c r="L135" i="113"/>
  <c r="J135" i="113"/>
  <c r="I135" i="113"/>
  <c r="H135" i="113"/>
  <c r="G135" i="113"/>
  <c r="F135" i="113"/>
  <c r="P134" i="113"/>
  <c r="O134" i="113"/>
  <c r="O136" i="113" s="1"/>
  <c r="N134" i="113"/>
  <c r="N136" i="113" s="1"/>
  <c r="M134" i="113"/>
  <c r="L134" i="113"/>
  <c r="K134" i="113"/>
  <c r="K136" i="113" s="1"/>
  <c r="J134" i="113"/>
  <c r="J136" i="113" s="1"/>
  <c r="I134" i="113"/>
  <c r="G134" i="113"/>
  <c r="G136" i="113" s="1"/>
  <c r="P133" i="113"/>
  <c r="O133" i="113"/>
  <c r="N133" i="113"/>
  <c r="L133" i="113"/>
  <c r="K133" i="113"/>
  <c r="J133" i="113"/>
  <c r="I133" i="113"/>
  <c r="H133" i="113"/>
  <c r="G133" i="113"/>
  <c r="M132" i="113"/>
  <c r="M126" i="113" s="1"/>
  <c r="M127" i="113" s="1"/>
  <c r="F132" i="113"/>
  <c r="E132" i="113" s="1"/>
  <c r="D132" i="113" s="1"/>
  <c r="M131" i="113"/>
  <c r="F131" i="113"/>
  <c r="E131" i="113"/>
  <c r="D131" i="113"/>
  <c r="D133" i="113" s="1"/>
  <c r="P130" i="113"/>
  <c r="O130" i="113"/>
  <c r="N130" i="113"/>
  <c r="L130" i="113"/>
  <c r="K130" i="113"/>
  <c r="J130" i="113"/>
  <c r="I130" i="113"/>
  <c r="H130" i="113"/>
  <c r="G130" i="113"/>
  <c r="M129" i="113"/>
  <c r="F129" i="113"/>
  <c r="E129" i="113"/>
  <c r="D129" i="113" s="1"/>
  <c r="D126" i="113" s="1"/>
  <c r="M128" i="113"/>
  <c r="M125" i="113" s="1"/>
  <c r="F128" i="113"/>
  <c r="F130" i="113" s="1"/>
  <c r="E128" i="113"/>
  <c r="E125" i="113" s="1"/>
  <c r="P126" i="113"/>
  <c r="O126" i="113"/>
  <c r="N126" i="113"/>
  <c r="L126" i="113"/>
  <c r="K126" i="113"/>
  <c r="J126" i="113"/>
  <c r="J127" i="113" s="1"/>
  <c r="I126" i="113"/>
  <c r="I127" i="113" s="1"/>
  <c r="H126" i="113"/>
  <c r="G126" i="113"/>
  <c r="P125" i="113"/>
  <c r="P127" i="113" s="1"/>
  <c r="O125" i="113"/>
  <c r="O127" i="113" s="1"/>
  <c r="N125" i="113"/>
  <c r="N127" i="113" s="1"/>
  <c r="L125" i="113"/>
  <c r="L127" i="113" s="1"/>
  <c r="K125" i="113"/>
  <c r="K127" i="113" s="1"/>
  <c r="J125" i="113"/>
  <c r="I125" i="113"/>
  <c r="H125" i="113"/>
  <c r="H127" i="113" s="1"/>
  <c r="G125" i="113"/>
  <c r="G127" i="113" s="1"/>
  <c r="F125" i="113"/>
  <c r="P124" i="113"/>
  <c r="O124" i="113"/>
  <c r="N124" i="113"/>
  <c r="L124" i="113"/>
  <c r="K124" i="113"/>
  <c r="J124" i="113"/>
  <c r="I124" i="113"/>
  <c r="H124" i="113"/>
  <c r="G124" i="113"/>
  <c r="M123" i="113"/>
  <c r="M124" i="113" s="1"/>
  <c r="F123" i="113"/>
  <c r="E123" i="113"/>
  <c r="D123" i="113" s="1"/>
  <c r="D120" i="113" s="1"/>
  <c r="M122" i="113"/>
  <c r="F122" i="113"/>
  <c r="F119" i="113" s="1"/>
  <c r="F121" i="113" s="1"/>
  <c r="E122" i="113"/>
  <c r="E124" i="113" s="1"/>
  <c r="D122" i="113"/>
  <c r="N121" i="113"/>
  <c r="I121" i="113"/>
  <c r="H121" i="113"/>
  <c r="P120" i="113"/>
  <c r="O120" i="113"/>
  <c r="N120" i="113"/>
  <c r="L120" i="113"/>
  <c r="K120" i="113"/>
  <c r="J120" i="113"/>
  <c r="I120" i="113"/>
  <c r="H120" i="113"/>
  <c r="G120" i="113"/>
  <c r="F120" i="113"/>
  <c r="P119" i="113"/>
  <c r="P121" i="113" s="1"/>
  <c r="O119" i="113"/>
  <c r="O121" i="113" s="1"/>
  <c r="N119" i="113"/>
  <c r="M119" i="113"/>
  <c r="L119" i="113"/>
  <c r="L121" i="113" s="1"/>
  <c r="K119" i="113"/>
  <c r="J119" i="113"/>
  <c r="J121" i="113" s="1"/>
  <c r="I119" i="113"/>
  <c r="H119" i="113"/>
  <c r="G119" i="113"/>
  <c r="G121" i="113" s="1"/>
  <c r="E119" i="113"/>
  <c r="D119" i="113"/>
  <c r="P118" i="113"/>
  <c r="O118" i="113"/>
  <c r="N118" i="113"/>
  <c r="L118" i="113"/>
  <c r="K118" i="113"/>
  <c r="J118" i="113"/>
  <c r="I118" i="113"/>
  <c r="H118" i="113"/>
  <c r="G118" i="113"/>
  <c r="M117" i="113"/>
  <c r="F117" i="113"/>
  <c r="E117" i="113" s="1"/>
  <c r="D117" i="113" s="1"/>
  <c r="M116" i="113"/>
  <c r="M118" i="113" s="1"/>
  <c r="F116" i="113"/>
  <c r="E116" i="113"/>
  <c r="P115" i="113"/>
  <c r="O115" i="113"/>
  <c r="N115" i="113"/>
  <c r="L115" i="113"/>
  <c r="K115" i="113"/>
  <c r="J115" i="113"/>
  <c r="I115" i="113"/>
  <c r="H115" i="113"/>
  <c r="G115" i="113"/>
  <c r="M114" i="113"/>
  <c r="F114" i="113"/>
  <c r="E114" i="113" s="1"/>
  <c r="D114" i="113" s="1"/>
  <c r="M113" i="113"/>
  <c r="M115" i="113" s="1"/>
  <c r="F113" i="113"/>
  <c r="F115" i="113" s="1"/>
  <c r="P112" i="113"/>
  <c r="O112" i="113"/>
  <c r="N112" i="113"/>
  <c r="L112" i="113"/>
  <c r="K112" i="113"/>
  <c r="J112" i="113"/>
  <c r="I112" i="113"/>
  <c r="H112" i="113"/>
  <c r="G112" i="113"/>
  <c r="M111" i="113"/>
  <c r="F111" i="113"/>
  <c r="F112" i="113" s="1"/>
  <c r="E111" i="113"/>
  <c r="D111" i="113" s="1"/>
  <c r="D112" i="113" s="1"/>
  <c r="M110" i="113"/>
  <c r="F110" i="113"/>
  <c r="E110" i="113" s="1"/>
  <c r="D110" i="113"/>
  <c r="P109" i="113"/>
  <c r="O109" i="113"/>
  <c r="N109" i="113"/>
  <c r="L109" i="113"/>
  <c r="K109" i="113"/>
  <c r="J109" i="113"/>
  <c r="I109" i="113"/>
  <c r="G109" i="113"/>
  <c r="M108" i="113"/>
  <c r="M102" i="113" s="1"/>
  <c r="F108" i="113"/>
  <c r="E108" i="113"/>
  <c r="M107" i="113"/>
  <c r="H107" i="113"/>
  <c r="F107" i="113" s="1"/>
  <c r="F109" i="113" s="1"/>
  <c r="P106" i="113"/>
  <c r="O106" i="113"/>
  <c r="N106" i="113"/>
  <c r="L106" i="113"/>
  <c r="K106" i="113"/>
  <c r="J106" i="113"/>
  <c r="I106" i="113"/>
  <c r="H106" i="113"/>
  <c r="G106" i="113"/>
  <c r="M105" i="113"/>
  <c r="F105" i="113"/>
  <c r="E105" i="113" s="1"/>
  <c r="M104" i="113"/>
  <c r="M106" i="113" s="1"/>
  <c r="F104" i="113"/>
  <c r="F106" i="113" s="1"/>
  <c r="N103" i="113"/>
  <c r="J103" i="113"/>
  <c r="I103" i="113"/>
  <c r="P102" i="113"/>
  <c r="O102" i="113"/>
  <c r="O103" i="113" s="1"/>
  <c r="N102" i="113"/>
  <c r="L102" i="113"/>
  <c r="L103" i="113" s="1"/>
  <c r="K102" i="113"/>
  <c r="J102" i="113"/>
  <c r="I102" i="113"/>
  <c r="H102" i="113"/>
  <c r="G102" i="113"/>
  <c r="G103" i="113" s="1"/>
  <c r="P101" i="113"/>
  <c r="P103" i="113" s="1"/>
  <c r="O101" i="113"/>
  <c r="N101" i="113"/>
  <c r="L101" i="113"/>
  <c r="K101" i="113"/>
  <c r="K103" i="113" s="1"/>
  <c r="J101" i="113"/>
  <c r="I101" i="113"/>
  <c r="H101" i="113"/>
  <c r="H103" i="113" s="1"/>
  <c r="G101" i="113"/>
  <c r="P100" i="113"/>
  <c r="O100" i="113"/>
  <c r="N100" i="113"/>
  <c r="L100" i="113"/>
  <c r="K100" i="113"/>
  <c r="J100" i="113"/>
  <c r="I100" i="113"/>
  <c r="H100" i="113"/>
  <c r="G100" i="113"/>
  <c r="M99" i="113"/>
  <c r="D99" i="113" s="1"/>
  <c r="D96" i="113" s="1"/>
  <c r="F99" i="113"/>
  <c r="E99" i="113"/>
  <c r="M98" i="113"/>
  <c r="H98" i="113"/>
  <c r="F98" i="113" s="1"/>
  <c r="P97" i="113"/>
  <c r="O97" i="113"/>
  <c r="L97" i="113"/>
  <c r="I97" i="113"/>
  <c r="G97" i="113"/>
  <c r="P96" i="113"/>
  <c r="O96" i="113"/>
  <c r="N96" i="113"/>
  <c r="N97" i="113" s="1"/>
  <c r="L96" i="113"/>
  <c r="K96" i="113"/>
  <c r="J96" i="113"/>
  <c r="I96" i="113"/>
  <c r="H96" i="113"/>
  <c r="G96" i="113"/>
  <c r="F96" i="113"/>
  <c r="E96" i="113"/>
  <c r="P95" i="113"/>
  <c r="O95" i="113"/>
  <c r="N95" i="113"/>
  <c r="M95" i="113"/>
  <c r="L95" i="113"/>
  <c r="K95" i="113"/>
  <c r="K97" i="113" s="1"/>
  <c r="J95" i="113"/>
  <c r="J97" i="113" s="1"/>
  <c r="I95" i="113"/>
  <c r="H95" i="113"/>
  <c r="H97" i="113" s="1"/>
  <c r="G95" i="113"/>
  <c r="P94" i="113"/>
  <c r="O94" i="113"/>
  <c r="N94" i="113"/>
  <c r="L94" i="113"/>
  <c r="K94" i="113"/>
  <c r="J94" i="113"/>
  <c r="I94" i="113"/>
  <c r="H94" i="113"/>
  <c r="G94" i="113"/>
  <c r="M93" i="113"/>
  <c r="M90" i="113" s="1"/>
  <c r="F93" i="113"/>
  <c r="M92" i="113"/>
  <c r="M94" i="113" s="1"/>
  <c r="F92" i="113"/>
  <c r="E92" i="113"/>
  <c r="D92" i="113" s="1"/>
  <c r="L91" i="113"/>
  <c r="P90" i="113"/>
  <c r="P91" i="113" s="1"/>
  <c r="O90" i="113"/>
  <c r="N90" i="113"/>
  <c r="L90" i="113"/>
  <c r="K90" i="113"/>
  <c r="J90" i="113"/>
  <c r="J91" i="113" s="1"/>
  <c r="I90" i="113"/>
  <c r="H90" i="113"/>
  <c r="H91" i="113" s="1"/>
  <c r="G90" i="113"/>
  <c r="P89" i="113"/>
  <c r="O89" i="113"/>
  <c r="O91" i="113" s="1"/>
  <c r="N89" i="113"/>
  <c r="N91" i="113" s="1"/>
  <c r="L89" i="113"/>
  <c r="K89" i="113"/>
  <c r="K91" i="113" s="1"/>
  <c r="J89" i="113"/>
  <c r="I89" i="113"/>
  <c r="I91" i="113" s="1"/>
  <c r="H89" i="113"/>
  <c r="G89" i="113"/>
  <c r="G91" i="113" s="1"/>
  <c r="F89" i="113"/>
  <c r="D89" i="113"/>
  <c r="P88" i="113"/>
  <c r="O88" i="113"/>
  <c r="N88" i="113"/>
  <c r="L88" i="113"/>
  <c r="K88" i="113"/>
  <c r="J88" i="113"/>
  <c r="I88" i="113"/>
  <c r="G88" i="113"/>
  <c r="M87" i="113"/>
  <c r="F87" i="113"/>
  <c r="E87" i="113" s="1"/>
  <c r="D87" i="113" s="1"/>
  <c r="M86" i="113"/>
  <c r="M88" i="113" s="1"/>
  <c r="H86" i="113"/>
  <c r="F86" i="113" s="1"/>
  <c r="F88" i="113" s="1"/>
  <c r="P85" i="113"/>
  <c r="O85" i="113"/>
  <c r="N85" i="113"/>
  <c r="L85" i="113"/>
  <c r="K85" i="113"/>
  <c r="J85" i="113"/>
  <c r="I85" i="113"/>
  <c r="H85" i="113"/>
  <c r="G85" i="113"/>
  <c r="M84" i="113"/>
  <c r="F84" i="113"/>
  <c r="E84" i="113"/>
  <c r="D84" i="113" s="1"/>
  <c r="M83" i="113"/>
  <c r="M85" i="113" s="1"/>
  <c r="F83" i="113"/>
  <c r="F85" i="113" s="1"/>
  <c r="P82" i="113"/>
  <c r="O82" i="113"/>
  <c r="N82" i="113"/>
  <c r="L82" i="113"/>
  <c r="K82" i="113"/>
  <c r="J82" i="113"/>
  <c r="I82" i="113"/>
  <c r="H82" i="113"/>
  <c r="G82" i="113"/>
  <c r="F82" i="113"/>
  <c r="M81" i="113"/>
  <c r="F81" i="113"/>
  <c r="E81" i="113"/>
  <c r="D81" i="113" s="1"/>
  <c r="M80" i="113"/>
  <c r="M82" i="113" s="1"/>
  <c r="F80" i="113"/>
  <c r="E80" i="113"/>
  <c r="E82" i="113" s="1"/>
  <c r="P79" i="113"/>
  <c r="O79" i="113"/>
  <c r="N79" i="113"/>
  <c r="L79" i="113"/>
  <c r="K79" i="113"/>
  <c r="J79" i="113"/>
  <c r="I79" i="113"/>
  <c r="H79" i="113"/>
  <c r="G79" i="113"/>
  <c r="M78" i="113"/>
  <c r="F78" i="113"/>
  <c r="E78" i="113" s="1"/>
  <c r="D78" i="113" s="1"/>
  <c r="M77" i="113"/>
  <c r="F77" i="113"/>
  <c r="E77" i="113" s="1"/>
  <c r="D77" i="113" s="1"/>
  <c r="D79" i="113" s="1"/>
  <c r="P76" i="113"/>
  <c r="O76" i="113"/>
  <c r="N76" i="113"/>
  <c r="L76" i="113"/>
  <c r="K76" i="113"/>
  <c r="J76" i="113"/>
  <c r="I76" i="113"/>
  <c r="H76" i="113"/>
  <c r="G76" i="113"/>
  <c r="M75" i="113"/>
  <c r="F75" i="113"/>
  <c r="E75" i="113"/>
  <c r="D75" i="113" s="1"/>
  <c r="M74" i="113"/>
  <c r="M76" i="113" s="1"/>
  <c r="F74" i="113"/>
  <c r="E74" i="113" s="1"/>
  <c r="P73" i="113"/>
  <c r="O73" i="113"/>
  <c r="L73" i="113"/>
  <c r="K73" i="113"/>
  <c r="J73" i="113"/>
  <c r="I73" i="113"/>
  <c r="H73" i="113"/>
  <c r="N72" i="113"/>
  <c r="N73" i="113" s="1"/>
  <c r="M72" i="113"/>
  <c r="H72" i="113"/>
  <c r="H57" i="113" s="1"/>
  <c r="G72" i="113"/>
  <c r="M71" i="113"/>
  <c r="M73" i="113" s="1"/>
  <c r="F71" i="113"/>
  <c r="E71" i="113"/>
  <c r="D71" i="113"/>
  <c r="P70" i="113"/>
  <c r="O70" i="113"/>
  <c r="N70" i="113"/>
  <c r="M70" i="113"/>
  <c r="L70" i="113"/>
  <c r="K70" i="113"/>
  <c r="J70" i="113"/>
  <c r="I70" i="113"/>
  <c r="H70" i="113"/>
  <c r="G70" i="113"/>
  <c r="M69" i="113"/>
  <c r="F69" i="113"/>
  <c r="E69" i="113"/>
  <c r="D69" i="113" s="1"/>
  <c r="M68" i="113"/>
  <c r="F68" i="113"/>
  <c r="F70" i="113" s="1"/>
  <c r="E68" i="113"/>
  <c r="E70" i="113" s="1"/>
  <c r="P67" i="113"/>
  <c r="O67" i="113"/>
  <c r="N67" i="113"/>
  <c r="L67" i="113"/>
  <c r="K67" i="113"/>
  <c r="J67" i="113"/>
  <c r="I67" i="113"/>
  <c r="H67" i="113"/>
  <c r="G67" i="113"/>
  <c r="F67" i="113"/>
  <c r="M66" i="113"/>
  <c r="F66" i="113"/>
  <c r="E66" i="113"/>
  <c r="D66" i="113" s="1"/>
  <c r="M65" i="113"/>
  <c r="M67" i="113" s="1"/>
  <c r="F65" i="113"/>
  <c r="F56" i="113" s="1"/>
  <c r="E65" i="113"/>
  <c r="D65" i="113" s="1"/>
  <c r="P64" i="113"/>
  <c r="O64" i="113"/>
  <c r="N64" i="113"/>
  <c r="M64" i="113"/>
  <c r="L64" i="113"/>
  <c r="K64" i="113"/>
  <c r="J64" i="113"/>
  <c r="I64" i="113"/>
  <c r="H64" i="113"/>
  <c r="G64" i="113"/>
  <c r="M63" i="113"/>
  <c r="F63" i="113"/>
  <c r="E63" i="113" s="1"/>
  <c r="D63" i="113"/>
  <c r="M62" i="113"/>
  <c r="F62" i="113"/>
  <c r="F64" i="113" s="1"/>
  <c r="P61" i="113"/>
  <c r="O61" i="113"/>
  <c r="N61" i="113"/>
  <c r="M61" i="113"/>
  <c r="L61" i="113"/>
  <c r="K61" i="113"/>
  <c r="J61" i="113"/>
  <c r="I61" i="113"/>
  <c r="H61" i="113"/>
  <c r="G61" i="113"/>
  <c r="M60" i="113"/>
  <c r="F60" i="113"/>
  <c r="E60" i="113" s="1"/>
  <c r="M59" i="113"/>
  <c r="F59" i="113"/>
  <c r="E59" i="113"/>
  <c r="D59" i="113"/>
  <c r="P57" i="113"/>
  <c r="O57" i="113"/>
  <c r="N57" i="113"/>
  <c r="M57" i="113"/>
  <c r="L57" i="113"/>
  <c r="K57" i="113"/>
  <c r="J57" i="113"/>
  <c r="I57" i="113"/>
  <c r="G57" i="113"/>
  <c r="P56" i="113"/>
  <c r="P58" i="113" s="1"/>
  <c r="O56" i="113"/>
  <c r="O58" i="113" s="1"/>
  <c r="N56" i="113"/>
  <c r="N58" i="113" s="1"/>
  <c r="L56" i="113"/>
  <c r="L58" i="113" s="1"/>
  <c r="K56" i="113"/>
  <c r="K58" i="113" s="1"/>
  <c r="J56" i="113"/>
  <c r="J58" i="113" s="1"/>
  <c r="I56" i="113"/>
  <c r="I58" i="113" s="1"/>
  <c r="H56" i="113"/>
  <c r="H58" i="113" s="1"/>
  <c r="G56" i="113"/>
  <c r="G58" i="113" s="1"/>
  <c r="P55" i="113"/>
  <c r="O55" i="113"/>
  <c r="N55" i="113"/>
  <c r="M55" i="113"/>
  <c r="L55" i="113"/>
  <c r="K55" i="113"/>
  <c r="J55" i="113"/>
  <c r="I55" i="113"/>
  <c r="H55" i="113"/>
  <c r="G55" i="113"/>
  <c r="M54" i="113"/>
  <c r="F54" i="113"/>
  <c r="E54" i="113"/>
  <c r="D54" i="113"/>
  <c r="M53" i="113"/>
  <c r="F53" i="113"/>
  <c r="F55" i="113" s="1"/>
  <c r="E53" i="113"/>
  <c r="E55" i="113" s="1"/>
  <c r="D53" i="113"/>
  <c r="D55" i="113" s="1"/>
  <c r="P52" i="113"/>
  <c r="O52" i="113"/>
  <c r="N52" i="113"/>
  <c r="L52" i="113"/>
  <c r="J52" i="113"/>
  <c r="I52" i="113"/>
  <c r="G52" i="113"/>
  <c r="N51" i="113"/>
  <c r="M51" i="113"/>
  <c r="M45" i="113" s="1"/>
  <c r="K51" i="113"/>
  <c r="K45" i="113" s="1"/>
  <c r="F51" i="113"/>
  <c r="M50" i="113"/>
  <c r="H50" i="113"/>
  <c r="H52" i="113" s="1"/>
  <c r="P49" i="113"/>
  <c r="O49" i="113"/>
  <c r="N49" i="113"/>
  <c r="L49" i="113"/>
  <c r="K49" i="113"/>
  <c r="J49" i="113"/>
  <c r="I49" i="113"/>
  <c r="H49" i="113"/>
  <c r="G49" i="113"/>
  <c r="M48" i="113"/>
  <c r="M49" i="113" s="1"/>
  <c r="F48" i="113"/>
  <c r="E48" i="113"/>
  <c r="D48" i="113"/>
  <c r="M47" i="113"/>
  <c r="F47" i="113"/>
  <c r="F49" i="113" s="1"/>
  <c r="N46" i="113"/>
  <c r="G46" i="113"/>
  <c r="P45" i="113"/>
  <c r="P14" i="113" s="1"/>
  <c r="P424" i="113" s="1"/>
  <c r="O45" i="113"/>
  <c r="N45" i="113"/>
  <c r="L45" i="113"/>
  <c r="J45" i="113"/>
  <c r="I45" i="113"/>
  <c r="H45" i="113"/>
  <c r="G45" i="113"/>
  <c r="F45" i="113"/>
  <c r="P44" i="113"/>
  <c r="P46" i="113" s="1"/>
  <c r="O44" i="113"/>
  <c r="O46" i="113" s="1"/>
  <c r="N44" i="113"/>
  <c r="M44" i="113"/>
  <c r="L44" i="113"/>
  <c r="K44" i="113"/>
  <c r="J44" i="113"/>
  <c r="J46" i="113" s="1"/>
  <c r="I44" i="113"/>
  <c r="I46" i="113" s="1"/>
  <c r="H44" i="113"/>
  <c r="H46" i="113" s="1"/>
  <c r="G44" i="113"/>
  <c r="P43" i="113"/>
  <c r="O43" i="113"/>
  <c r="N43" i="113"/>
  <c r="M43" i="113"/>
  <c r="L43" i="113"/>
  <c r="K43" i="113"/>
  <c r="J43" i="113"/>
  <c r="I43" i="113"/>
  <c r="H43" i="113"/>
  <c r="G43" i="113"/>
  <c r="M42" i="113"/>
  <c r="F42" i="113"/>
  <c r="E42" i="113"/>
  <c r="D42" i="113" s="1"/>
  <c r="M41" i="113"/>
  <c r="F41" i="113"/>
  <c r="F43" i="113" s="1"/>
  <c r="E41" i="113"/>
  <c r="E43" i="113" s="1"/>
  <c r="P40" i="113"/>
  <c r="O40" i="113"/>
  <c r="N40" i="113"/>
  <c r="L40" i="113"/>
  <c r="J40" i="113"/>
  <c r="I40" i="113"/>
  <c r="G40" i="113"/>
  <c r="M39" i="113"/>
  <c r="M36" i="113" s="1"/>
  <c r="H39" i="113"/>
  <c r="H36" i="113" s="1"/>
  <c r="G39" i="113"/>
  <c r="F39" i="113" s="1"/>
  <c r="M38" i="113"/>
  <c r="M40" i="113" s="1"/>
  <c r="K38" i="113"/>
  <c r="K40" i="113" s="1"/>
  <c r="F38" i="113"/>
  <c r="E38" i="113"/>
  <c r="O37" i="113"/>
  <c r="N37" i="113"/>
  <c r="J37" i="113"/>
  <c r="G37" i="113"/>
  <c r="P36" i="113"/>
  <c r="O36" i="113"/>
  <c r="N36" i="113"/>
  <c r="L36" i="113"/>
  <c r="K36" i="113"/>
  <c r="J36" i="113"/>
  <c r="I36" i="113"/>
  <c r="G36" i="113"/>
  <c r="P35" i="113"/>
  <c r="P37" i="113" s="1"/>
  <c r="O35" i="113"/>
  <c r="N35" i="113"/>
  <c r="M35" i="113"/>
  <c r="M37" i="113" s="1"/>
  <c r="L35" i="113"/>
  <c r="L37" i="113" s="1"/>
  <c r="K35" i="113"/>
  <c r="K37" i="113" s="1"/>
  <c r="J35" i="113"/>
  <c r="I35" i="113"/>
  <c r="I37" i="113" s="1"/>
  <c r="H35" i="113"/>
  <c r="G35" i="113"/>
  <c r="F35" i="113"/>
  <c r="P34" i="113"/>
  <c r="O34" i="113"/>
  <c r="N34" i="113"/>
  <c r="M34" i="113"/>
  <c r="L34" i="113"/>
  <c r="K34" i="113"/>
  <c r="J34" i="113"/>
  <c r="I34" i="113"/>
  <c r="H34" i="113"/>
  <c r="G34" i="113"/>
  <c r="M33" i="113"/>
  <c r="F33" i="113"/>
  <c r="E33" i="113"/>
  <c r="D33" i="113" s="1"/>
  <c r="M32" i="113"/>
  <c r="F32" i="113"/>
  <c r="F34" i="113" s="1"/>
  <c r="E32" i="113"/>
  <c r="D32" i="113" s="1"/>
  <c r="D34" i="113" s="1"/>
  <c r="P31" i="113"/>
  <c r="O31" i="113"/>
  <c r="N31" i="113"/>
  <c r="L31" i="113"/>
  <c r="K31" i="113"/>
  <c r="J31" i="113"/>
  <c r="I31" i="113"/>
  <c r="G31" i="113"/>
  <c r="M30" i="113"/>
  <c r="M31" i="113" s="1"/>
  <c r="F30" i="113"/>
  <c r="E30" i="113" s="1"/>
  <c r="D30" i="113" s="1"/>
  <c r="M29" i="113"/>
  <c r="H29" i="113"/>
  <c r="H31" i="113" s="1"/>
  <c r="P28" i="113"/>
  <c r="O28" i="113"/>
  <c r="N28" i="113"/>
  <c r="L28" i="113"/>
  <c r="K28" i="113"/>
  <c r="J28" i="113"/>
  <c r="I28" i="113"/>
  <c r="H28" i="113"/>
  <c r="G28" i="113"/>
  <c r="F28" i="113"/>
  <c r="M27" i="113"/>
  <c r="M28" i="113" s="1"/>
  <c r="F27" i="113"/>
  <c r="E27" i="113"/>
  <c r="D27" i="113"/>
  <c r="M26" i="113"/>
  <c r="K26" i="113"/>
  <c r="F26" i="113"/>
  <c r="E26" i="113"/>
  <c r="E28" i="113" s="1"/>
  <c r="P25" i="113"/>
  <c r="O25" i="113"/>
  <c r="N25" i="113"/>
  <c r="L25" i="113"/>
  <c r="K25" i="113"/>
  <c r="J25" i="113"/>
  <c r="I25" i="113"/>
  <c r="H25" i="113"/>
  <c r="G25" i="113"/>
  <c r="M24" i="113"/>
  <c r="F24" i="113"/>
  <c r="E24" i="113" s="1"/>
  <c r="M23" i="113"/>
  <c r="M25" i="113" s="1"/>
  <c r="F23" i="113"/>
  <c r="E23" i="113" s="1"/>
  <c r="P22" i="113"/>
  <c r="O22" i="113"/>
  <c r="N22" i="113"/>
  <c r="L22" i="113"/>
  <c r="K22" i="113"/>
  <c r="J22" i="113"/>
  <c r="I22" i="113"/>
  <c r="H22" i="113"/>
  <c r="G22" i="113"/>
  <c r="M21" i="113"/>
  <c r="F21" i="113"/>
  <c r="E21" i="113"/>
  <c r="D21" i="113" s="1"/>
  <c r="M20" i="113"/>
  <c r="M22" i="113" s="1"/>
  <c r="F20" i="113"/>
  <c r="F22" i="113" s="1"/>
  <c r="P19" i="113"/>
  <c r="L19" i="113"/>
  <c r="I19" i="113"/>
  <c r="P18" i="113"/>
  <c r="O18" i="113"/>
  <c r="N18" i="113"/>
  <c r="M18" i="113"/>
  <c r="L18" i="113"/>
  <c r="K18" i="113"/>
  <c r="J18" i="113"/>
  <c r="I18" i="113"/>
  <c r="I14" i="113" s="1"/>
  <c r="I424" i="113" s="1"/>
  <c r="H18" i="113"/>
  <c r="G18" i="113"/>
  <c r="P17" i="113"/>
  <c r="P13" i="113" s="1"/>
  <c r="O17" i="113"/>
  <c r="O19" i="113" s="1"/>
  <c r="N17" i="113"/>
  <c r="N19" i="113" s="1"/>
  <c r="L17" i="113"/>
  <c r="K17" i="113"/>
  <c r="K19" i="113" s="1"/>
  <c r="J17" i="113"/>
  <c r="J19" i="113" s="1"/>
  <c r="I17" i="113"/>
  <c r="G17" i="113"/>
  <c r="G19" i="113" s="1"/>
  <c r="L14" i="113"/>
  <c r="L424" i="113" s="1"/>
  <c r="L13" i="113"/>
  <c r="L423" i="113" s="1"/>
  <c r="I13" i="113"/>
  <c r="I423" i="113" s="1"/>
  <c r="O122" i="111"/>
  <c r="I74" i="111"/>
  <c r="I138" i="111"/>
  <c r="G74" i="111"/>
  <c r="G138" i="111"/>
  <c r="H54" i="111"/>
  <c r="I54" i="111"/>
  <c r="F34" i="111"/>
  <c r="P122" i="111"/>
  <c r="E72" i="112"/>
  <c r="E71" i="112"/>
  <c r="G71" i="112" s="1"/>
  <c r="E69" i="112"/>
  <c r="E68" i="112"/>
  <c r="E66" i="112"/>
  <c r="E65" i="112"/>
  <c r="G65" i="112" s="1"/>
  <c r="F62" i="112"/>
  <c r="F61" i="112"/>
  <c r="G61" i="112" s="1"/>
  <c r="F53" i="112"/>
  <c r="F35" i="112" s="1"/>
  <c r="E53" i="112"/>
  <c r="G53" i="112" s="1"/>
  <c r="E49" i="112"/>
  <c r="E46" i="112"/>
  <c r="G46" i="112" s="1"/>
  <c r="E41" i="112"/>
  <c r="E38" i="112"/>
  <c r="E36" i="112"/>
  <c r="G36" i="112"/>
  <c r="E33" i="112"/>
  <c r="E32" i="112"/>
  <c r="F27" i="112"/>
  <c r="F26" i="112" s="1"/>
  <c r="G26" i="112" s="1"/>
  <c r="E27" i="112"/>
  <c r="E26" i="112"/>
  <c r="F15" i="112"/>
  <c r="F10" i="112" s="1"/>
  <c r="E15" i="112"/>
  <c r="F11" i="112"/>
  <c r="E11" i="112"/>
  <c r="E10" i="112"/>
  <c r="G11" i="112"/>
  <c r="G12" i="112"/>
  <c r="G13" i="112"/>
  <c r="G14" i="112"/>
  <c r="G16" i="112"/>
  <c r="G17" i="112"/>
  <c r="G18" i="112"/>
  <c r="G19" i="112"/>
  <c r="G20" i="112"/>
  <c r="G21" i="112"/>
  <c r="G22" i="112"/>
  <c r="G23" i="112"/>
  <c r="G24" i="112"/>
  <c r="G25" i="112"/>
  <c r="G28" i="112"/>
  <c r="G29" i="112"/>
  <c r="G30" i="112"/>
  <c r="G31" i="112"/>
  <c r="G32" i="112"/>
  <c r="G33" i="112"/>
  <c r="G34" i="112"/>
  <c r="G37" i="112"/>
  <c r="G38" i="112"/>
  <c r="G39" i="112"/>
  <c r="G40" i="112"/>
  <c r="G41" i="112"/>
  <c r="G42" i="112"/>
  <c r="G43" i="112"/>
  <c r="G44" i="112"/>
  <c r="G45" i="112"/>
  <c r="G47" i="112"/>
  <c r="G48" i="112"/>
  <c r="G49" i="112"/>
  <c r="G50" i="112"/>
  <c r="G51" i="112"/>
  <c r="G52" i="112"/>
  <c r="G54" i="112"/>
  <c r="G55" i="112"/>
  <c r="G56" i="112"/>
  <c r="G57" i="112"/>
  <c r="G58" i="112"/>
  <c r="G59" i="112"/>
  <c r="G60" i="112"/>
  <c r="G62" i="112"/>
  <c r="G63" i="112"/>
  <c r="G64" i="112"/>
  <c r="G66" i="112"/>
  <c r="G67" i="112"/>
  <c r="G68" i="112"/>
  <c r="G69" i="112"/>
  <c r="G70" i="112"/>
  <c r="G72" i="112"/>
  <c r="G73" i="112"/>
  <c r="G57" i="114" l="1"/>
  <c r="G112" i="114"/>
  <c r="G206" i="114"/>
  <c r="E221" i="114"/>
  <c r="G28" i="114"/>
  <c r="G168" i="114"/>
  <c r="G268" i="114"/>
  <c r="G106" i="114"/>
  <c r="F307" i="114"/>
  <c r="G201" i="114"/>
  <c r="F221" i="114"/>
  <c r="G311" i="114"/>
  <c r="E341" i="114"/>
  <c r="G166" i="114"/>
  <c r="G222" i="114"/>
  <c r="E33" i="114"/>
  <c r="G34" i="114"/>
  <c r="G75" i="114"/>
  <c r="G209" i="114"/>
  <c r="G224" i="114"/>
  <c r="G267" i="114"/>
  <c r="H37" i="113"/>
  <c r="E98" i="113"/>
  <c r="F95" i="113"/>
  <c r="F97" i="113" s="1"/>
  <c r="F100" i="113"/>
  <c r="D124" i="113"/>
  <c r="F36" i="113"/>
  <c r="F37" i="113" s="1"/>
  <c r="E39" i="113"/>
  <c r="F40" i="113"/>
  <c r="M46" i="113"/>
  <c r="E118" i="113"/>
  <c r="E25" i="113"/>
  <c r="D23" i="113"/>
  <c r="D60" i="113"/>
  <c r="E18" i="113"/>
  <c r="D24" i="113"/>
  <c r="D18" i="113" s="1"/>
  <c r="E40" i="113"/>
  <c r="D105" i="113"/>
  <c r="E102" i="113"/>
  <c r="E76" i="113"/>
  <c r="D74" i="113"/>
  <c r="D76" i="113" s="1"/>
  <c r="P423" i="113"/>
  <c r="P425" i="113" s="1"/>
  <c r="P15" i="113"/>
  <c r="K46" i="113"/>
  <c r="F25" i="113"/>
  <c r="E34" i="113"/>
  <c r="E93" i="113"/>
  <c r="F90" i="113"/>
  <c r="E130" i="113"/>
  <c r="D67" i="113"/>
  <c r="F76" i="113"/>
  <c r="J13" i="113"/>
  <c r="F18" i="113"/>
  <c r="E61" i="113"/>
  <c r="H88" i="113"/>
  <c r="M100" i="113"/>
  <c r="M175" i="113"/>
  <c r="D173" i="113"/>
  <c r="M167" i="113"/>
  <c r="M169" i="113" s="1"/>
  <c r="E189" i="113"/>
  <c r="F186" i="113"/>
  <c r="F190" i="113"/>
  <c r="E228" i="113"/>
  <c r="D228" i="113" s="1"/>
  <c r="F229" i="113"/>
  <c r="D239" i="113"/>
  <c r="E284" i="113"/>
  <c r="F286" i="113"/>
  <c r="I15" i="113"/>
  <c r="E20" i="113"/>
  <c r="H40" i="113"/>
  <c r="K52" i="113"/>
  <c r="F61" i="113"/>
  <c r="E83" i="113"/>
  <c r="E89" i="113"/>
  <c r="M89" i="113"/>
  <c r="M91" i="113" s="1"/>
  <c r="E94" i="113"/>
  <c r="D116" i="113"/>
  <c r="D118" i="113" s="1"/>
  <c r="E120" i="113"/>
  <c r="E121" i="113" s="1"/>
  <c r="M120" i="113"/>
  <c r="M121" i="113" s="1"/>
  <c r="F148" i="113"/>
  <c r="D174" i="113"/>
  <c r="D168" i="113" s="1"/>
  <c r="E194" i="113"/>
  <c r="F196" i="113"/>
  <c r="M217" i="113"/>
  <c r="D215" i="113"/>
  <c r="L425" i="113"/>
  <c r="M17" i="113"/>
  <c r="D26" i="113"/>
  <c r="D28" i="113" s="1"/>
  <c r="F29" i="113"/>
  <c r="D38" i="113"/>
  <c r="D41" i="113"/>
  <c r="D43" i="113" s="1"/>
  <c r="F50" i="113"/>
  <c r="M56" i="113"/>
  <c r="M58" i="113" s="1"/>
  <c r="D68" i="113"/>
  <c r="D70" i="113" s="1"/>
  <c r="F79" i="113"/>
  <c r="F91" i="113"/>
  <c r="F94" i="113"/>
  <c r="M96" i="113"/>
  <c r="M14" i="113" s="1"/>
  <c r="M424" i="113" s="1"/>
  <c r="F102" i="113"/>
  <c r="E107" i="113"/>
  <c r="E140" i="113"/>
  <c r="F142" i="113"/>
  <c r="M220" i="113"/>
  <c r="E236" i="113"/>
  <c r="O238" i="113"/>
  <c r="E245" i="113"/>
  <c r="F247" i="113"/>
  <c r="D253" i="113"/>
  <c r="D263" i="113"/>
  <c r="D265" i="113" s="1"/>
  <c r="E265" i="113"/>
  <c r="F316" i="113"/>
  <c r="F312" i="113"/>
  <c r="E315" i="113"/>
  <c r="F17" i="113"/>
  <c r="M52" i="113"/>
  <c r="E79" i="113"/>
  <c r="F118" i="113"/>
  <c r="K121" i="113"/>
  <c r="E126" i="113"/>
  <c r="E127" i="113" s="1"/>
  <c r="E133" i="113"/>
  <c r="N178" i="113"/>
  <c r="M202" i="113"/>
  <c r="D200" i="113"/>
  <c r="D206" i="113"/>
  <c r="D208" i="113" s="1"/>
  <c r="E208" i="113"/>
  <c r="E232" i="113"/>
  <c r="D230" i="113"/>
  <c r="D232" i="113" s="1"/>
  <c r="E253" i="113"/>
  <c r="N13" i="113"/>
  <c r="L15" i="113"/>
  <c r="E35" i="113"/>
  <c r="E47" i="113"/>
  <c r="E62" i="113"/>
  <c r="M79" i="113"/>
  <c r="D80" i="113"/>
  <c r="D82" i="113" s="1"/>
  <c r="M109" i="113"/>
  <c r="H109" i="113"/>
  <c r="F126" i="113"/>
  <c r="F127" i="113" s="1"/>
  <c r="F133" i="113"/>
  <c r="E148" i="113"/>
  <c r="D146" i="113"/>
  <c r="D148" i="113" s="1"/>
  <c r="G187" i="113"/>
  <c r="F191" i="113"/>
  <c r="E259" i="113"/>
  <c r="D268" i="113"/>
  <c r="M277" i="113"/>
  <c r="D275" i="113"/>
  <c r="M272" i="113"/>
  <c r="M274" i="113" s="1"/>
  <c r="G13" i="113"/>
  <c r="O13" i="113"/>
  <c r="J14" i="113"/>
  <c r="J424" i="113" s="1"/>
  <c r="H17" i="113"/>
  <c r="G73" i="113"/>
  <c r="F72" i="113"/>
  <c r="F57" i="113" s="1"/>
  <c r="F58" i="113" s="1"/>
  <c r="M101" i="113"/>
  <c r="M103" i="113" s="1"/>
  <c r="D108" i="113"/>
  <c r="E112" i="113"/>
  <c r="D121" i="113"/>
  <c r="M133" i="113"/>
  <c r="M135" i="113"/>
  <c r="M136" i="113" s="1"/>
  <c r="H134" i="113"/>
  <c r="H136" i="113" s="1"/>
  <c r="H145" i="113"/>
  <c r="F143" i="113"/>
  <c r="F154" i="113"/>
  <c r="E152" i="113"/>
  <c r="D155" i="113"/>
  <c r="N157" i="113"/>
  <c r="J163" i="113"/>
  <c r="F169" i="113"/>
  <c r="O169" i="113"/>
  <c r="E179" i="113"/>
  <c r="F181" i="113"/>
  <c r="F176" i="113"/>
  <c r="F178" i="113" s="1"/>
  <c r="E207" i="113"/>
  <c r="D207" i="113" s="1"/>
  <c r="F208" i="113"/>
  <c r="D213" i="113"/>
  <c r="M192" i="113"/>
  <c r="M214" i="113"/>
  <c r="F234" i="113"/>
  <c r="E234" i="113" s="1"/>
  <c r="D234" i="113" s="1"/>
  <c r="D235" i="113" s="1"/>
  <c r="G192" i="113"/>
  <c r="G193" i="113" s="1"/>
  <c r="E260" i="113"/>
  <c r="F262" i="113"/>
  <c r="F236" i="113"/>
  <c r="F238" i="113" s="1"/>
  <c r="E268" i="113"/>
  <c r="E269" i="113"/>
  <c r="F271" i="113"/>
  <c r="I425" i="113"/>
  <c r="L46" i="113"/>
  <c r="E51" i="113"/>
  <c r="E67" i="113"/>
  <c r="E86" i="113"/>
  <c r="F101" i="113"/>
  <c r="F103" i="113" s="1"/>
  <c r="E104" i="113"/>
  <c r="M112" i="113"/>
  <c r="E113" i="113"/>
  <c r="D128" i="113"/>
  <c r="M130" i="113"/>
  <c r="E141" i="113"/>
  <c r="M145" i="113"/>
  <c r="F157" i="113"/>
  <c r="O157" i="113"/>
  <c r="M160" i="113"/>
  <c r="K163" i="113"/>
  <c r="G169" i="113"/>
  <c r="E175" i="113"/>
  <c r="M181" i="113"/>
  <c r="M176" i="113"/>
  <c r="M178" i="113" s="1"/>
  <c r="D223" i="113"/>
  <c r="D224" i="113"/>
  <c r="D226" i="113" s="1"/>
  <c r="E226" i="113"/>
  <c r="O241" i="113"/>
  <c r="O237" i="113"/>
  <c r="O14" i="113" s="1"/>
  <c r="O424" i="113" s="1"/>
  <c r="E376" i="113"/>
  <c r="D374" i="113"/>
  <c r="D376" i="113" s="1"/>
  <c r="D294" i="113"/>
  <c r="D300" i="113"/>
  <c r="E294" i="113"/>
  <c r="F313" i="113"/>
  <c r="H312" i="113"/>
  <c r="H313" i="113" s="1"/>
  <c r="H316" i="113"/>
  <c r="E167" i="113"/>
  <c r="E169" i="113" s="1"/>
  <c r="E184" i="113"/>
  <c r="M196" i="113"/>
  <c r="E197" i="113"/>
  <c r="E201" i="113"/>
  <c r="D201" i="113" s="1"/>
  <c r="E210" i="113"/>
  <c r="E212" i="113"/>
  <c r="E216" i="113"/>
  <c r="E218" i="113"/>
  <c r="E229" i="113"/>
  <c r="D257" i="113"/>
  <c r="D259" i="113" s="1"/>
  <c r="E287" i="113"/>
  <c r="M294" i="113"/>
  <c r="M370" i="113"/>
  <c r="M347" i="113"/>
  <c r="M349" i="113" s="1"/>
  <c r="I442" i="115"/>
  <c r="I538" i="115"/>
  <c r="D229" i="113"/>
  <c r="E276" i="113"/>
  <c r="K273" i="113"/>
  <c r="K274" i="113" s="1"/>
  <c r="M378" i="113"/>
  <c r="M388" i="113"/>
  <c r="G93" i="115"/>
  <c r="G85" i="115"/>
  <c r="G87" i="115" s="1"/>
  <c r="G309" i="115"/>
  <c r="G298" i="115"/>
  <c r="G300" i="115" s="1"/>
  <c r="E149" i="113"/>
  <c r="D159" i="113"/>
  <c r="D156" i="113" s="1"/>
  <c r="D164" i="113"/>
  <c r="F187" i="113"/>
  <c r="E192" i="113"/>
  <c r="E235" i="113"/>
  <c r="I238" i="113"/>
  <c r="K271" i="113"/>
  <c r="E282" i="113"/>
  <c r="D282" i="113" s="1"/>
  <c r="F273" i="113"/>
  <c r="D301" i="113"/>
  <c r="D336" i="113"/>
  <c r="D337" i="113" s="1"/>
  <c r="E337" i="113"/>
  <c r="E166" i="113"/>
  <c r="M235" i="113"/>
  <c r="E240" i="113"/>
  <c r="E241" i="113" s="1"/>
  <c r="F237" i="113"/>
  <c r="E255" i="113"/>
  <c r="D255" i="113" s="1"/>
  <c r="D256" i="113" s="1"/>
  <c r="H236" i="113"/>
  <c r="H238" i="113" s="1"/>
  <c r="G295" i="113"/>
  <c r="E329" i="113"/>
  <c r="K331" i="113"/>
  <c r="K311" i="113"/>
  <c r="K313" i="113" s="1"/>
  <c r="E397" i="113"/>
  <c r="D395" i="113"/>
  <c r="D397" i="113" s="1"/>
  <c r="F124" i="113"/>
  <c r="F166" i="113"/>
  <c r="H192" i="113"/>
  <c r="H193" i="113" s="1"/>
  <c r="O235" i="113"/>
  <c r="E244" i="113"/>
  <c r="K237" i="113"/>
  <c r="K238" i="113" s="1"/>
  <c r="E277" i="113"/>
  <c r="F272" i="113"/>
  <c r="F274" i="113" s="1"/>
  <c r="F280" i="113"/>
  <c r="E278" i="113"/>
  <c r="M292" i="113"/>
  <c r="G54" i="114"/>
  <c r="I187" i="113"/>
  <c r="M191" i="113"/>
  <c r="F202" i="113"/>
  <c r="F217" i="113"/>
  <c r="F223" i="113"/>
  <c r="F235" i="113"/>
  <c r="M244" i="113"/>
  <c r="N273" i="113"/>
  <c r="N14" i="113" s="1"/>
  <c r="N424" i="113" s="1"/>
  <c r="D283" i="113"/>
  <c r="H301" i="113"/>
  <c r="D327" i="113"/>
  <c r="D328" i="113" s="1"/>
  <c r="E328" i="113"/>
  <c r="F348" i="113"/>
  <c r="E354" i="113"/>
  <c r="D367" i="113"/>
  <c r="M377" i="113"/>
  <c r="M379" i="113" s="1"/>
  <c r="D380" i="113"/>
  <c r="D382" i="113" s="1"/>
  <c r="E382" i="113"/>
  <c r="G294" i="113"/>
  <c r="K348" i="113"/>
  <c r="K349" i="113" s="1"/>
  <c r="M376" i="113"/>
  <c r="F377" i="113"/>
  <c r="D398" i="113"/>
  <c r="G69" i="115"/>
  <c r="G234" i="115"/>
  <c r="I314" i="115"/>
  <c r="E403" i="113"/>
  <c r="G25" i="115"/>
  <c r="G30" i="115"/>
  <c r="G190" i="115"/>
  <c r="G195" i="115"/>
  <c r="G282" i="115"/>
  <c r="M293" i="113"/>
  <c r="M295" i="113" s="1"/>
  <c r="M298" i="113"/>
  <c r="E301" i="113"/>
  <c r="E352" i="113"/>
  <c r="K376" i="113"/>
  <c r="F403" i="113"/>
  <c r="F290" i="113"/>
  <c r="H272" i="113"/>
  <c r="H274" i="113" s="1"/>
  <c r="F301" i="113"/>
  <c r="E316" i="113"/>
  <c r="D314" i="113"/>
  <c r="E361" i="113"/>
  <c r="G315" i="114"/>
  <c r="E307" i="114"/>
  <c r="G307" i="114" s="1"/>
  <c r="J295" i="113"/>
  <c r="F325" i="113"/>
  <c r="F334" i="113"/>
  <c r="M355" i="113"/>
  <c r="F373" i="113"/>
  <c r="N376" i="113"/>
  <c r="N348" i="113"/>
  <c r="N349" i="113" s="1"/>
  <c r="J412" i="113"/>
  <c r="G114" i="115"/>
  <c r="G100" i="115"/>
  <c r="G102" i="115" s="1"/>
  <c r="I539" i="115"/>
  <c r="O274" i="113"/>
  <c r="F283" i="113"/>
  <c r="K295" i="113"/>
  <c r="M301" i="113"/>
  <c r="E322" i="113"/>
  <c r="D320" i="113"/>
  <c r="D322" i="113" s="1"/>
  <c r="M325" i="113"/>
  <c r="M334" i="113"/>
  <c r="M364" i="113"/>
  <c r="E370" i="113"/>
  <c r="D368" i="113"/>
  <c r="D370" i="113" s="1"/>
  <c r="F378" i="113"/>
  <c r="D387" i="113"/>
  <c r="D388" i="113" s="1"/>
  <c r="F394" i="113"/>
  <c r="D407" i="113"/>
  <c r="D409" i="113" s="1"/>
  <c r="E315" i="115"/>
  <c r="G118" i="115"/>
  <c r="G120" i="115" s="1"/>
  <c r="G123" i="115"/>
  <c r="G391" i="115"/>
  <c r="E296" i="113"/>
  <c r="E390" i="113"/>
  <c r="E399" i="113"/>
  <c r="E408" i="113"/>
  <c r="D408" i="113" s="1"/>
  <c r="J418" i="113"/>
  <c r="G56" i="114"/>
  <c r="E142" i="114"/>
  <c r="G142" i="114" s="1"/>
  <c r="G148" i="114"/>
  <c r="F183" i="114"/>
  <c r="H315" i="115"/>
  <c r="H14" i="115" s="1"/>
  <c r="H554" i="115" s="1"/>
  <c r="H102" i="115"/>
  <c r="E120" i="115"/>
  <c r="G388" i="115"/>
  <c r="G514" i="115"/>
  <c r="E323" i="113"/>
  <c r="E311" i="113" s="1"/>
  <c r="E332" i="113"/>
  <c r="F353" i="113"/>
  <c r="F362" i="113"/>
  <c r="E371" i="113"/>
  <c r="D401" i="113"/>
  <c r="D403" i="113" s="1"/>
  <c r="K418" i="113"/>
  <c r="D420" i="113"/>
  <c r="D417" i="113" s="1"/>
  <c r="G11" i="114"/>
  <c r="G50" i="114"/>
  <c r="G341" i="114"/>
  <c r="I315" i="115"/>
  <c r="I14" i="115" s="1"/>
  <c r="I554" i="115" s="1"/>
  <c r="G45" i="115"/>
  <c r="H75" i="115"/>
  <c r="G168" i="115"/>
  <c r="G175" i="115"/>
  <c r="G177" i="115" s="1"/>
  <c r="G210" i="115"/>
  <c r="G258" i="115"/>
  <c r="G291" i="115"/>
  <c r="G328" i="115"/>
  <c r="G415" i="115"/>
  <c r="G439" i="115"/>
  <c r="G442" i="115"/>
  <c r="M311" i="113"/>
  <c r="M313" i="113" s="1"/>
  <c r="E341" i="113"/>
  <c r="D350" i="113"/>
  <c r="D352" i="113" s="1"/>
  <c r="D359" i="113"/>
  <c r="D361" i="113" s="1"/>
  <c r="E383" i="113"/>
  <c r="E392" i="113"/>
  <c r="D418" i="113"/>
  <c r="G21" i="115"/>
  <c r="G466" i="115"/>
  <c r="G461" i="115"/>
  <c r="G463" i="115" s="1"/>
  <c r="E478" i="115"/>
  <c r="F343" i="113"/>
  <c r="E413" i="113"/>
  <c r="F415" i="113"/>
  <c r="G12" i="114"/>
  <c r="E183" i="114"/>
  <c r="G184" i="114"/>
  <c r="E274" i="114"/>
  <c r="G274" i="114" s="1"/>
  <c r="G283" i="114"/>
  <c r="E316" i="115"/>
  <c r="G151" i="115"/>
  <c r="G153" i="115" s="1"/>
  <c r="G156" i="115"/>
  <c r="G325" i="115"/>
  <c r="G320" i="115"/>
  <c r="G436" i="115"/>
  <c r="G431" i="115"/>
  <c r="G433" i="115" s="1"/>
  <c r="G460" i="115"/>
  <c r="G452" i="115"/>
  <c r="G454" i="115" s="1"/>
  <c r="H463" i="115"/>
  <c r="G489" i="115"/>
  <c r="G538" i="115" s="1"/>
  <c r="G47" i="114"/>
  <c r="G53" i="114"/>
  <c r="E59" i="114"/>
  <c r="E109" i="114"/>
  <c r="G109" i="114" s="1"/>
  <c r="H314" i="115"/>
  <c r="G26" i="115"/>
  <c r="G315" i="115" s="1"/>
  <c r="E81" i="115"/>
  <c r="G79" i="115"/>
  <c r="G81" i="115" s="1"/>
  <c r="G84" i="115"/>
  <c r="G96" i="115"/>
  <c r="G126" i="115"/>
  <c r="E153" i="115"/>
  <c r="G160" i="115"/>
  <c r="G162" i="115" s="1"/>
  <c r="G165" i="115"/>
  <c r="I177" i="115"/>
  <c r="G191" i="115"/>
  <c r="I300" i="115"/>
  <c r="H322" i="115"/>
  <c r="G361" i="115"/>
  <c r="F321" i="115"/>
  <c r="F538" i="115" s="1"/>
  <c r="F539" i="115" s="1"/>
  <c r="F412" i="115"/>
  <c r="G476" i="115"/>
  <c r="G478" i="115" s="1"/>
  <c r="G487" i="115"/>
  <c r="E537" i="115"/>
  <c r="E539" i="115" s="1"/>
  <c r="G24" i="115"/>
  <c r="G78" i="115"/>
  <c r="G488" i="115"/>
  <c r="G490" i="115" s="1"/>
  <c r="F33" i="114"/>
  <c r="F59" i="114"/>
  <c r="E21" i="115"/>
  <c r="H537" i="115"/>
  <c r="H539" i="115" s="1"/>
  <c r="F414" i="113"/>
  <c r="H21" i="115"/>
  <c r="E35" i="112"/>
  <c r="G35" i="112" s="1"/>
  <c r="F9" i="112"/>
  <c r="G27" i="112"/>
  <c r="G15" i="112"/>
  <c r="G10" i="112"/>
  <c r="F10" i="114" l="1"/>
  <c r="E10" i="114"/>
  <c r="G10" i="114" s="1"/>
  <c r="G221" i="114"/>
  <c r="G14" i="115"/>
  <c r="G554" i="115" s="1"/>
  <c r="F364" i="113"/>
  <c r="E362" i="113"/>
  <c r="D399" i="113"/>
  <c r="E400" i="113"/>
  <c r="D400" i="113"/>
  <c r="E106" i="113"/>
  <c r="D104" i="113"/>
  <c r="E101" i="113"/>
  <c r="E103" i="113" s="1"/>
  <c r="G423" i="113"/>
  <c r="G425" i="113" s="1"/>
  <c r="F19" i="113"/>
  <c r="D140" i="113"/>
  <c r="E142" i="113"/>
  <c r="D284" i="113"/>
  <c r="D286" i="113" s="1"/>
  <c r="E286" i="113"/>
  <c r="D25" i="113"/>
  <c r="G322" i="115"/>
  <c r="G537" i="115"/>
  <c r="G539" i="115" s="1"/>
  <c r="E391" i="113"/>
  <c r="D390" i="113"/>
  <c r="D316" i="113"/>
  <c r="G192" i="115"/>
  <c r="F379" i="113"/>
  <c r="D354" i="113"/>
  <c r="D348" i="113" s="1"/>
  <c r="E348" i="113"/>
  <c r="D278" i="113"/>
  <c r="D280" i="113" s="1"/>
  <c r="E280" i="113"/>
  <c r="E331" i="113"/>
  <c r="D329" i="113"/>
  <c r="D331" i="113" s="1"/>
  <c r="D287" i="113"/>
  <c r="D289" i="113" s="1"/>
  <c r="E289" i="113"/>
  <c r="E199" i="113"/>
  <c r="D197" i="113"/>
  <c r="D199" i="113" s="1"/>
  <c r="E271" i="113"/>
  <c r="D269" i="113"/>
  <c r="D271" i="113" s="1"/>
  <c r="E181" i="113"/>
  <c r="D179" i="113"/>
  <c r="E176" i="113"/>
  <c r="E178" i="113" s="1"/>
  <c r="E143" i="113"/>
  <c r="E134" i="113" s="1"/>
  <c r="E136" i="113" s="1"/>
  <c r="F145" i="113"/>
  <c r="D315" i="113"/>
  <c r="D312" i="113" s="1"/>
  <c r="E312" i="113"/>
  <c r="E313" i="113" s="1"/>
  <c r="E247" i="113"/>
  <c r="D245" i="113"/>
  <c r="D247" i="113" s="1"/>
  <c r="E109" i="113"/>
  <c r="D107" i="113"/>
  <c r="D109" i="113" s="1"/>
  <c r="F44" i="113"/>
  <c r="F46" i="113" s="1"/>
  <c r="F52" i="113"/>
  <c r="E50" i="113"/>
  <c r="D175" i="113"/>
  <c r="D167" i="113"/>
  <c r="D169" i="113" s="1"/>
  <c r="J423" i="113"/>
  <c r="J425" i="113" s="1"/>
  <c r="J15" i="113"/>
  <c r="G14" i="113"/>
  <c r="G424" i="113" s="1"/>
  <c r="E414" i="113"/>
  <c r="F411" i="113"/>
  <c r="F412" i="113" s="1"/>
  <c r="G183" i="114"/>
  <c r="E334" i="113"/>
  <c r="D332" i="113"/>
  <c r="D334" i="113" s="1"/>
  <c r="E293" i="113"/>
  <c r="E295" i="113" s="1"/>
  <c r="E298" i="113"/>
  <c r="D296" i="113"/>
  <c r="E88" i="113"/>
  <c r="D86" i="113"/>
  <c r="M97" i="113"/>
  <c r="D217" i="113"/>
  <c r="D160" i="113"/>
  <c r="H14" i="113"/>
  <c r="H424" i="113" s="1"/>
  <c r="F355" i="113"/>
  <c r="E353" i="113"/>
  <c r="F347" i="113"/>
  <c r="F349" i="113" s="1"/>
  <c r="F322" i="115"/>
  <c r="G33" i="114"/>
  <c r="E338" i="113"/>
  <c r="E340" i="113" s="1"/>
  <c r="E343" i="113"/>
  <c r="D341" i="113"/>
  <c r="E325" i="113"/>
  <c r="D323" i="113"/>
  <c r="D325" i="113" s="1"/>
  <c r="G27" i="115"/>
  <c r="D141" i="113"/>
  <c r="D135" i="113" s="1"/>
  <c r="E135" i="113"/>
  <c r="E72" i="113"/>
  <c r="F73" i="113"/>
  <c r="E64" i="113"/>
  <c r="D62" i="113"/>
  <c r="D64" i="113" s="1"/>
  <c r="D40" i="113"/>
  <c r="D35" i="113"/>
  <c r="D37" i="113" s="1"/>
  <c r="E95" i="113"/>
  <c r="E97" i="113" s="1"/>
  <c r="E100" i="113"/>
  <c r="D98" i="113"/>
  <c r="G314" i="115"/>
  <c r="E378" i="113"/>
  <c r="N274" i="113"/>
  <c r="D161" i="113"/>
  <c r="D163" i="113" s="1"/>
  <c r="D166" i="113"/>
  <c r="D421" i="113"/>
  <c r="D218" i="113"/>
  <c r="D220" i="113" s="1"/>
  <c r="E220" i="113"/>
  <c r="D51" i="113"/>
  <c r="D45" i="113" s="1"/>
  <c r="E45" i="113"/>
  <c r="F134" i="113"/>
  <c r="F136" i="113" s="1"/>
  <c r="E49" i="113"/>
  <c r="D47" i="113"/>
  <c r="D49" i="113" s="1"/>
  <c r="E283" i="113"/>
  <c r="F31" i="113"/>
  <c r="E29" i="113"/>
  <c r="E202" i="113"/>
  <c r="E22" i="113"/>
  <c r="D20" i="113"/>
  <c r="D22" i="113" s="1"/>
  <c r="H316" i="115"/>
  <c r="H13" i="115"/>
  <c r="I13" i="115"/>
  <c r="I316" i="115"/>
  <c r="M193" i="113"/>
  <c r="E217" i="113"/>
  <c r="D216" i="113"/>
  <c r="D130" i="113"/>
  <c r="D125" i="113"/>
  <c r="D127" i="113" s="1"/>
  <c r="D260" i="113"/>
  <c r="D262" i="113" s="1"/>
  <c r="E262" i="113"/>
  <c r="H13" i="113"/>
  <c r="H19" i="113"/>
  <c r="E37" i="113"/>
  <c r="D202" i="113"/>
  <c r="K14" i="113"/>
  <c r="K424" i="113" s="1"/>
  <c r="D413" i="113"/>
  <c r="E410" i="113"/>
  <c r="E415" i="113"/>
  <c r="E290" i="113"/>
  <c r="E272" i="113" s="1"/>
  <c r="E274" i="113" s="1"/>
  <c r="F292" i="113"/>
  <c r="E237" i="113"/>
  <c r="E238" i="113" s="1"/>
  <c r="D240" i="113"/>
  <c r="D237" i="113" s="1"/>
  <c r="E151" i="113"/>
  <c r="D149" i="113"/>
  <c r="D151" i="113" s="1"/>
  <c r="E214" i="113"/>
  <c r="D212" i="113"/>
  <c r="D214" i="113" s="1"/>
  <c r="E115" i="113"/>
  <c r="D113" i="113"/>
  <c r="D115" i="113" s="1"/>
  <c r="E256" i="113"/>
  <c r="F192" i="113"/>
  <c r="F14" i="113" s="1"/>
  <c r="F424" i="113" s="1"/>
  <c r="D157" i="113"/>
  <c r="M19" i="113"/>
  <c r="M13" i="113"/>
  <c r="E196" i="113"/>
  <c r="E191" i="113"/>
  <c r="E193" i="113" s="1"/>
  <c r="D194" i="113"/>
  <c r="E91" i="113"/>
  <c r="K13" i="113"/>
  <c r="D93" i="113"/>
  <c r="E90" i="113"/>
  <c r="D102" i="113"/>
  <c r="E36" i="113"/>
  <c r="D39" i="113"/>
  <c r="D36" i="113" s="1"/>
  <c r="E385" i="113"/>
  <c r="D383" i="113"/>
  <c r="E377" i="113"/>
  <c r="G59" i="114"/>
  <c r="E394" i="113"/>
  <c r="D392" i="113"/>
  <c r="D394" i="113" s="1"/>
  <c r="E373" i="113"/>
  <c r="D371" i="113"/>
  <c r="D373" i="113" s="1"/>
  <c r="E409" i="113"/>
  <c r="D276" i="113"/>
  <c r="D273" i="113" s="1"/>
  <c r="E273" i="113"/>
  <c r="E211" i="113"/>
  <c r="D210" i="113"/>
  <c r="D211" i="113" s="1"/>
  <c r="E154" i="113"/>
  <c r="D152" i="113"/>
  <c r="D154" i="113" s="1"/>
  <c r="O423" i="113"/>
  <c r="O425" i="113" s="1"/>
  <c r="O15" i="113"/>
  <c r="F193" i="113"/>
  <c r="N423" i="113"/>
  <c r="N425" i="113" s="1"/>
  <c r="N15" i="113"/>
  <c r="E85" i="113"/>
  <c r="D83" i="113"/>
  <c r="D85" i="113" s="1"/>
  <c r="E190" i="113"/>
  <c r="E186" i="113"/>
  <c r="E187" i="113" s="1"/>
  <c r="D189" i="113"/>
  <c r="E56" i="113"/>
  <c r="D61" i="113"/>
  <c r="E9" i="112"/>
  <c r="D49" i="111"/>
  <c r="D50" i="111"/>
  <c r="E51" i="111"/>
  <c r="F51" i="111"/>
  <c r="G51" i="111"/>
  <c r="H51" i="111"/>
  <c r="I51" i="111"/>
  <c r="J51" i="111"/>
  <c r="K51" i="111"/>
  <c r="L51" i="111"/>
  <c r="M51" i="111"/>
  <c r="N51" i="111"/>
  <c r="O51" i="111"/>
  <c r="P51" i="111"/>
  <c r="Q51" i="111"/>
  <c r="D53" i="111"/>
  <c r="D54" i="111"/>
  <c r="E55" i="111"/>
  <c r="F55" i="111"/>
  <c r="G55" i="111"/>
  <c r="H55" i="111"/>
  <c r="I55" i="111"/>
  <c r="J55" i="111"/>
  <c r="K55" i="111"/>
  <c r="L55" i="111"/>
  <c r="M55" i="111"/>
  <c r="N55" i="111"/>
  <c r="O55" i="111"/>
  <c r="P55" i="111"/>
  <c r="Q55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F14" i="111"/>
  <c r="G14" i="111"/>
  <c r="H14" i="111"/>
  <c r="I14" i="111"/>
  <c r="J14" i="111"/>
  <c r="K14" i="111"/>
  <c r="L14" i="111"/>
  <c r="M14" i="111"/>
  <c r="O14" i="111"/>
  <c r="P14" i="111"/>
  <c r="Q14" i="111"/>
  <c r="E14" i="111"/>
  <c r="E13" i="111"/>
  <c r="N14" i="111"/>
  <c r="Q67" i="111"/>
  <c r="P67" i="111"/>
  <c r="O67" i="111"/>
  <c r="N67" i="111"/>
  <c r="M67" i="111"/>
  <c r="L67" i="111"/>
  <c r="K67" i="111"/>
  <c r="J67" i="111"/>
  <c r="I67" i="111"/>
  <c r="H67" i="111"/>
  <c r="G67" i="111"/>
  <c r="F67" i="111"/>
  <c r="E67" i="111"/>
  <c r="D66" i="111"/>
  <c r="D65" i="111"/>
  <c r="Q59" i="111"/>
  <c r="P59" i="111"/>
  <c r="O59" i="111"/>
  <c r="N59" i="111"/>
  <c r="M59" i="111"/>
  <c r="L59" i="111"/>
  <c r="K59" i="111"/>
  <c r="J59" i="111"/>
  <c r="I59" i="111"/>
  <c r="H59" i="111"/>
  <c r="G59" i="111"/>
  <c r="F59" i="111"/>
  <c r="E59" i="111"/>
  <c r="D58" i="111"/>
  <c r="D57" i="111"/>
  <c r="D410" i="113" l="1"/>
  <c r="D236" i="113"/>
  <c r="D238" i="113" s="1"/>
  <c r="F13" i="113"/>
  <c r="D90" i="113"/>
  <c r="D91" i="113" s="1"/>
  <c r="D94" i="113"/>
  <c r="D181" i="113"/>
  <c r="D176" i="113"/>
  <c r="D178" i="113" s="1"/>
  <c r="E379" i="113"/>
  <c r="K423" i="113"/>
  <c r="K425" i="113" s="1"/>
  <c r="K15" i="113"/>
  <c r="E347" i="113"/>
  <c r="E349" i="113" s="1"/>
  <c r="E355" i="113"/>
  <c r="D353" i="113"/>
  <c r="D311" i="113"/>
  <c r="D313" i="113" s="1"/>
  <c r="G15" i="113"/>
  <c r="D385" i="113"/>
  <c r="D377" i="113"/>
  <c r="D277" i="113"/>
  <c r="E364" i="113"/>
  <c r="D362" i="113"/>
  <c r="D364" i="113" s="1"/>
  <c r="D186" i="113"/>
  <c r="D187" i="113" s="1"/>
  <c r="D190" i="113"/>
  <c r="D191" i="113"/>
  <c r="D196" i="113"/>
  <c r="D338" i="113"/>
  <c r="D340" i="113" s="1"/>
  <c r="D343" i="113"/>
  <c r="D378" i="113"/>
  <c r="D391" i="113"/>
  <c r="G316" i="115"/>
  <c r="G13" i="115"/>
  <c r="E292" i="113"/>
  <c r="D290" i="113"/>
  <c r="H423" i="113"/>
  <c r="H425" i="113" s="1"/>
  <c r="H15" i="113"/>
  <c r="E31" i="113"/>
  <c r="D29" i="113"/>
  <c r="E17" i="113"/>
  <c r="D100" i="113"/>
  <c r="D95" i="113"/>
  <c r="D97" i="113" s="1"/>
  <c r="D88" i="113"/>
  <c r="D56" i="113"/>
  <c r="E52" i="113"/>
  <c r="D50" i="113"/>
  <c r="E44" i="113"/>
  <c r="E46" i="113" s="1"/>
  <c r="D106" i="113"/>
  <c r="D101" i="113"/>
  <c r="D103" i="113" s="1"/>
  <c r="I553" i="115"/>
  <c r="I555" i="115" s="1"/>
  <c r="I15" i="115"/>
  <c r="D72" i="113"/>
  <c r="E73" i="113"/>
  <c r="E57" i="113"/>
  <c r="E14" i="113" s="1"/>
  <c r="E424" i="113" s="1"/>
  <c r="D414" i="113"/>
  <c r="D411" i="113" s="1"/>
  <c r="E411" i="113"/>
  <c r="E412" i="113" s="1"/>
  <c r="M423" i="113"/>
  <c r="M425" i="113" s="1"/>
  <c r="M15" i="113"/>
  <c r="H553" i="115"/>
  <c r="H555" i="115" s="1"/>
  <c r="H15" i="115"/>
  <c r="D241" i="113"/>
  <c r="D293" i="113"/>
  <c r="D295" i="113" s="1"/>
  <c r="D298" i="113"/>
  <c r="E145" i="113"/>
  <c r="D143" i="113"/>
  <c r="D145" i="113" s="1"/>
  <c r="D142" i="113"/>
  <c r="D134" i="113"/>
  <c r="D136" i="113" s="1"/>
  <c r="D192" i="113"/>
  <c r="D55" i="111"/>
  <c r="D51" i="111"/>
  <c r="D67" i="111"/>
  <c r="D59" i="111"/>
  <c r="D347" i="113" l="1"/>
  <c r="D349" i="113" s="1"/>
  <c r="D355" i="113"/>
  <c r="D52" i="113"/>
  <c r="D44" i="113"/>
  <c r="D46" i="113" s="1"/>
  <c r="E19" i="113"/>
  <c r="E13" i="113"/>
  <c r="D31" i="113"/>
  <c r="D17" i="113"/>
  <c r="F423" i="113"/>
  <c r="F425" i="113" s="1"/>
  <c r="F15" i="113"/>
  <c r="D379" i="113"/>
  <c r="D415" i="113"/>
  <c r="D292" i="113"/>
  <c r="D272" i="113"/>
  <c r="D274" i="113" s="1"/>
  <c r="D412" i="113"/>
  <c r="D73" i="113"/>
  <c r="D57" i="113"/>
  <c r="D14" i="113" s="1"/>
  <c r="D424" i="113" s="1"/>
  <c r="D58" i="113"/>
  <c r="E58" i="113"/>
  <c r="D193" i="113"/>
  <c r="G553" i="115"/>
  <c r="G555" i="115" s="1"/>
  <c r="G15" i="115"/>
  <c r="F113" i="111"/>
  <c r="G113" i="111"/>
  <c r="H113" i="111"/>
  <c r="I113" i="111"/>
  <c r="J113" i="111"/>
  <c r="K113" i="111"/>
  <c r="L113" i="111"/>
  <c r="M113" i="111"/>
  <c r="N113" i="111"/>
  <c r="O113" i="111"/>
  <c r="P113" i="111"/>
  <c r="Q113" i="111"/>
  <c r="F114" i="111"/>
  <c r="G114" i="111"/>
  <c r="H114" i="111"/>
  <c r="I114" i="111"/>
  <c r="J114" i="111"/>
  <c r="K114" i="111"/>
  <c r="L114" i="111"/>
  <c r="M114" i="111"/>
  <c r="N114" i="111"/>
  <c r="O114" i="111"/>
  <c r="P114" i="111"/>
  <c r="Q114" i="111"/>
  <c r="E114" i="111"/>
  <c r="E113" i="111"/>
  <c r="Q143" i="111"/>
  <c r="P143" i="111"/>
  <c r="O143" i="111"/>
  <c r="N143" i="111"/>
  <c r="M143" i="111"/>
  <c r="L143" i="111"/>
  <c r="K143" i="111"/>
  <c r="J143" i="111"/>
  <c r="I143" i="111"/>
  <c r="H143" i="111"/>
  <c r="G143" i="111"/>
  <c r="F143" i="111"/>
  <c r="E143" i="111"/>
  <c r="D142" i="111"/>
  <c r="D141" i="111"/>
  <c r="O155" i="111"/>
  <c r="E423" i="113" l="1"/>
  <c r="E425" i="113" s="1"/>
  <c r="E15" i="113"/>
  <c r="D19" i="113"/>
  <c r="D13" i="113"/>
  <c r="D143" i="111"/>
  <c r="D114" i="111"/>
  <c r="D113" i="111"/>
  <c r="D423" i="113" l="1"/>
  <c r="D425" i="113" s="1"/>
  <c r="D15" i="113"/>
  <c r="F123" i="111"/>
  <c r="M123" i="111"/>
  <c r="M127" i="111"/>
  <c r="M131" i="111"/>
  <c r="M135" i="111"/>
  <c r="M139" i="111"/>
  <c r="M147" i="111"/>
  <c r="M151" i="111"/>
  <c r="M155" i="111"/>
  <c r="M159" i="111"/>
  <c r="M119" i="111"/>
  <c r="M39" i="111"/>
  <c r="M43" i="111"/>
  <c r="M47" i="111"/>
  <c r="M63" i="111"/>
  <c r="M71" i="111"/>
  <c r="M75" i="111"/>
  <c r="M79" i="111"/>
  <c r="M83" i="111"/>
  <c r="M87" i="111"/>
  <c r="M91" i="111"/>
  <c r="M95" i="111"/>
  <c r="M99" i="111"/>
  <c r="M103" i="111"/>
  <c r="M107" i="111"/>
  <c r="M111" i="111"/>
  <c r="M35" i="111"/>
  <c r="M31" i="111"/>
  <c r="M27" i="111"/>
  <c r="M23" i="111"/>
  <c r="M19" i="111"/>
  <c r="D121" i="111"/>
  <c r="D122" i="111"/>
  <c r="D125" i="111"/>
  <c r="D126" i="111"/>
  <c r="D129" i="111"/>
  <c r="D130" i="111"/>
  <c r="D133" i="111"/>
  <c r="D134" i="111"/>
  <c r="D137" i="111"/>
  <c r="D138" i="111"/>
  <c r="D145" i="111"/>
  <c r="D146" i="111"/>
  <c r="D149" i="111"/>
  <c r="D150" i="111"/>
  <c r="D153" i="111"/>
  <c r="D154" i="111"/>
  <c r="D157" i="111"/>
  <c r="D158" i="111"/>
  <c r="D118" i="111"/>
  <c r="D117" i="111"/>
  <c r="D61" i="111"/>
  <c r="D62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105" i="111"/>
  <c r="D106" i="111"/>
  <c r="D109" i="111"/>
  <c r="D110" i="111"/>
  <c r="D37" i="111"/>
  <c r="D38" i="111"/>
  <c r="D41" i="111"/>
  <c r="D42" i="111"/>
  <c r="D45" i="111"/>
  <c r="D46" i="111"/>
  <c r="D34" i="111"/>
  <c r="D33" i="111"/>
  <c r="D30" i="111"/>
  <c r="D29" i="111"/>
  <c r="D26" i="111"/>
  <c r="D25" i="111"/>
  <c r="D22" i="111"/>
  <c r="D21" i="111"/>
  <c r="D18" i="111"/>
  <c r="D17" i="111"/>
  <c r="Q159" i="111"/>
  <c r="Q155" i="111"/>
  <c r="Q151" i="111"/>
  <c r="Q147" i="111"/>
  <c r="Q139" i="111"/>
  <c r="Q135" i="111"/>
  <c r="Q131" i="111"/>
  <c r="Q127" i="111"/>
  <c r="Q123" i="111"/>
  <c r="Q119" i="111"/>
  <c r="Q111" i="111"/>
  <c r="Q107" i="111"/>
  <c r="Q103" i="111"/>
  <c r="Q99" i="111"/>
  <c r="Q95" i="111"/>
  <c r="Q91" i="111"/>
  <c r="Q87" i="111"/>
  <c r="Q83" i="111"/>
  <c r="Q79" i="111"/>
  <c r="Q75" i="111"/>
  <c r="Q71" i="111"/>
  <c r="Q63" i="111"/>
  <c r="Q47" i="111"/>
  <c r="Q43" i="111"/>
  <c r="Q39" i="111"/>
  <c r="Q35" i="111"/>
  <c r="Q31" i="111"/>
  <c r="Q27" i="111"/>
  <c r="Q23" i="111"/>
  <c r="Q19" i="111"/>
  <c r="Q161" i="111"/>
  <c r="P161" i="111"/>
  <c r="I162" i="111"/>
  <c r="P155" i="111"/>
  <c r="N155" i="111"/>
  <c r="L155" i="111"/>
  <c r="K155" i="111"/>
  <c r="J155" i="111"/>
  <c r="I155" i="111"/>
  <c r="H155" i="111"/>
  <c r="G155" i="111"/>
  <c r="F155" i="111"/>
  <c r="E155" i="111"/>
  <c r="P39" i="111"/>
  <c r="O39" i="111"/>
  <c r="N39" i="111"/>
  <c r="L39" i="111"/>
  <c r="K39" i="111"/>
  <c r="J39" i="111"/>
  <c r="I39" i="111"/>
  <c r="H39" i="111"/>
  <c r="G39" i="111"/>
  <c r="F39" i="111"/>
  <c r="E39" i="111"/>
  <c r="P99" i="111"/>
  <c r="O99" i="111"/>
  <c r="N99" i="111"/>
  <c r="L99" i="111"/>
  <c r="K99" i="111"/>
  <c r="J99" i="111"/>
  <c r="I99" i="111"/>
  <c r="H99" i="111"/>
  <c r="G99" i="111"/>
  <c r="F99" i="111"/>
  <c r="E99" i="111"/>
  <c r="P27" i="111"/>
  <c r="O27" i="111"/>
  <c r="N27" i="111"/>
  <c r="L27" i="111"/>
  <c r="K27" i="111"/>
  <c r="J27" i="111"/>
  <c r="I27" i="111"/>
  <c r="H27" i="111"/>
  <c r="G27" i="111"/>
  <c r="F27" i="111"/>
  <c r="E27" i="111"/>
  <c r="G9" i="112"/>
  <c r="P159" i="111"/>
  <c r="O159" i="111"/>
  <c r="N159" i="111"/>
  <c r="L159" i="111"/>
  <c r="K159" i="111"/>
  <c r="J159" i="111"/>
  <c r="I159" i="111"/>
  <c r="H159" i="111"/>
  <c r="G159" i="111"/>
  <c r="F159" i="111"/>
  <c r="E159" i="111"/>
  <c r="P151" i="111"/>
  <c r="O151" i="111"/>
  <c r="N151" i="111"/>
  <c r="L151" i="111"/>
  <c r="K151" i="111"/>
  <c r="J151" i="111"/>
  <c r="I151" i="111"/>
  <c r="H151" i="111"/>
  <c r="G151" i="111"/>
  <c r="F151" i="111"/>
  <c r="E151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139" i="111"/>
  <c r="O139" i="111"/>
  <c r="N139" i="111"/>
  <c r="L139" i="111"/>
  <c r="K139" i="111"/>
  <c r="J139" i="111"/>
  <c r="G139" i="111"/>
  <c r="F139" i="111"/>
  <c r="E139" i="111"/>
  <c r="P135" i="111"/>
  <c r="O135" i="111"/>
  <c r="N135" i="111"/>
  <c r="L135" i="111"/>
  <c r="K135" i="111"/>
  <c r="J135" i="111"/>
  <c r="I135" i="111"/>
  <c r="G135" i="111"/>
  <c r="F135" i="111"/>
  <c r="E135" i="111"/>
  <c r="P131" i="111"/>
  <c r="O131" i="111"/>
  <c r="N131" i="111"/>
  <c r="L131" i="111"/>
  <c r="K131" i="111"/>
  <c r="J131" i="111"/>
  <c r="I131" i="111"/>
  <c r="H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E123" i="111"/>
  <c r="P119" i="111"/>
  <c r="O119" i="111"/>
  <c r="N119" i="111"/>
  <c r="L119" i="111"/>
  <c r="K119" i="111"/>
  <c r="J119" i="111"/>
  <c r="H119" i="111"/>
  <c r="G119" i="111"/>
  <c r="F119" i="111"/>
  <c r="E119" i="111"/>
  <c r="P111" i="111"/>
  <c r="O111" i="111"/>
  <c r="N111" i="111"/>
  <c r="K111" i="111"/>
  <c r="J111" i="111"/>
  <c r="I111" i="111"/>
  <c r="H111" i="111"/>
  <c r="G111" i="111"/>
  <c r="F111" i="111"/>
  <c r="E111" i="111"/>
  <c r="P107" i="111"/>
  <c r="O107" i="111"/>
  <c r="N107" i="111"/>
  <c r="L107" i="111"/>
  <c r="K107" i="111"/>
  <c r="J107" i="111"/>
  <c r="I107" i="111"/>
  <c r="H107" i="111"/>
  <c r="G107" i="111"/>
  <c r="F107" i="111"/>
  <c r="E107" i="111"/>
  <c r="P103" i="111"/>
  <c r="O103" i="111"/>
  <c r="K103" i="111"/>
  <c r="J103" i="111"/>
  <c r="I103" i="111"/>
  <c r="H103" i="111"/>
  <c r="E103" i="111"/>
  <c r="P95" i="111"/>
  <c r="O95" i="111"/>
  <c r="N95" i="111"/>
  <c r="L95" i="111"/>
  <c r="K95" i="111"/>
  <c r="J95" i="111"/>
  <c r="I95" i="111"/>
  <c r="H95" i="111"/>
  <c r="G95" i="111"/>
  <c r="F95" i="111"/>
  <c r="E95" i="111"/>
  <c r="P91" i="111"/>
  <c r="O91" i="111"/>
  <c r="N91" i="111"/>
  <c r="L91" i="111"/>
  <c r="K91" i="111"/>
  <c r="J91" i="111"/>
  <c r="I91" i="111"/>
  <c r="G91" i="111"/>
  <c r="E91" i="111"/>
  <c r="P87" i="111"/>
  <c r="O87" i="111"/>
  <c r="L87" i="111"/>
  <c r="K87" i="111"/>
  <c r="J87" i="111"/>
  <c r="I87" i="111"/>
  <c r="H87" i="111"/>
  <c r="G87" i="111"/>
  <c r="E87" i="111"/>
  <c r="P83" i="111"/>
  <c r="O83" i="111"/>
  <c r="L83" i="111"/>
  <c r="K83" i="111"/>
  <c r="J83" i="111"/>
  <c r="I83" i="111"/>
  <c r="H83" i="111"/>
  <c r="G83" i="111"/>
  <c r="F83" i="111"/>
  <c r="E83" i="111"/>
  <c r="P79" i="111"/>
  <c r="O79" i="111"/>
  <c r="N79" i="111"/>
  <c r="L79" i="111"/>
  <c r="K79" i="111"/>
  <c r="J79" i="111"/>
  <c r="I79" i="111"/>
  <c r="H79" i="111"/>
  <c r="G79" i="111"/>
  <c r="E79" i="111"/>
  <c r="P75" i="111"/>
  <c r="O75" i="111"/>
  <c r="N75" i="111"/>
  <c r="L75" i="111"/>
  <c r="K75" i="111"/>
  <c r="J75" i="111"/>
  <c r="P71" i="111"/>
  <c r="O71" i="111"/>
  <c r="N71" i="111"/>
  <c r="L71" i="111"/>
  <c r="K71" i="111"/>
  <c r="J71" i="111"/>
  <c r="I71" i="111"/>
  <c r="H71" i="111"/>
  <c r="G71" i="111"/>
  <c r="E71" i="111"/>
  <c r="P63" i="111"/>
  <c r="O63" i="111"/>
  <c r="N63" i="111"/>
  <c r="L63" i="111"/>
  <c r="K63" i="111"/>
  <c r="J63" i="111"/>
  <c r="I63" i="111"/>
  <c r="H63" i="111"/>
  <c r="G63" i="111"/>
  <c r="F63" i="111"/>
  <c r="E63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F75" i="111"/>
  <c r="G75" i="111"/>
  <c r="H75" i="111"/>
  <c r="I75" i="111"/>
  <c r="F87" i="111"/>
  <c r="N87" i="111"/>
  <c r="F91" i="111"/>
  <c r="H91" i="111"/>
  <c r="F103" i="111"/>
  <c r="G103" i="111"/>
  <c r="L103" i="111"/>
  <c r="N103" i="111"/>
  <c r="L111" i="111"/>
  <c r="H139" i="111"/>
  <c r="I139" i="111"/>
  <c r="F71" i="111"/>
  <c r="E75" i="111"/>
  <c r="F79" i="111"/>
  <c r="N83" i="111"/>
  <c r="H135" i="111"/>
  <c r="I119" i="111"/>
  <c r="F43" i="111"/>
  <c r="P19" i="111"/>
  <c r="N19" i="111"/>
  <c r="F19" i="111"/>
  <c r="N15" i="111" l="1"/>
  <c r="E15" i="111"/>
  <c r="J15" i="111"/>
  <c r="P15" i="111"/>
  <c r="I15" i="111"/>
  <c r="M15" i="111"/>
  <c r="L15" i="111"/>
  <c r="H15" i="111"/>
  <c r="O15" i="111"/>
  <c r="F15" i="111"/>
  <c r="K15" i="111"/>
  <c r="G15" i="111"/>
  <c r="D95" i="111"/>
  <c r="Q15" i="111"/>
  <c r="K115" i="111"/>
  <c r="P115" i="111"/>
  <c r="M115" i="111"/>
  <c r="L115" i="111"/>
  <c r="Q115" i="111"/>
  <c r="H115" i="111"/>
  <c r="N115" i="111"/>
  <c r="I115" i="111"/>
  <c r="G115" i="111"/>
  <c r="E115" i="111"/>
  <c r="O115" i="111"/>
  <c r="D47" i="111"/>
  <c r="J115" i="111"/>
  <c r="F115" i="111"/>
  <c r="I161" i="111"/>
  <c r="D75" i="111"/>
  <c r="D43" i="111"/>
  <c r="D79" i="111"/>
  <c r="D63" i="111"/>
  <c r="D27" i="111"/>
  <c r="K162" i="111"/>
  <c r="D139" i="111"/>
  <c r="D131" i="111"/>
  <c r="D159" i="111"/>
  <c r="J162" i="111"/>
  <c r="L161" i="111"/>
  <c r="D107" i="111"/>
  <c r="J161" i="111"/>
  <c r="H161" i="111"/>
  <c r="D83" i="111"/>
  <c r="F162" i="111"/>
  <c r="N161" i="111"/>
  <c r="D119" i="111"/>
  <c r="D123" i="111"/>
  <c r="E162" i="111"/>
  <c r="L162" i="111"/>
  <c r="H162" i="111"/>
  <c r="O161" i="111"/>
  <c r="K161" i="111"/>
  <c r="Q162" i="111"/>
  <c r="Q163" i="111" s="1"/>
  <c r="M162" i="111"/>
  <c r="D127" i="111"/>
  <c r="D151" i="111"/>
  <c r="D111" i="111"/>
  <c r="D135" i="111"/>
  <c r="D147" i="111"/>
  <c r="D155" i="111"/>
  <c r="O162" i="111"/>
  <c r="D91" i="111"/>
  <c r="N162" i="111"/>
  <c r="D103" i="111"/>
  <c r="D87" i="111"/>
  <c r="D99" i="111"/>
  <c r="F161" i="111"/>
  <c r="D14" i="111"/>
  <c r="D39" i="111"/>
  <c r="D19" i="111"/>
  <c r="D31" i="111"/>
  <c r="M161" i="111"/>
  <c r="D35" i="111"/>
  <c r="D71" i="111"/>
  <c r="G162" i="111"/>
  <c r="P162" i="111"/>
  <c r="P163" i="111" s="1"/>
  <c r="D13" i="111"/>
  <c r="G161" i="111"/>
  <c r="E161" i="111"/>
  <c r="D23" i="111"/>
  <c r="D162" i="111" l="1"/>
  <c r="K163" i="111"/>
  <c r="D115" i="111"/>
  <c r="E163" i="111"/>
  <c r="M163" i="111"/>
  <c r="H163" i="111"/>
  <c r="I163" i="111"/>
  <c r="J163" i="111"/>
  <c r="L163" i="111"/>
  <c r="O163" i="111"/>
  <c r="N163" i="111"/>
  <c r="D15" i="111"/>
  <c r="F163" i="111"/>
  <c r="D161" i="111"/>
  <c r="G163" i="111"/>
  <c r="D163" i="111" l="1"/>
</calcChain>
</file>

<file path=xl/sharedStrings.xml><?xml version="1.0" encoding="utf-8"?>
<sst xmlns="http://schemas.openxmlformats.org/spreadsheetml/2006/main" count="6123" uniqueCount="1371">
  <si>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</si>
  <si>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</si>
  <si>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</si>
  <si>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</si>
  <si>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</si>
  <si>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</si>
  <si>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</si>
  <si>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</si>
  <si>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</si>
  <si>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</si>
  <si>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</si>
  <si>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</si>
  <si>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</si>
  <si>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</si>
  <si>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</si>
  <si>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</si>
  <si>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</si>
  <si>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</si>
  <si>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</si>
  <si>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</si>
  <si>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</si>
  <si>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</si>
  <si>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</si>
  <si>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</si>
  <si>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</si>
  <si>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</si>
  <si>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</si>
  <si>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</si>
  <si>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</si>
  <si>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</si>
  <si>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</si>
  <si>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</si>
  <si>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</si>
  <si>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</si>
  <si>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</si>
  <si>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</si>
  <si>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</si>
  <si>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</si>
  <si>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</si>
  <si>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</si>
  <si>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</si>
  <si>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</si>
  <si>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</si>
  <si>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</si>
  <si>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</si>
  <si>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</si>
  <si>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</si>
  <si>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</si>
  <si>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</si>
  <si>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</si>
  <si>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</si>
  <si>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</si>
  <si>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</si>
  <si>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</si>
  <si>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</si>
  <si>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</si>
  <si>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</si>
  <si>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</si>
  <si>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</si>
  <si>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</si>
  <si>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</si>
  <si>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</si>
  <si>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</si>
  <si>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</si>
  <si>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</si>
  <si>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</si>
  <si>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</si>
  <si>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</si>
  <si>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</si>
  <si>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</si>
  <si>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</si>
  <si>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</si>
  <si>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>1.</t>
  </si>
  <si>
    <t>2.</t>
  </si>
  <si>
    <t>3.</t>
  </si>
  <si>
    <t xml:space="preserve">Dział Rozdział </t>
  </si>
  <si>
    <t>§</t>
  </si>
  <si>
    <t xml:space="preserve">Zwiększenie </t>
  </si>
  <si>
    <t>Zmniejszenie</t>
  </si>
  <si>
    <t>Plan po zmianach</t>
  </si>
  <si>
    <t>4.</t>
  </si>
  <si>
    <t>5.</t>
  </si>
  <si>
    <t>6.</t>
  </si>
  <si>
    <t>7.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</si>
  <si>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</si>
  <si>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</si>
  <si>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</si>
  <si>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</si>
  <si>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</si>
  <si>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</si>
  <si>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</si>
  <si>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</si>
  <si>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</si>
  <si>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</si>
  <si>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</si>
  <si>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</si>
  <si>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</si>
  <si>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</si>
  <si>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>z pozostałych źródeł</t>
  </si>
  <si>
    <t>*</t>
  </si>
  <si>
    <t>Plan na 2024 r.</t>
  </si>
  <si>
    <t>751</t>
  </si>
  <si>
    <t>754</t>
  </si>
  <si>
    <t>BEZPIECZEŃSTWO PUBLICZNE I OCHRONA PRZECIWPOŻAROWA</t>
  </si>
  <si>
    <t>URZĘDY NACZELNYCH ORGANÓW WŁADZY PAŃSTWOWEJ, KONTROLI I OCHRONY PRAWA ORAZ SĄDOWNICTWA</t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</si>
  <si>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</t>
    </r>
    <r>
      <rPr>
        <b/>
        <sz val="10"/>
        <color rgb="FF000000"/>
        <rFont val="Calibri"/>
        <family val="2"/>
        <charset val="238"/>
      </rPr>
      <t xml:space="preserve">r </t>
    </r>
    <r>
      <rPr>
        <b/>
        <sz val="10"/>
        <color indexed="8"/>
        <rFont val="Calibri"/>
        <family val="2"/>
        <charset val="238"/>
      </rPr>
      <t>2 "Dochody budżetu Województwa Kujawsko-Pomorskiego wg klasyfikacji budżetowej. Plan na 2024 rok"</t>
    </r>
    <r>
      <rPr>
        <sz val="10"/>
        <color indexed="8"/>
        <rFont val="Calibri"/>
        <family val="2"/>
        <charset val="238"/>
      </rPr>
      <t xml:space="preserve"> do uchwały                         Nr LXIV/898/23 Sejmiku Województwa Kujawsko-Pomorskiego z dnia 18 grudnia 2023 r. w sprawie budżetu województwa na rok 2024 (z późn. zm.), wprowadza się następujące zmiany:</t>
    </r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</si>
  <si>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r. w sprawie budżetu województwa na rok 2024 (z późn. zm.), wprowadza się następujące zmiany: </t>
    </r>
  </si>
  <si>
    <t xml:space="preserve"> </t>
  </si>
  <si>
    <t>Pozostała działalność</t>
  </si>
  <si>
    <t>Środki z Funduszu Pomocy na finansowanie lub dofinansowanie zadań bieżących w zakresie pomocy obywatelom Ukrainy</t>
  </si>
  <si>
    <t>Różne rozliczenia finansowe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</si>
  <si>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</si>
  <si>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</si>
  <si>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</si>
  <si>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Wpływy ze zwrotów dotacji oraz płatności wykorzystanych niezgodnie z przeznaczeniem lub wykorzystanych z naruszeniem procedur, o których mowa w art. 184 ustawy, pobranych nienależnie lub w nadmiernej wysokości</t>
  </si>
  <si>
    <t>Środki otrzymane od pozostałych jednostek zaliczanych do sektora finansów publicznych na realizacje zadań bieżących jednostek zaliczanych do sektora finansów publicznych</t>
  </si>
  <si>
    <t xml:space="preserve"> - plan przed zmianą</t>
  </si>
  <si>
    <t>Drogi publiczne wojewódzkie</t>
  </si>
  <si>
    <t>Dotacja celowa otrzymana z tytułu pomocy finansowej udzielanej między jednostkami samorządu terytorialnego na dofinansowanie własnych zadań inwestycyjnych i zakupów inwestycyjnych</t>
  </si>
  <si>
    <t>Parki krajobrazowe</t>
  </si>
  <si>
    <t>Krajowe pasażerskie przewozy autobusowe</t>
  </si>
  <si>
    <t>0640</t>
  </si>
  <si>
    <t>Wpływy z tytułu kosztów egzekucyjnych, opłaty komorniczej i kosztów upomnień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</si>
  <si>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</si>
  <si>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</si>
  <si>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0570</t>
  </si>
  <si>
    <t>Wpływy z tytułu grzywien, mandatów i innych kar pieniężnych od osób fizycznych</t>
  </si>
  <si>
    <t>0580</t>
  </si>
  <si>
    <t>Wpływy z tytułu grzywien i innych kar pieniężnych od osób prawnych i innych jednostek organizacyjnych</t>
  </si>
  <si>
    <t>0620</t>
  </si>
  <si>
    <t>Wpływy z opłat za zezwolenia, akredytacje oraz opłaty ewidencyjne, w tym opłaty za częstotliwości</t>
  </si>
  <si>
    <t>0690</t>
  </si>
  <si>
    <t>Wpływy z różnych opłat</t>
  </si>
  <si>
    <t>0940</t>
  </si>
  <si>
    <t>Wpływy z rozliczeń/zwrotów z lat ubiegłych</t>
  </si>
  <si>
    <t>0950</t>
  </si>
  <si>
    <t>Wpływy z tytułu kar i odszkodowań wynikających z umów</t>
  </si>
  <si>
    <t>6290</t>
  </si>
  <si>
    <t>Środki otrzymane z Rządowego Funduszu Polski Ład: Program Inwestycji Strategicznych na realizację zadań inwestycyjnych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</si>
  <si>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</si>
  <si>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</si>
  <si>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Wpłata środków finansowych z niewykorzystanych w terminie wydatków, które nie wygasają z upływem roku budżetowego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</si>
  <si>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</si>
  <si>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</si>
  <si>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</si>
  <si>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Programy regionalne 2021-2027 finansowane z udziałem środków Europejskiego Funduszu Rozwoju Regionalnego</t>
  </si>
  <si>
    <t>Programy regionalne 2021-2027 finansowane z udziałem środków Europejskiego Funduszu Społecznego Plus</t>
  </si>
  <si>
    <t>Zadania w zakresie przeciwdziałania przemocy w rodzinie</t>
  </si>
  <si>
    <t>Dotacja celowa otrzymana z budżetu państwa na realizację bieżących zadań własnych samorządu województwa</t>
  </si>
  <si>
    <t>Państwowy Fundusz Rehabilitacji Osób Niepełnosprawnych</t>
  </si>
  <si>
    <t>0970</t>
  </si>
  <si>
    <t>Wpływy z różnych dochodów</t>
  </si>
  <si>
    <t xml:space="preserve">Nr       /      /24  Sejmiku Województwa </t>
  </si>
  <si>
    <t>Środki na dofinansowanie własnych inwestycji gmin, powiatów (związków gmin, związków powiatowo-gminnych, związków powiatów), samorządów województw, pozyskane z innych źródeł</t>
  </si>
  <si>
    <t>Środki na dofinansowanie własnych zadań bieżących gmin, powiatów (związków gmin, związków powiatowo-gminnych, związków powiatów), samorządów województw, pozyskane z innych źródeł</t>
  </si>
  <si>
    <t>Nr    /    /24 Sejmiku Województwa</t>
  </si>
  <si>
    <t>Załącznik nr 1 do uchwały</t>
  </si>
  <si>
    <t>z dnia   .06.2024 r.</t>
  </si>
  <si>
    <t>Załącznik nr 2 do uchwały</t>
  </si>
  <si>
    <t xml:space="preserve">z dnia    .06.2024 r. </t>
  </si>
  <si>
    <t>Załącznik nr 3 do uchwały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</si>
  <si>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roku w sprawie budżetu województwa na rok 2024 (z późn. zm.), wprowadza się następujące zmiany:</t>
    </r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</si>
  <si>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</si>
  <si>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</si>
  <si>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</si>
  <si>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</si>
  <si>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</si>
  <si>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</si>
  <si>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</si>
  <si>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</si>
  <si>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</si>
  <si>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</si>
  <si>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</si>
  <si>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</si>
  <si>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i składki od nich naliczane</t>
  </si>
  <si>
    <t>Zadania statutowe</t>
  </si>
  <si>
    <t>OGÓŁEM</t>
  </si>
  <si>
    <t>ROLNICTWO I ŁOWIECTWO</t>
  </si>
  <si>
    <t>01005</t>
  </si>
  <si>
    <t>Prace geodezyjno-urządzeniowe na potrzeby rolnictwa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</si>
  <si>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</si>
  <si>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</si>
  <si>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</si>
  <si>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</si>
  <si>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</si>
  <si>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</si>
  <si>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</si>
  <si>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</si>
  <si>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2007-2013, Program Operacyjny Rybactwo i Morze 2014-2020 oraz Program Fundusze Europejskie dla Rybactwa</t>
  </si>
  <si>
    <t>05095</t>
  </si>
  <si>
    <t>15011</t>
  </si>
  <si>
    <t>Rozwój przedsiębiorczości</t>
  </si>
  <si>
    <t>15013</t>
  </si>
  <si>
    <t>Rozwój kadr nowoczesnej gospodarki i przedsiębiorczości</t>
  </si>
  <si>
    <t>15095</t>
  </si>
  <si>
    <t>60001</t>
  </si>
  <si>
    <t>Krajowe pasażerskie przewozy kolejowe</t>
  </si>
  <si>
    <t>Infrastruktura kolejowa</t>
  </si>
  <si>
    <t>60003</t>
  </si>
  <si>
    <t>Lokalny transport zbiorowy</t>
  </si>
  <si>
    <t>60013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</si>
  <si>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</si>
  <si>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</si>
  <si>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</si>
  <si>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</si>
  <si>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</si>
  <si>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</si>
  <si>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</si>
  <si>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</si>
  <si>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</si>
  <si>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Gospodarka gruntami i nieruchomościami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</si>
  <si>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</si>
  <si>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</si>
  <si>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</si>
  <si>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</si>
  <si>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</si>
  <si>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</si>
  <si>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</si>
  <si>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</si>
  <si>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71095</t>
  </si>
  <si>
    <t>72095</t>
  </si>
  <si>
    <t>730</t>
  </si>
  <si>
    <t>SZKOLNICTWO WYŻSZE I NAUKA</t>
  </si>
  <si>
    <t>73014</t>
  </si>
  <si>
    <t>Działalność dydaktyczna i badawcza</t>
  </si>
  <si>
    <t>73095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</si>
  <si>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</si>
  <si>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</si>
  <si>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</si>
  <si>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</si>
  <si>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</si>
  <si>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</si>
  <si>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</si>
  <si>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</si>
  <si>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</si>
  <si>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</si>
  <si>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</si>
  <si>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75109</t>
  </si>
  <si>
    <t>Wybory do rad gmin, rad powiatów i sejmików województw, wybory wójtów, burmistrzów i prezydentów miast oraz referenda gminne, powiatowe i wojewódzkie</t>
  </si>
  <si>
    <t>75212</t>
  </si>
  <si>
    <t>Pozostałe wydatki obronne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</si>
  <si>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</si>
  <si>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</si>
  <si>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</si>
  <si>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</si>
  <si>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</si>
  <si>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</si>
  <si>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</si>
  <si>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</si>
  <si>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</si>
  <si>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</si>
  <si>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</si>
  <si>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</si>
  <si>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</si>
  <si>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</si>
  <si>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</si>
  <si>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</si>
  <si>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</si>
  <si>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</si>
  <si>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80115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</si>
  <si>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</si>
  <si>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</si>
  <si>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</si>
  <si>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</si>
  <si>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</si>
  <si>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</si>
  <si>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</si>
  <si>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</si>
  <si>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</si>
  <si>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</si>
  <si>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</si>
  <si>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</si>
  <si>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</si>
  <si>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</si>
  <si>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</si>
  <si>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80153</t>
  </si>
  <si>
    <t>Zapewnienie uczniom prawa do bezpłatnego dostępu do podręczników, materiałów edukacyjnych lub materiałów ćwiczeniowych</t>
  </si>
  <si>
    <t>80195</t>
  </si>
  <si>
    <t>Szpitale ogólne</t>
  </si>
  <si>
    <t>85117</t>
  </si>
  <si>
    <t>Zakłady opiekuńczo-lecznicze i pielęgnacyjno-opiekuńcze</t>
  </si>
  <si>
    <t>85119</t>
  </si>
  <si>
    <t>Lecznictwo sanatoryjno-klimatyczne</t>
  </si>
  <si>
    <t>85120</t>
  </si>
  <si>
    <t>Lecznictwo psychiatryczne</t>
  </si>
  <si>
    <t>Medycyna pracy</t>
  </si>
  <si>
    <t>Programy polityki zdrowotnej</t>
  </si>
  <si>
    <t>Zwalczanie narkomanii</t>
  </si>
  <si>
    <t>Przeciwdziałanie alkoholizmowi</t>
  </si>
  <si>
    <t>Staże i specjalizacje medyczne</t>
  </si>
  <si>
    <t>85179</t>
  </si>
  <si>
    <t>Pomoc zagraniczna</t>
  </si>
  <si>
    <t>Ośrodki wsparcia</t>
  </si>
  <si>
    <t>Regionalne ośrodki polityki społecznej</t>
  </si>
  <si>
    <t>85219</t>
  </si>
  <si>
    <t>Ośrodki pomocy społecznej</t>
  </si>
  <si>
    <t>Pomoc dla cudzoziemców</t>
  </si>
  <si>
    <t>POZOSTAŁE ZADANIA W ZAKRESIE POLITYKI SPOŁECZNEJ</t>
  </si>
  <si>
    <t>Rehabilitacja zawodowa i społeczna osób niepełnosprawnych</t>
  </si>
  <si>
    <t>Fundusz Gwarantowanych Świadczeń Pracowniczych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</si>
  <si>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</si>
  <si>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</si>
  <si>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</si>
  <si>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</si>
  <si>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</si>
  <si>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</si>
  <si>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</si>
  <si>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</si>
  <si>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</si>
  <si>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odpadami komunalnymi</t>
  </si>
  <si>
    <t>Ochrona powietrza atmosferycznego i klimatu</t>
  </si>
  <si>
    <t>Zmniejszenie hałasu i wibracji</t>
  </si>
  <si>
    <t>90015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</si>
  <si>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</si>
  <si>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</si>
  <si>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</si>
  <si>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</si>
  <si>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</si>
  <si>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</si>
  <si>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</si>
  <si>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</si>
  <si>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</si>
  <si>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</si>
  <si>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</si>
  <si>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</si>
  <si>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</si>
  <si>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</si>
  <si>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</si>
  <si>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</si>
  <si>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</si>
  <si>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</si>
  <si>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</si>
  <si>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Załącznik nr 4 do uchwały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</si>
  <si>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2024 rok" </t>
    </r>
    <r>
      <rPr>
        <sz val="10"/>
        <rFont val="Calibri"/>
        <family val="2"/>
        <charset val="238"/>
      </rPr>
      <t>do uchwały Nr LXIV/898/23 Sejmiku Województwa Kujawsko-Pomorskiego z dnia 18 grudnia 2023 roku w sprawie budżetu województwa na rok 2024 (z późn. zm.), wprowadza się następujące zmiany:</t>
    </r>
  </si>
  <si>
    <t xml:space="preserve">Plan na </t>
  </si>
  <si>
    <t>Zwiększenie</t>
  </si>
  <si>
    <t>Plan po</t>
  </si>
  <si>
    <t>Rozdział</t>
  </si>
  <si>
    <t xml:space="preserve">2024 r. </t>
  </si>
  <si>
    <t>zmianach</t>
  </si>
  <si>
    <t>WYDATKI OGÓŁEM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</si>
  <si>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</si>
  <si>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</si>
  <si>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</si>
  <si>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</si>
  <si>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</si>
  <si>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</si>
  <si>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</si>
  <si>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</si>
  <si>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</si>
  <si>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Opłaty z tytułu zakupu usług telekomunikacyjnych</t>
  </si>
  <si>
    <t>Opłaty za administrowanie i czynsze za budynki, lokale i pomieszczenia garażowe</t>
  </si>
  <si>
    <t>Podróże służbowe krajowe</t>
  </si>
  <si>
    <t xml:space="preserve">Szkolenia pracowników niebędących członkami korpusu służby cywilnej </t>
  </si>
  <si>
    <t>Wpłaty na PPK finansowane przez podmiot zatrudniający</t>
  </si>
  <si>
    <t>Wydatki na zakupy inwestycyjne jednostek budżetowych</t>
  </si>
  <si>
    <t>Zwrot dotacji oraz płatności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</si>
  <si>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</si>
  <si>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Kary i odszkodowania wypłacane na rzecz osób fizycznych</t>
  </si>
  <si>
    <t>Wydatki inwestycyjne jednostek budżetowych</t>
  </si>
  <si>
    <t>Wydatki poniesione ze środków Rządowego Funduszu Polski Ład: Program Inwestycji Strategicznych na realizację zadań inwestycyjnych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</si>
  <si>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</si>
  <si>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</si>
  <si>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Różne opłaty i składki</t>
  </si>
  <si>
    <t>Wydatki na zakup i objęcie akcji i udziałów</t>
  </si>
  <si>
    <t>Zakup usług zdrowotnych</t>
  </si>
  <si>
    <t>Podróże służbowe zagraniczne</t>
  </si>
  <si>
    <t>Odpisy na zakładowy fundusz świadczeń socjalnych</t>
  </si>
  <si>
    <t>Wydatki osobowe niezaliczone do wynagrodzeń</t>
  </si>
  <si>
    <t>Dodatkowe wynagrodzenie roczne</t>
  </si>
  <si>
    <t>Zakup usług związanych z pomocą obywatelom Ukrainy</t>
  </si>
  <si>
    <t xml:space="preserve">Przedszkola </t>
  </si>
  <si>
    <t>Zakup usług remontowo-konserwatorskich dotyczących obiektów zabytkowych będących w użytkowaniu jednostek budżetowych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</si>
  <si>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</si>
  <si>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Nagrody konkursowe</t>
  </si>
  <si>
    <t>Zakup środków dydaktycznych i książek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</si>
  <si>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</si>
  <si>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na finansowanie lub dofinansowanie kosztów realizacji inwestycji i zakupów inwestycyjnych innych jednostek sektora finansów publicznych</t>
  </si>
  <si>
    <t>Zakup towarów (w szczególności materiałów, leków, żywności) w związku z pomocą obywatelom Ukrainy</t>
  </si>
  <si>
    <t>Dotacja celowa przekazana gminie na zadania bieżące realizowane na podstawie porozumień (umów) między jednostkami samorządu terytorialnego</t>
  </si>
  <si>
    <t xml:space="preserve">Różne wydatki na rzecz osób fizycznych 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</si>
  <si>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</si>
  <si>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</si>
  <si>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</si>
  <si>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</si>
  <si>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Wpływy i wydatki związane z wprowadzeniem do obrotu baterii i akumulatorów</t>
  </si>
  <si>
    <t>Zakup usług obejmujących tłumaczenia</t>
  </si>
  <si>
    <t xml:space="preserve">Teatry </t>
  </si>
  <si>
    <t>Dotacja podmiotowa z budżetu dla samorządowej instytucji kultury</t>
  </si>
  <si>
    <t>Dotacja celowa z budżetu dla pozostałych jednostek zaliczanych do sektora finansów publicznych</t>
  </si>
  <si>
    <t>926</t>
  </si>
  <si>
    <t>KULTURA FIZYCZNA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</si>
  <si>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</si>
  <si>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z budżetu na finansowanie lub dofinansowanie zadań zleconych do realizacji stowarzyszeniom</t>
  </si>
  <si>
    <r>
      <t xml:space="preserve">W załączniku </t>
    </r>
    <r>
      <rPr>
        <b/>
        <sz val="10"/>
        <rFont val="Calibri"/>
        <family val="2"/>
        <charset val="238"/>
      </rPr>
      <t>nr 9 "Wydatki na zadania inwestycyjne.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roku w sprawie budżetu województwa na rok 2024 (z późn. zm.), wprowadza się następujące zmiany:</t>
    </r>
  </si>
  <si>
    <t>Dział
Rozdział</t>
  </si>
  <si>
    <t>Nazwa zadania inwestycyjnego</t>
  </si>
  <si>
    <t>Okres realizacji</t>
  </si>
  <si>
    <t>Ogólny koszt zadania</t>
  </si>
  <si>
    <t>Przewidywane nakłady poniesione do końca 2023 r.</t>
  </si>
  <si>
    <t>Planowane wydatki</t>
  </si>
  <si>
    <t>Jednostka organizacyjna realizująca zadanie lub koordynująca wykonanie zadania</t>
  </si>
  <si>
    <t>na rok budżetowy 2024</t>
  </si>
  <si>
    <t>z tego źródła finansowania:</t>
  </si>
  <si>
    <t>środki własne Województwa</t>
  </si>
  <si>
    <t>dotacje/środki</t>
  </si>
  <si>
    <t>6a</t>
  </si>
  <si>
    <t>6b</t>
  </si>
  <si>
    <t>x</t>
  </si>
  <si>
    <t>I. 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</si>
  <si>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</si>
  <si>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</si>
  <si>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Zakup elektrycznych zespołów trakcyjnych do wykonywania kolejowych połączeń regionalnych na terenie województwa kujawsko-pomorskiego</t>
  </si>
  <si>
    <t>60002</t>
  </si>
  <si>
    <t xml:space="preserve">Budowa wiaduktów i przystanków kolejowych w bydgosko-toruńskim obszarze metropolitalnym-uzyskanie certyfikatów zgodności dla podsystemów i składników interoperacyjności WE w kolejnictwie </t>
  </si>
  <si>
    <t>Modernizacja dróg</t>
  </si>
  <si>
    <t>Zarząd Dróg Wojewódzkich w Bydgoszczy</t>
  </si>
  <si>
    <t>Wykup gruntu</t>
  </si>
  <si>
    <t>Drogowa Inicjatywa Samorządowa</t>
  </si>
  <si>
    <t>Ograniczenie emisji spalin poprzez rozbudowę dróg rowerowych dla Części 2 - Złotoria-Nowa Wieś-Lubicz Górny - w ciągu drogi wojewódzkiej nr 657 - Budowa kanalizacji deszczowej w miejscowości Nowa Wieś na odcinku ok. 2180 m oraz wykonanie II etapu robót budowlanych</t>
  </si>
  <si>
    <t>Modernizacja dróg kluczowych Regionalnego planu transportowego województwa kujawsko-pomorskiego na lata 2021-2027</t>
  </si>
  <si>
    <t>Roboty dodatkowe i uzupełniające związane z realizacją inwestycji drogowych w ramach Funduszy Europejskich dla Kujaw i Pomorza</t>
  </si>
  <si>
    <t>Modyfikacja przyczółków przeprawy promowej w Solcu Kujawskim i Czarnowie</t>
  </si>
  <si>
    <t>Zakupy inwestycyjne</t>
  </si>
  <si>
    <t xml:space="preserve">Program rewitalizacji i ochrony zadrzewień alejowych przy drogach wojewódzkich </t>
  </si>
  <si>
    <t>Budowa magazynów soli</t>
  </si>
  <si>
    <t>Rozbudowa drogi wojewódzkiej nr 244 polegająca na wykonaniu ścieżki rowerowej i chodników na odcinku Aleksandrowo-Strzelce Górne</t>
  </si>
  <si>
    <t>Rozbudowa drogi wojewódzkiej Nr 255 Pakość-Strzelno od km 2+220 do km 21+910, odc. Rzadkwin-Bławaty od km 18+910 do km 21+910, dł. 3,000 km</t>
  </si>
  <si>
    <t>Przebudowa drogi wojewódzkiej nr 269 Szczerkowo-Izbica Kujawska-Chodecz-Choceń-Kowal, m. Izbica Kujawska od km 17+142 do km 17+765, dł. 0,623 km</t>
  </si>
  <si>
    <t>Przebudowa sieci elektroenergetycznej na potrzeby realizacji projektu pn. Młyn Energii w Grudziądzu"</t>
  </si>
  <si>
    <t>Zakup plotera</t>
  </si>
  <si>
    <t>Wydatki inwestycyjne</t>
  </si>
  <si>
    <t xml:space="preserve">Modernizacja budynków </t>
  </si>
  <si>
    <t>Modernizacja pomieszczeń warsztatów szkolnych</t>
  </si>
  <si>
    <t>Kujawsko-Pomorski Specjalny Ośrodek Szkolno-Wychowawczy nr 2 dla Dzieci i Młodzieży Słabo Słyszącej i Niesłyszącej im. gen. Stanisława Maczka w Bydgoszczy</t>
  </si>
  <si>
    <t>Wykonanie prac modernizacyjnych w nowopowstałych pracowniach gastronomicznych</t>
  </si>
  <si>
    <t>Kujawsko-Pomorskie Centrum Kształcenia Zawodowego w Bydgoszczy</t>
  </si>
  <si>
    <t>Wykonanie ławeczki pod miłorzębem</t>
  </si>
  <si>
    <t>Kujawsko-Pomorskie Centrum Edukacji Nauczycieli w Bydgoszczy</t>
  </si>
  <si>
    <t>Wykonanie instalacji sygnalizacji pożaru</t>
  </si>
  <si>
    <t>Pedagogiczna Biblioteka Wojewódzka w Bydgoszczy</t>
  </si>
  <si>
    <t>Kujawsko-Pomorski Specjalny Ośrodek Szkolno-Wychowawczy im. J. Korczaka w Toruniu</t>
  </si>
  <si>
    <t>85111</t>
  </si>
  <si>
    <t>Budowa instalacji fotowoltaicznej na dachach obiektów Centrum Onkologii w Bydgoszczy</t>
  </si>
  <si>
    <t>Centrum Onkologii w Bydgoszczy</t>
  </si>
  <si>
    <t>Dostosowanie Oddziału Hematologii do transplantologii szpiku kostnego</t>
  </si>
  <si>
    <t>Wojewódzki Szpital Zespolony w Toruniu</t>
  </si>
  <si>
    <t>Podniesienie jakości usług zdrowotnych oraz zwiększenie dostępu do usług medycznych w Wojewódzkim Szpitalu Specjalistycznym we Włocławku - Modernizacja Poradni Położniczo-Ginekologicznej</t>
  </si>
  <si>
    <t>Wojewódzki Szpital Specjalistyczny we Włocławku</t>
  </si>
  <si>
    <t>Zakup sprzętu i aparatury medycznej</t>
  </si>
  <si>
    <t>Modernizacja szpitala w Szubinie - pion szubińskiego Nowego Szpitala w Nakle i w Szubinie - Oddział Chorób Wewnętrznych - wsparcie finansowe</t>
  </si>
  <si>
    <t>Adaptacja pomieszczenia na potrzeby utworzenia pracowni tomografii komputerowej</t>
  </si>
  <si>
    <t>Wojewódzki Szpital dla Nerwowo i Psychicznie Chorych w Świeciu</t>
  </si>
  <si>
    <t>85154</t>
  </si>
  <si>
    <t>Podniesienie funkcjonalności WOTUiW w Toruniu</t>
  </si>
  <si>
    <t>Wojewódzki Ośrodek Terapii Uzależnień i Współuzależnienia w Toruniu</t>
  </si>
  <si>
    <t>Zakup i montaż altany i wiaty</t>
  </si>
  <si>
    <t>Pomoc zagraniczna dla społeczności lokalnych i regionalnych na obszarze Ukrainy</t>
  </si>
  <si>
    <t>85195</t>
  </si>
  <si>
    <t>Przebudowa obiektu przy ul. M. Skłodowskiej-Curie 27/29 w Toruniu</t>
  </si>
  <si>
    <t>Regionalny Ośrodek Polityki Społecznej w Toruniu</t>
  </si>
  <si>
    <t>85217</t>
  </si>
  <si>
    <t>Budowa węzła cieplnego</t>
  </si>
  <si>
    <t>85332</t>
  </si>
  <si>
    <t>Modernizacja sieci telefonicznej</t>
  </si>
  <si>
    <t>Wojewódzki Urząd Pracy w Toruniu</t>
  </si>
  <si>
    <t>Zakup przełącznika "core" sieci komputerowej LAN</t>
  </si>
  <si>
    <t>85395</t>
  </si>
  <si>
    <t>Przebudowa budynku nr 1 w obiekcie przy ul. M. Skłodowskiej-Curie 27/29 w Toruniu na potrzeby powstania Regionalnego Centrum Wsparcia i Aktywizacji</t>
  </si>
  <si>
    <t>Kompleksowa modernizacja energetyczna budynków zabytkowych, w tym budynku nr 3 przy ul. Mickiewicza 24/26</t>
  </si>
  <si>
    <t>85403</t>
  </si>
  <si>
    <t>Modernizacja warsztatów kształcenia zawodowego w KPSOSW im. J. Korczaka w Toruniu</t>
  </si>
  <si>
    <t>Zakup pakietu elektronicznego w ramach zadania "Dostrzec to co niewidoczne" - zwiększenie dostępności do edukacji przedszkolnej w ośrodku Braille'a w Bydgoszczy"</t>
  </si>
  <si>
    <t>85410</t>
  </si>
  <si>
    <t>Rozbudowa i modernizacja internatu K-PCKZ w Bydgoszczy - opracowanie dokumentacji</t>
  </si>
  <si>
    <t>92106</t>
  </si>
  <si>
    <t>Opera Nova w Bydgoszczy</t>
  </si>
  <si>
    <t>Modernizacja systemu oświetlenia Sceny na Zapleczu oraz zakup urządzeń oświetleniowych wraz z zakupem maszyny do mgły do Dużej Sceny</t>
  </si>
  <si>
    <t>Teatr im. W. Horzycy w Toruniu</t>
  </si>
  <si>
    <t>Dostosowanie zabytkowego budynku Teatru im. Wilama Horzycy do wymagań ochrony przeciwpożarowej - wykonanie dokumentacji projektowej</t>
  </si>
  <si>
    <t xml:space="preserve">Teatr im. W. Horzycy w Toruniu </t>
  </si>
  <si>
    <t>Kujawsko-Pomorski Teatr Muzyczny w Toruniu</t>
  </si>
  <si>
    <t>Modernizacja pomieszczeń sanitarnych w budynku Pałacu Dąmbskich</t>
  </si>
  <si>
    <t>92109</t>
  </si>
  <si>
    <t>Zakup wyposażenia</t>
  </si>
  <si>
    <t>Pałac Lubostroń w Lubostroniu</t>
  </si>
  <si>
    <t>Ośrodek Chopinowski w Szafarni</t>
  </si>
  <si>
    <t>Budowa przydomowej oczyszczalni ścieków na potrzeby Ośrodka Chopinowskiego w Szafarni - przygotowanie dokumentacji projektowej</t>
  </si>
  <si>
    <t>Kompleksowe wykonanie klimatyzacji w pomieszczeniach WOAK-u w Młynie Kultury</t>
  </si>
  <si>
    <t>Wojewódzki Ośrodek Animacji Kultury w Toruniu</t>
  </si>
  <si>
    <t>Zakupy inwestycyjne do domu Heleny Grossówny w celu utworzenia miejsca popularyzacji wiedzy artystycznej i o artystach regionu</t>
  </si>
  <si>
    <t>Kujawsko-Pomorskie Centrum Dziedzictwa w Toruniu</t>
  </si>
  <si>
    <t>Opracowanie koncepcji i programu prac konserwatorskich</t>
  </si>
  <si>
    <t>Kujawsko-Pomorskie Centrum Edukacji i Innowacji w Toruniu</t>
  </si>
  <si>
    <t>92110</t>
  </si>
  <si>
    <t>Zakup nowego systemu oświetlenia i klimatyzacji do siedziby Galerii przy Rynku Nowomiejskim 17 w Toruniu</t>
  </si>
  <si>
    <t>Galeria i Ośrodek Plastycznej Twórczości Dziecka w Toruniu</t>
  </si>
  <si>
    <t>Zakup systemu oświetlenia i klimatyzacji do budynku Galerii przy ul. Rabiańskiej 20 w Toruniu</t>
  </si>
  <si>
    <t>Galeria Sztuki "Wozownia" w Toruniu</t>
  </si>
  <si>
    <t>92116</t>
  </si>
  <si>
    <t>Wojewódzka Biblioteka Publiczna-Książnica Kopernikańska w Toruniu</t>
  </si>
  <si>
    <t>Zapewnienie dostępności osobom ze szczególnymi potrzebami w obiektach Książnicy Kopernikańskiej - Książnica dostępna</t>
  </si>
  <si>
    <t>Wojewódzka Biblioteka Publiczna - Książnica Kopernikańska w Toruniu</t>
  </si>
  <si>
    <t>92118</t>
  </si>
  <si>
    <t>Muzeum Archeologiczne w Biskupinie</t>
  </si>
  <si>
    <t>Wykonanie przewiertu i przyłącza wodociągowego</t>
  </si>
  <si>
    <t>Wykonanie instalacji sygnalizacji pożaru dla budynku administracji</t>
  </si>
  <si>
    <t>Budowa zagrody dla koni w skansenie w Kłóbce</t>
  </si>
  <si>
    <t>Muzeum Ziemi Kujawsko-Dobrzyńskiej we Włocławku</t>
  </si>
  <si>
    <t>Poprawa zabezpieczeń elektronicznych zbiorów muzeum we Włocławku</t>
  </si>
  <si>
    <t>92195</t>
  </si>
  <si>
    <t>Muzeum Diecezji Bydgoskiej - zakup wyposażenia</t>
  </si>
  <si>
    <t>Park Pamięci Ofiar Zbrodni Pomorskiej 1939</t>
  </si>
  <si>
    <t>Młyn Kultury - Przebudowa, rozbudowa i zmiana sposobu użytkowania budynku magazynowego przy ul. Kościuszki 77 w Toruniu - na budynek o funkcji użyteczności publicznej</t>
  </si>
  <si>
    <t>Nowoczesna strefa kultury - biblioteka na osiedlu Szwederowo (Program BBO)</t>
  </si>
  <si>
    <t>Wojewódzka i Miejska Biblioteka Publiczna w Bydgoszczy</t>
  </si>
  <si>
    <r>
      <t xml:space="preserve">Zadania w zakresie kultury - wkłady własne
</t>
    </r>
    <r>
      <rPr>
        <i/>
        <sz val="10"/>
        <rFont val="Calibri"/>
        <family val="2"/>
        <charset val="238"/>
      </rPr>
      <t>Zakup instrumentów dla orkiestry dętej Vabank</t>
    </r>
  </si>
  <si>
    <r>
      <t xml:space="preserve">Zadania w zakresie kultury - wkłady własne
</t>
    </r>
    <r>
      <rPr>
        <i/>
        <sz val="10"/>
        <rFont val="Calibri"/>
        <family val="2"/>
        <charset val="238"/>
      </rPr>
      <t>Zakup kolekcji sztuki ludowej i nieprofesjonalnej oraz tzw. sztuki prowincji Andrzeja Różyckiego</t>
    </r>
  </si>
  <si>
    <t>Muzeum Etnograficzne w Toruniu</t>
  </si>
  <si>
    <r>
      <t xml:space="preserve">Zadania w zakresie kultury - wkłady własne
</t>
    </r>
    <r>
      <rPr>
        <i/>
        <sz val="10"/>
        <rFont val="Calibri"/>
        <family val="2"/>
        <charset val="238"/>
      </rPr>
      <t>Lubostroń, pałac, XVIII w. kontynuacja prac konserwatorsko-restauratorskich stolarki okiennej i drzwiowej - etap końcowy</t>
    </r>
  </si>
  <si>
    <t>Utrwalenie pamięci o bohaterach Kujaw i Pomorza</t>
  </si>
  <si>
    <t>92502</t>
  </si>
  <si>
    <t>System informacji geograficznej TPK - zakup licencji</t>
  </si>
  <si>
    <t>Tucholski Park Krajobrazowy</t>
  </si>
  <si>
    <t>Termomodernizacja siedziby ZPKnDW</t>
  </si>
  <si>
    <t>Zespół Parków Krajobrazowych nad Dolną Wisłą</t>
  </si>
  <si>
    <t>Modernizacja zagrody wiejskiej w Dusocinie</t>
  </si>
  <si>
    <t>Wydatki inwestycyjne w ramach zadania pn. "Turystyka bez barier"</t>
  </si>
  <si>
    <t>Wdecki Park Krajobrazowy</t>
  </si>
  <si>
    <t>Opracowanie dokumentacji projektowo-kosztorysowej w ramach zadania pn. "Przygotowanie dokumentacji na potrzeby realizacji projektów w ramach FEdKP 2021-2027"</t>
  </si>
  <si>
    <t>92605</t>
  </si>
  <si>
    <t>Mała architektura i budowa infrastruktury sportowej przy obiektach edukacyjnych - wsparcie finansowe</t>
  </si>
  <si>
    <t>Wsparcie realizacji inicjatyw o charakterze rekreacyjno-sportowym</t>
  </si>
  <si>
    <t>Akademickie Centrum Sportu Politechniki Bydgoskiej - II etap</t>
  </si>
  <si>
    <t>Budowa hali lekkoatletycznej i strzelectwa sportowego na terenie Kompleksu Sportowego Zawisza w Bydgoszczy - pomoc finansowa</t>
  </si>
  <si>
    <t>RAZEM</t>
  </si>
  <si>
    <t>II. Inwestycje wieloletnie</t>
  </si>
  <si>
    <t>Przygotowanie i realizacja zadań w ramach Rządowego Funduszu Rozwoju Dróg</t>
  </si>
  <si>
    <t>2020-2025</t>
  </si>
  <si>
    <t xml:space="preserve">Zarząd Dróg Wojewódzkich w Bydgoszczy </t>
  </si>
  <si>
    <t>Przebudowa drogi wojewódzkiej Nr 251 od km 45+145 do km 46+800 odc. Młodocin-Pturek wraz z przebudową przepustu w km 46+216</t>
  </si>
  <si>
    <t>2019-2024</t>
  </si>
  <si>
    <t>Przebudowa wraz z rozbudową drogi wojewódzkiej Nr 563 Rypin-Żuromin-Mława od km 2+475 do km 16+656. Etap I - Przebudowa drogi wojewódzkiej Nr 563 na odcinku Rypin-Stępowo od km 2+475 do km 10+100</t>
  </si>
  <si>
    <t>2022-2025</t>
  </si>
  <si>
    <t>Przebudowa wraz z rozbudową drogi wojewódzkiej Nr 563 Rypin-Żuromin-Mława od km 2+475 do km 16+656. Etap II - Przebudowa drogi wojewódzkiej Nr 563 na odcinku Stępowo - granica województwa od km 10+100 do km 16+656</t>
  </si>
  <si>
    <t>2023-2025</t>
  </si>
  <si>
    <t>Odnowa nawierzchni drogi wojewódzkiej Nr 243 Mrocza-Koronowo (DK25) odc. Mrocza-Prosperowo od km 0+120 do km 4+320 dł. 4,200 km</t>
  </si>
  <si>
    <t>2022-2024</t>
  </si>
  <si>
    <t>Przebudowa wiaduktu w ciągu drogi wojewódzkiej Nr 240 Chojnice-Świecie w km 64+533 w miejscowości Terespol Pomorski</t>
  </si>
  <si>
    <t>2021-2024</t>
  </si>
  <si>
    <t>Poprawa warunków obsługi i rozwoju terenu Brzeskiej Strefy Gospodarczej poprzez modernizację drogi wojewódzkiej nr 268</t>
  </si>
  <si>
    <t>2023-2026</t>
  </si>
  <si>
    <t>Rozbudowa drogi wojewódzkiej Nr 272 od skrzyżowania z drogą wojewódzką nr 239, drogą powiatową nr 1046C do ul. Szkolnej w Laskowicach na odcinku ok. 990 mb</t>
  </si>
  <si>
    <t>Odnowa nawierzchni DW 269 odcinek Wola Adamowa-Choceń od km 45+540 do km 48+448, dł. 2,908 km</t>
  </si>
  <si>
    <t>Rozbudowa drogi wojewódzkiej Nr 244 Kamieniec-Strzelce Dolne, m. Żołędowo, ul. Jastrzębia od km 30+068 do km 33+342, dł. 3,274 km</t>
  </si>
  <si>
    <t>2021-2025</t>
  </si>
  <si>
    <t>Poprawa bezpieczeństwa na przejściach dla pieszych na drogach wojewódzkich oraz w obrębie zatok i peronów przystankowych</t>
  </si>
  <si>
    <t>Rozbudowa drogi wojewódzkiej Nr 551 Strzyżawa-Unisław-Wąbrzeźno poprzez budowę drogi rowerowej na odcinku Kończewice-Warszewice-Bogusławki</t>
  </si>
  <si>
    <t>Roboty dodatkowe i uzupełniające oraz waloryzacja kosztów inwestycyjnych - ścieżki rowerowe</t>
  </si>
  <si>
    <t>Przebudowa obiektów mostowych w ciągach dróg wojewódzkich</t>
  </si>
  <si>
    <t>Modernizacja dróg wojewódzkich w zakresie wyeliminowania miejsc niebezpiecznych</t>
  </si>
  <si>
    <t>2022-2029</t>
  </si>
  <si>
    <t>Prace projektowe związane z Nową Perspektywą Finansową 2021-2027</t>
  </si>
  <si>
    <t>2021-2026</t>
  </si>
  <si>
    <t>Plan rozwoju sieci drogowej - dokumentacje</t>
  </si>
  <si>
    <t>Budowa obwodnicy miasta Rypina, w tym opracowanie Studium Techniczno-Ekonomiczno-Środowiskowego wraz z uzyskaniem decyzji o środowiskowych uwarunkowaniach zgody na realizację przedsięwzięcia</t>
  </si>
  <si>
    <t>2021-2028</t>
  </si>
  <si>
    <t xml:space="preserve">Budowa obwodnicy Więcborka wraz z opracowaniem Studium Techniczno-Ekonomiczno-Środowiskowego </t>
  </si>
  <si>
    <t>2019-2026</t>
  </si>
  <si>
    <t>Budowa obwodnicy miejscowości Trląg wraz z dokumentacją projektową</t>
  </si>
  <si>
    <t>2022-2026</t>
  </si>
  <si>
    <t>Budowa obwodnicy Tucholi</t>
  </si>
  <si>
    <t>2022-2027</t>
  </si>
  <si>
    <t>Budowa obwodnicy miasta Brodnicy</t>
  </si>
  <si>
    <t>Budowa obwodnicy miejscowości Lisewo</t>
  </si>
  <si>
    <t>Budowa obwodnicy miasta Sępólno Krajeńskie</t>
  </si>
  <si>
    <t>Budowa obwodnicy miasta Chełmży</t>
  </si>
  <si>
    <t>2022-2028</t>
  </si>
  <si>
    <t>Budowa obwodnicy miasta Radzyń Chełmiński</t>
  </si>
  <si>
    <t>Budowa obwodnicy miejscowości Łysomice</t>
  </si>
  <si>
    <t>Budowa obwodnicy miasta Golubia-Dobrzynia, w tym opracowanie Studium Techniczno-Ekonomiczno-Środowiskowego wraz z dokumentacją projektową</t>
  </si>
  <si>
    <t>Wykonanie aktualizacji dokumentacji technicznej dla zadania pn. "Budowa obwodnicy miasta Brodnicy"</t>
  </si>
  <si>
    <t>Opracowanie dokumentacji projektowej dla rozbudowy drogi wojewódzkiej Nr 244 Kamieniec-Strzelce Dolne, m. Żołędowo, ul. Jastrzębia od km 30+068 do km 33+342, dł. 3,274 km</t>
  </si>
  <si>
    <t>2018-2024</t>
  </si>
  <si>
    <t>Rozbudowa drogi wojewódzkiej nr 534 od miejscowości Ostrowite do skrzyżowania z ul. Kościuszki w Rypinie polegająca na budowie ścieżki pieszo-rowerowej</t>
  </si>
  <si>
    <t>Modyfikacja przyczółków przeprawy promowej w Solcu Kujawski i Czarnowie</t>
  </si>
  <si>
    <t>2024-2025</t>
  </si>
  <si>
    <t>zmiana nazwy 
z: Przebudowa dróg powiatowych w powiecie chełmińskim o długości 10,600 km - wsparcie finansowe
na: Przebudowa dróg powiatowych w powiecie chełmińskim o długości 11.664 km - wsparcie finansowe</t>
  </si>
  <si>
    <t>Przebudowa dróg powiatowych w powiecie wąbrzeskim o długości 23,000 km - wsparcie finansowe</t>
  </si>
  <si>
    <t>60016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</si>
  <si>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</si>
  <si>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t>2018-2026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</si>
  <si>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</si>
  <si>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</si>
  <si>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2016-2039</t>
  </si>
  <si>
    <t>Modernizacja nieruchomości w Toruniu przy ul. Wola Zamkowa 12 (rozliczenie z użytkownikiem)</t>
  </si>
  <si>
    <t>2024-2039</t>
  </si>
  <si>
    <t>Kultura w zasięgu 3.0 - wkład własny wojewódzkich jednostek organizacyjnych</t>
  </si>
  <si>
    <t>2023-2027</t>
  </si>
  <si>
    <t>Modernizacja i rozbudowa budynku Urzędu Marszałkowskiego - Etap I</t>
  </si>
  <si>
    <t>2009-2025</t>
  </si>
  <si>
    <t>KPCEN we Włocławku - Rozbudowa budynku</t>
  </si>
  <si>
    <t>Zbudowanie systemu koordynacji i monitorowania regionalnych działań na rzecz kształcenia zawodowego, szkolnictwa wyższego oraz uczenia się przez całe życie, w tym uczenia się dorosłych - KPO - zakupy inwestycyjne</t>
  </si>
  <si>
    <t>Przebudowa i nadbudowa budynku B Wojewódzkiego Szpitala Obserwacyjno-Zakaźnego przy ul. Św. Floriana 12 w Bydgoszczy</t>
  </si>
  <si>
    <t>Wojewódzki Szpital Obserwacyjno-Zakaźny w Bydgoszczy</t>
  </si>
  <si>
    <t xml:space="preserve">Opracowanie dokumentacji projektowej dla strategicznych zadań w szpitalach wojewódzkich </t>
  </si>
  <si>
    <t>Rozbudowa WOTUiW w Toruniu - dokumentacja techniczna OOC</t>
  </si>
  <si>
    <t>Dokumentacja techniczna OKTU - rozbudowa WOTUiW w Toruniu</t>
  </si>
  <si>
    <t>K-PSOSW Nr 2 w Bydgoszczy - Prace związane z dostosowaniem budynku do wymogów p-poż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</si>
  <si>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</si>
  <si>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</si>
  <si>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Rozszerzenie funkcjonalności teatralno-koncertowej poprzez rozbudowę i doposażenie dawnego budynku kinoteatru Grunwald</t>
  </si>
  <si>
    <t>2020-2024</t>
  </si>
  <si>
    <t>92108</t>
  </si>
  <si>
    <t>Rozbudowa Filharmonii Pomorskiej w Bydgoszczy</t>
  </si>
  <si>
    <t>Filharmonia Pomorska im. J. Paderewskiego w Bydgoszczy</t>
  </si>
  <si>
    <t>Adaptacja pomieszczeń piwnicznych w budynku Kujawsko-Pomorskiego Centrum Kultury w Bydgoszczy</t>
  </si>
  <si>
    <t>Kujawsko-Pomorskie Centrum Kultury w Bydgoszczy</t>
  </si>
  <si>
    <t>Uporządkowanie gospodarki wodno-ściekowej i energetycznej w zespole pałacowo-parkowym w Lubostroniu</t>
  </si>
  <si>
    <t>2024-2026</t>
  </si>
  <si>
    <t>Młyn Energii - dostosowanie obiektu Młyna Górnego w Grudziądzu do funkcji kulturalno-edukacyjnych</t>
  </si>
  <si>
    <t>Budowa jachtu morskiego dla Kujaw i Pomorza</t>
  </si>
  <si>
    <t>Przygotowanie dokumentacji projektowo-kosztorysowej modernizacji budynku przy ul. Czerwona Droga 8 w Toruniu</t>
  </si>
  <si>
    <t>2023-2024</t>
  </si>
  <si>
    <t>"Muzeum Ziemiaństwa im. Rodziny Sczanieckich" w Nawrze</t>
  </si>
  <si>
    <t>2024-2027</t>
  </si>
  <si>
    <t>Rozbudowa i dostosowanie budynku Wojewódzkiej Biblioteki Publicznej-Książnicy Kopernikańskiej w Toruniu do nowych funkcji użytkowych</t>
  </si>
  <si>
    <t>"Droga do Nowoczesności" - modernizacja i rewitalizacja zabytków oraz wdrożenie nowej oferty kulturalnej Wojewódzkiej i Miejskiej Biblioteki Publicznej w Bydgoszczy</t>
  </si>
  <si>
    <t>Rozbudowa Muzeum Archeologicznego w Biskupinie - I etap dokumentacja</t>
  </si>
  <si>
    <t>Przebudowa budynków MZKiD we Włocławku</t>
  </si>
  <si>
    <t>Muzeum Ziemi Kujawskiej i Dobrzyńskiej we Włocławku</t>
  </si>
  <si>
    <t>Modernizacja budynku przy ul. Odrodzenia 4/6 w Toruniu - przygotowanie dokumentacji projektowej</t>
  </si>
  <si>
    <t>III. Inwestycje ujęte w Regionalnym Programie Operacyjnym Województwa Kujawsko-Pomorskiego 2014-2020</t>
  </si>
  <si>
    <t>IV. Inwestycje ujęte w Programie Fundusze Europejskie dla Kujaw i Pomorza 2021-2027</t>
  </si>
  <si>
    <t>z dnia     .06.2024 r.</t>
  </si>
  <si>
    <t>z dnia    .06.2024 r.</t>
  </si>
  <si>
    <t xml:space="preserve">Załącznik nr 6 do uchwały </t>
  </si>
  <si>
    <t>Nr     /     /24 Sejmiku Województwa</t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</si>
  <si>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</si>
  <si>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</si>
  <si>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</si>
  <si>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</si>
  <si>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</si>
  <si>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</si>
  <si>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w tym:</t>
  </si>
  <si>
    <t>Przewidywane wykonanie do końca 2023 r.</t>
  </si>
  <si>
    <t>Wydatki 2024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</si>
  <si>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</si>
  <si>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</si>
  <si>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</si>
  <si>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</si>
  <si>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</si>
  <si>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</si>
  <si>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</si>
  <si>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</si>
  <si>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</si>
  <si>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</si>
  <si>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</si>
  <si>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</si>
  <si>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</si>
  <si>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</si>
  <si>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</si>
  <si>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</si>
  <si>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</si>
  <si>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</si>
  <si>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</si>
  <si>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</si>
  <si>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</si>
  <si>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</si>
  <si>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</si>
  <si>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</si>
  <si>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</si>
  <si>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</si>
  <si>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</si>
  <si>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</si>
  <si>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Wsparcie umiędzynarodowienia kujawsko-pomorskich MŚP oraz promocja potencjału gospodarczego regionu</t>
  </si>
  <si>
    <t>2.1</t>
  </si>
  <si>
    <t>078, 101</t>
  </si>
  <si>
    <t>Infostrada Kujaw i Pomorza 2.0</t>
  </si>
  <si>
    <t>720
72095</t>
  </si>
  <si>
    <t>081</t>
  </si>
  <si>
    <t>Budowa kujawsko-pomorskiego systemu udostępniania elektronicznej dokumentacji medycznej - II etap</t>
  </si>
  <si>
    <t>2.2</t>
  </si>
  <si>
    <t>079, 101</t>
  </si>
  <si>
    <t>Kultura w zasięgu 2.0</t>
  </si>
  <si>
    <t>Wydatki realizowane i nadzorowane przez wojewódzkie jednostki organizacyjne</t>
  </si>
  <si>
    <t xml:space="preserve">Działania i projekty realizowane przez beneficjentów zewnętrznych, którym samorząd województwa przekazuje dotacje na współfinansowanie krajowe </t>
  </si>
  <si>
    <t>3.3</t>
  </si>
  <si>
    <t>013, 014</t>
  </si>
  <si>
    <t xml:space="preserve">Efektywność energetyczna w sektorze publicznym i mieszkaniowym </t>
  </si>
  <si>
    <t>900
90095</t>
  </si>
  <si>
    <t>X</t>
  </si>
  <si>
    <t>3.4</t>
  </si>
  <si>
    <t>043, 044, 090</t>
  </si>
  <si>
    <t>Zrównoważona mobilność miejska i promowanie strategii niskoemisyjnych</t>
  </si>
  <si>
    <t>900
90015</t>
  </si>
  <si>
    <t>3.5.1</t>
  </si>
  <si>
    <t>Efektywność energetyczna w sektorze publicznym i mieszkaniowym w ramach ZIT</t>
  </si>
  <si>
    <t>801
80195</t>
  </si>
  <si>
    <t>4.1.2</t>
  </si>
  <si>
    <t>088</t>
  </si>
  <si>
    <t>Wzmocnienie systemów ratownictwa chemiczno-ekologicznego i służb ratowniczych</t>
  </si>
  <si>
    <t>754
75412</t>
  </si>
  <si>
    <t>6.1.1</t>
  </si>
  <si>
    <t>053</t>
  </si>
  <si>
    <t>Inwestycje w infrastrukturę zdrowotną</t>
  </si>
  <si>
    <t xml:space="preserve">851
85111
85117
</t>
  </si>
  <si>
    <t>6.1.2</t>
  </si>
  <si>
    <t>053, 054, 055, 101</t>
  </si>
  <si>
    <t>Inwestycje w infrastrukturę społeczną</t>
  </si>
  <si>
    <t>852
85295</t>
  </si>
  <si>
    <t>6.2</t>
  </si>
  <si>
    <t>034, 054, 055, 101</t>
  </si>
  <si>
    <t>Rewitalizacja obszarów miejskich i ich obszarów funkcjonalnych</t>
  </si>
  <si>
    <t>6.3.1</t>
  </si>
  <si>
    <t>052, 080, 101</t>
  </si>
  <si>
    <t>Inwestycje w infrastrukturę przedszkolną</t>
  </si>
  <si>
    <t>801
80104</t>
  </si>
  <si>
    <t>6.3.2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</si>
  <si>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</si>
  <si>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</si>
  <si>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</si>
  <si>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</si>
  <si>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</si>
  <si>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</si>
  <si>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</si>
  <si>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</si>
  <si>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8.6.1</t>
  </si>
  <si>
    <t>107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</si>
  <si>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</si>
  <si>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</si>
  <si>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</si>
  <si>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</si>
  <si>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</si>
  <si>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9.2.1</t>
  </si>
  <si>
    <t>109</t>
  </si>
  <si>
    <t>Aktywne włączenie społeczne</t>
  </si>
  <si>
    <t>852            85295</t>
  </si>
  <si>
    <t>9.3.1</t>
  </si>
  <si>
    <t>112</t>
  </si>
  <si>
    <t>Rozwój usług zdrowotnych</t>
  </si>
  <si>
    <t>9.3.2</t>
  </si>
  <si>
    <t>Rozwój usług społecznych</t>
  </si>
  <si>
    <t>9.4.1</t>
  </si>
  <si>
    <t>113</t>
  </si>
  <si>
    <t>Rozwój podmiotów sektora ekonomii społecznej</t>
  </si>
  <si>
    <t>852            85203</t>
  </si>
  <si>
    <t>10.2.2</t>
  </si>
  <si>
    <t>115</t>
  </si>
  <si>
    <t>Kształcenie ogólne</t>
  </si>
  <si>
    <t>801 
80195</t>
  </si>
  <si>
    <t>10.2.3</t>
  </si>
  <si>
    <t>118</t>
  </si>
  <si>
    <t>Kształcenie zawodowe</t>
  </si>
  <si>
    <t>10.4.2</t>
  </si>
  <si>
    <t>Edukacja dorosłych na rzecz rynku pracy</t>
  </si>
  <si>
    <t>150 
15013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</si>
  <si>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</si>
  <si>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</si>
  <si>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</si>
  <si>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</si>
  <si>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r>
      <rPr>
        <sz val="10"/>
        <rFont val="Calibri"/>
        <family val="2"/>
        <charset val="238"/>
        <scheme val="minor"/>
      </rPr>
      <t>W załączniku nr 6 pn</t>
    </r>
    <r>
      <rPr>
        <b/>
        <sz val="10"/>
        <rFont val="Calibri"/>
        <family val="2"/>
        <charset val="238"/>
        <scheme val="minor"/>
      </rPr>
      <t xml:space="preserve">. "Projekty i działania realizowane w ramach Regionalnego Programu Operacyjnego Województwa Kujawsko-Pomorskiego 2014-2020.  Plan na 2024 rok" </t>
    </r>
    <r>
      <rPr>
        <sz val="10"/>
        <rFont val="Calibri"/>
        <family val="2"/>
        <charset val="238"/>
        <scheme val="minor"/>
      </rPr>
      <t xml:space="preserve">do uchwały Nr LXIV/898/23 Sejmiku Województwa Kujawsko-Pomorskiego z dnia 18 grudnia 2023 r. w sprawie budżetu województwa na rok 2024 (ze zm.) wprowadza się następujące zmiany: </t>
    </r>
  </si>
  <si>
    <t>Nr    /      /24 Sejmiku Województwa</t>
  </si>
  <si>
    <t xml:space="preserve">Program/ Działanie </t>
  </si>
  <si>
    <t>Nazwa Projektu</t>
  </si>
  <si>
    <t>Wydatki całkowite
 w tym:</t>
  </si>
  <si>
    <t>Przewidywane wykonanie do końca 2023 r. w tym:</t>
  </si>
  <si>
    <t>Krajowy wkład publiczny</t>
  </si>
  <si>
    <t>Inne publiczne</t>
  </si>
  <si>
    <t>01.02</t>
  </si>
  <si>
    <t>Infostrada Kujaw i Pomorza 3.0</t>
  </si>
  <si>
    <t>2023 - 2027</t>
  </si>
  <si>
    <t>Kujawsko-pomorskie e-Zdrowie 3.0</t>
  </si>
  <si>
    <t>Kultura w zasięgu 3.0</t>
  </si>
  <si>
    <t>01.03</t>
  </si>
  <si>
    <t>Kujawy + Pomorze - promocja potencjału gospodarczego regionu - edycja III</t>
  </si>
  <si>
    <t>2023 - 2026</t>
  </si>
  <si>
    <t>02.15</t>
  </si>
  <si>
    <t>Zielone znam - o zielone dbam - edukacja ekologiczna w parkach krajobrazowych</t>
  </si>
  <si>
    <t>925
92502</t>
  </si>
  <si>
    <t>2024 - 2027</t>
  </si>
  <si>
    <t>04.03</t>
  </si>
  <si>
    <t>Przebudowa wraz z rozbudową drogi wojewódzkiej Nr 254 Brzoza - Łabiszyn - Barcin - Mogilno - Wylatowo (odcinek Brzoza - Barcin). Odcinek I od km 0+069 do km 13+280</t>
  </si>
  <si>
    <t>Zarząd Dróg Wojewódzkich 
w Bydgoszczy</t>
  </si>
  <si>
    <t>600
60013</t>
  </si>
  <si>
    <t>2023 - 2024</t>
  </si>
  <si>
    <t>Przebudowa wraz z rozbudową drogi wojewódzkiej Nr 254 Brzoza - Łabiszyn - Barcin - Mogilno - Wylatowo (odcinek Brzoza - Barcin). Odcinek II od km 13+280 do km 22+400</t>
  </si>
  <si>
    <t>Rozbudowa drogi wojewódzkiej Nr 270 Brześć Kujawski - Izbica Kujawska - Koło od km 0+000 do km 29+023 - Budowa obwodnicy m. Lubraniec</t>
  </si>
  <si>
    <t>Przebudowa wraz z rozbudową drogi wojewódzkiej Nr 270 Brześć Kujawski - Izbica Kujawska - Koło od km 0+000 do km 29+023. Etap I od km 1+100 do km 7+762</t>
  </si>
  <si>
    <t>Budowa II etapu obwodnicy Mogilna</t>
  </si>
  <si>
    <t>06.08</t>
  </si>
  <si>
    <t>Przebudowa budynków oraz remont przy ul. M. Skłodowskiej-Curie 27/29 w Toruniu na potrzeby powstania Regionalnego Centrum Wsparcia  i Opieki dla osób z niepełnosprawnością</t>
  </si>
  <si>
    <t>2022 - 2024</t>
  </si>
  <si>
    <t>8.08</t>
  </si>
  <si>
    <t>Opracowanie programów profilaktycznych dot. chorób związanych z miejscem pracy oraz programów rehabilitacji medycznej</t>
  </si>
  <si>
    <t>851
85149</t>
  </si>
  <si>
    <t>08.08</t>
  </si>
  <si>
    <t>Zdrowo Zakręceni</t>
  </si>
  <si>
    <t>851
85195</t>
  </si>
  <si>
    <t>2024 - 2025</t>
  </si>
  <si>
    <t>Poprawa ergonomii pracy w Regionalnym Ośrodku Polityki Społecznej w Toruniu</t>
  </si>
  <si>
    <t>Regionalny Ośrodek Polityki Społecznej 
w Toruniu</t>
  </si>
  <si>
    <t>852
85217</t>
  </si>
  <si>
    <t>Zdrowiej w pracy i po pracy - II edycja</t>
  </si>
  <si>
    <t>Wojewódzki Urząd Pracy
w Toruniu</t>
  </si>
  <si>
    <t>853
85332</t>
  </si>
  <si>
    <t>08.11</t>
  </si>
  <si>
    <t>Dwujęzyczne przedszkolaki Kujaw i Pomorza</t>
  </si>
  <si>
    <t>Urząd Marszałkowski w Toruniu /KPCEN w Bydgoszczy</t>
  </si>
  <si>
    <t>2024 - 2026</t>
  </si>
  <si>
    <t>08.18</t>
  </si>
  <si>
    <t>Zawodowe Talenty Kujaw i Pomorza</t>
  </si>
  <si>
    <t>854
85416</t>
  </si>
  <si>
    <t>Prymus Pomorza i Kujaw II</t>
  </si>
  <si>
    <t>08.19</t>
  </si>
  <si>
    <t>Kierunek - Rozwój</t>
  </si>
  <si>
    <t>150
15013</t>
  </si>
  <si>
    <t>08.21</t>
  </si>
  <si>
    <t>Rozwój NGO siłą Kujaw i Pomorza</t>
  </si>
  <si>
    <t>853
85395</t>
  </si>
  <si>
    <t>08.23</t>
  </si>
  <si>
    <t>Kierunek - Integracja</t>
  </si>
  <si>
    <t>08.24</t>
  </si>
  <si>
    <t>Opracowanie programów profilaktycznych zapobiegających chorobom stanowiącym poważny problem w regionie</t>
  </si>
  <si>
    <t>2023 - 2025</t>
  </si>
  <si>
    <t>Kujawsko-Pomorska Teleopieka Etap I</t>
  </si>
  <si>
    <t>Regionalny Ośrodek Polityki Społecznej
 w Toruniu</t>
  </si>
  <si>
    <t>Opieka długoterminowa - kształenie kadr Etap I</t>
  </si>
  <si>
    <t>2024 - 2029</t>
  </si>
  <si>
    <t>08.25</t>
  </si>
  <si>
    <t>Wykluczenie - nie ma MOWY! 2 - etap I"</t>
  </si>
  <si>
    <t>Trampolina 4 - etap I</t>
  </si>
  <si>
    <t>Rodzina w centrum Etap I</t>
  </si>
  <si>
    <t>855
85595</t>
  </si>
  <si>
    <t>Wydatki realizowane w ramach pomocy technicznej</t>
  </si>
  <si>
    <t>10.01</t>
  </si>
  <si>
    <t>Wsparcie procesu zarządzania i wdrażania FEdKP</t>
  </si>
  <si>
    <t>750
75018</t>
  </si>
  <si>
    <t>Wsparcie procesu zarządzania i wdrażania FEdKP (ZIT Bydgoszcz)</t>
  </si>
  <si>
    <t>750
75095</t>
  </si>
  <si>
    <t>Wojewódzki Urząd Pracy 
w Toruniu</t>
  </si>
  <si>
    <t>10.02</t>
  </si>
  <si>
    <t>Skuteczna informacja i komunikacja FEdKP</t>
  </si>
  <si>
    <t>Skuteczna informacja i komunikacja FEdKP (ZIT Bydgoszcz)</t>
  </si>
  <si>
    <t xml:space="preserve">Wydatki realizowane w ramach pomocy technicznej </t>
  </si>
  <si>
    <t>Priorytet 05</t>
  </si>
  <si>
    <t xml:space="preserve">Fundusze europejskie na wzmacnianie potencjałów endogenicznych regionu </t>
  </si>
  <si>
    <t>Fundusze europejskie na wzmacnianie potencjałów endogenicznych regionu (IP ZIT)</t>
  </si>
  <si>
    <t>900
90026
90095</t>
  </si>
  <si>
    <t>Priorytet 06</t>
  </si>
  <si>
    <t>Fundusze europejskie na rzecz zwiększenia dostępności regionalnej infrastruktury dla mieszkańców</t>
  </si>
  <si>
    <t>801.80104
801.80195
852.85295</t>
  </si>
  <si>
    <t>Fundusze europejskie na rzecz zwiększenia dostępności regionalnej infrastruktury dla mieszkańców (IP ZIT)</t>
  </si>
  <si>
    <t xml:space="preserve">
801
80195
</t>
  </si>
  <si>
    <t>Priorytet 08</t>
  </si>
  <si>
    <t>Fundusze Europejskie na wsparcie w obszarze rynku pracy, edukacji i włączenia społecznego</t>
  </si>
  <si>
    <t>801.80104
801.80195
851.85195
852.85203
852.85219
852.85295
853.85395</t>
  </si>
  <si>
    <t xml:space="preserve">Fundusze Europejskie na wsparcie w obszarze rynku pracy, edukacji i włączenia społecznego </t>
  </si>
  <si>
    <t>Fundusze Europejskie na wsparcie w obszarze rynku pracy, edukacji i włączenia społecznego (IP ZIT)</t>
  </si>
  <si>
    <t>Załącznik nr 7 do uchwały</t>
  </si>
  <si>
    <r>
      <t xml:space="preserve">W załączniku nr 7 pn. </t>
    </r>
    <r>
      <rPr>
        <b/>
        <sz val="10"/>
        <rFont val="Calibri"/>
        <family val="2"/>
        <charset val="238"/>
        <scheme val="minor"/>
      </rPr>
      <t>"Projekty i działania realizowane w ramach Programu Fundusze Europejskie dla Kujaw i Pomorza 2021-2027. Plan na 2024 rok"</t>
    </r>
    <r>
      <rPr>
        <sz val="10"/>
        <rFont val="Calibri"/>
        <family val="2"/>
        <charset val="238"/>
        <scheme val="minor"/>
      </rPr>
      <t xml:space="preserve"> do uchwały LXIV/898/23 Sejmiku Województwa Kujawsko-Pomorskiego z dnia 18 grudnia 2023 r. w sprawie budżetu województwa (ze zm.) na rok 2024 wprowadza się następujące zmiany: </t>
    </r>
  </si>
  <si>
    <t xml:space="preserve">Wydatki realizowane przez wojewódzkie jednostki organizacyjne </t>
  </si>
  <si>
    <t>PPTFE</t>
  </si>
  <si>
    <t>Punkty Informacyjne Funduszy Europejskich WK-P</t>
  </si>
  <si>
    <t>Regiony Rewitalizacji Edycja 3.0</t>
  </si>
  <si>
    <t>FERS
Działanie 4.13</t>
  </si>
  <si>
    <t>Koordynacja spójnej polityki społecznej Kujaw i Pomorza</t>
  </si>
  <si>
    <t>ROPS
w Toruniu</t>
  </si>
  <si>
    <t>2023 - 2028</t>
  </si>
  <si>
    <t xml:space="preserve">PROW
Pomoc Techniczna </t>
  </si>
  <si>
    <t>Schemat I - Wzmocnienie systemu wdrażania Programu</t>
  </si>
  <si>
    <t>010
01041</t>
  </si>
  <si>
    <t>2015 - 2025</t>
  </si>
  <si>
    <t>Schemat II - Wsparcie systemu funkcjonowania krajowej sieci obszarów wiejskich oraz realizacja działań informacyjno-promocyjnych PROW 2014-2020 (działania informacyjno-promocyjne)</t>
  </si>
  <si>
    <t>2015 - 2024</t>
  </si>
  <si>
    <t>Schemat II - Wsparcie systemu funkcjonowania krajowej sieci obszarów wiejskich oraz realizacja działań informacyjno-promocyjnych PROW 2014-2020  (krajowa sieć obszarów wiejskich)</t>
  </si>
  <si>
    <t>FER
Pomoc Techniczna</t>
  </si>
  <si>
    <t>Pomoc Techniczna Programu Fundusze Europejskie  dla Rybactwa na lata 2021-2027</t>
  </si>
  <si>
    <t>050
05011</t>
  </si>
  <si>
    <t>INTERREG (Europa)</t>
  </si>
  <si>
    <t>CARES</t>
  </si>
  <si>
    <t>Urząd Marszałkowski w Toruniu/ROPS w Toruniu</t>
  </si>
  <si>
    <t>INTERREG (Europa Środkowa)</t>
  </si>
  <si>
    <t>TeBiCE</t>
  </si>
  <si>
    <t>Horyzont Europa</t>
  </si>
  <si>
    <t>DANUBE4all</t>
  </si>
  <si>
    <t>INTERREG Europa</t>
  </si>
  <si>
    <t>RIWET</t>
  </si>
  <si>
    <t>2024 - 2028</t>
  </si>
  <si>
    <t>GreenSPAS</t>
  </si>
  <si>
    <t>REliHE</t>
  </si>
  <si>
    <t>921
92195</t>
  </si>
  <si>
    <t>FISSH</t>
  </si>
  <si>
    <t>150
15095</t>
  </si>
  <si>
    <t>INTERREG Europa Środkowa</t>
  </si>
  <si>
    <t>DARKERSKY4CE</t>
  </si>
  <si>
    <t>Załącznik nr 8 do uchwały</t>
  </si>
  <si>
    <r>
      <t xml:space="preserve">W załączniku nr 8 pn. </t>
    </r>
    <r>
      <rPr>
        <b/>
        <sz val="10"/>
        <rFont val="Calibri"/>
        <family val="2"/>
        <charset val="238"/>
        <scheme val="minor"/>
      </rPr>
      <t xml:space="preserve">"Pozostałe projekty i działania realizowane ze środków zagranicznych. Plan na 2024 rok" </t>
    </r>
    <r>
      <rPr>
        <sz val="10"/>
        <rFont val="Calibri"/>
        <family val="2"/>
        <charset val="238"/>
        <scheme val="minor"/>
      </rPr>
      <t xml:space="preserve">do uchwały LXIV/898/23 Sejmiku Województwa Kujawsko-Pomorskiego z dnia 18 grudnia 2023 r. w sprawie budżetu województwa na rok 2024 (ze zm.) wprowadza się następujące zmiany: </t>
    </r>
  </si>
  <si>
    <t>Załącznik nr 9 do uchwały</t>
  </si>
  <si>
    <t xml:space="preserve">Załącznik nr 5 do uchwały </t>
  </si>
  <si>
    <t xml:space="preserve">Nr         /         /24 Sejmiku Województwa 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</si>
  <si>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2024 rok" </t>
    </r>
    <r>
      <rPr>
        <sz val="10"/>
        <rFont val="Calibri"/>
        <family val="2"/>
        <charset val="238"/>
        <scheme val="minor"/>
      </rPr>
      <t>do uchwały Nr LXIV/898/13 Sejmiku Województwa Kujawsko-Pomorskiego z dnia 18 grudnia 2023 r. w sprawie budżetu województwa na rok 2024 ( z późn.zm.), wprowadza się następujące zmiany:</t>
    </r>
  </si>
  <si>
    <t>Lp.</t>
  </si>
  <si>
    <t>Wyszczególnienie</t>
  </si>
  <si>
    <t>Dochody</t>
  </si>
  <si>
    <t>1.1</t>
  </si>
  <si>
    <t>dochody bieżące</t>
  </si>
  <si>
    <t>1.2</t>
  </si>
  <si>
    <t>dochody majątkowe</t>
  </si>
  <si>
    <t>Przychody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</si>
  <si>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</si>
  <si>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</si>
  <si>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</si>
  <si>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</si>
  <si>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</si>
  <si>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</si>
  <si>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</si>
  <si>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</si>
  <si>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</si>
  <si>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</si>
  <si>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</si>
  <si>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</si>
  <si>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</si>
  <si>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</si>
  <si>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</si>
  <si>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</si>
  <si>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</si>
  <si>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</si>
  <si>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</si>
  <si>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</si>
  <si>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</si>
  <si>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</si>
  <si>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</si>
  <si>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</si>
  <si>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</si>
  <si>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</si>
  <si>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</si>
  <si>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</si>
  <si>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</si>
  <si>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</si>
  <si>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</si>
  <si>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</si>
  <si>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</si>
  <si>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</si>
  <si>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</si>
  <si>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</si>
  <si>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</si>
  <si>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</si>
  <si>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</si>
  <si>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</si>
  <si>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</si>
  <si>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</si>
  <si>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</si>
  <si>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</si>
  <si>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</si>
  <si>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</si>
  <si>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</si>
  <si>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</si>
  <si>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</si>
  <si>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</si>
  <si>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</si>
  <si>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</si>
  <si>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</si>
  <si>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</si>
  <si>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</si>
  <si>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</si>
  <si>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                                                                                                                             </t>
  </si>
  <si>
    <t xml:space="preserve">Sejmiku Województwa z dnia    .06.2024 r.    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</si>
  <si>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</si>
  <si>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</si>
  <si>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</si>
  <si>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</si>
  <si>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</si>
  <si>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Priorytet/
Działanie</t>
  </si>
  <si>
    <t>inwestycje</t>
  </si>
  <si>
    <t>bieżące</t>
  </si>
  <si>
    <t xml:space="preserve"> I DOTACJE PRZEDMIOTOWE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</si>
  <si>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</si>
  <si>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</si>
  <si>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</si>
  <si>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</si>
  <si>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</si>
  <si>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</si>
  <si>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</si>
  <si>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 - działalność statutowa</t>
  </si>
  <si>
    <t>Opera Nova w Bydgoszczy - działalność statutowa</t>
  </si>
  <si>
    <t>Kujawsko-Pomorski Teatr Muzyczny w Toruniu - działalność statutowa</t>
  </si>
  <si>
    <t>Filharmonia Pomorska w Bydgoszczy - działalność statutowa</t>
  </si>
  <si>
    <t>Wojewódzki Ośrodek Animacji Kultury w Toruniu - działalność statutowa</t>
  </si>
  <si>
    <t>Kujawsko-Pomorskie Centrum Kultury w Bydgoszczy - działalność statutowa</t>
  </si>
  <si>
    <t>Kujawsko-Pomorskie Centrum Dziedzictwa w Toruniu - działalność statutowa</t>
  </si>
  <si>
    <t>Kujawsko-Pomorskie Centrum Edukacji i Innowacji w Toruniu - działalność statutowa</t>
  </si>
  <si>
    <t>Ośrodek Chopinowski w Szafarni - działalność statutowa, w tym finansowana:</t>
  </si>
  <si>
    <t xml:space="preserve"> - ze środków własnych Województwa</t>
  </si>
  <si>
    <t xml:space="preserve"> - ze środków Gminy Radomin</t>
  </si>
  <si>
    <t>Pałac Lubostroń w Lubostroniu - działalność statutowa</t>
  </si>
  <si>
    <t>Galeria Sztuki "Wozownia" w Toruniu - działalność statutowa</t>
  </si>
  <si>
    <t>Galeria i Ośrodek Plastycznej Twórczości Dziecka w Torunia - działalność statutowa</t>
  </si>
  <si>
    <t>92113</t>
  </si>
  <si>
    <t>Centrum Sztuki Współczesnej "Znaki Czasu" - działalność statutowa</t>
  </si>
  <si>
    <t>Wojewódzka i Miejska Biblioteka Publiczna w Bydgoszczy - działalność statutowa, w tym finansowana:</t>
  </si>
  <si>
    <t xml:space="preserve"> - ze środków Miasta Bydgoszczy</t>
  </si>
  <si>
    <t>Wojewódzka Biblioteka Publiczna - Książnica Kopernikańska w Toruniu - działalność statutowa, w tym finansowana:</t>
  </si>
  <si>
    <t xml:space="preserve"> - ze środków Miasta Torunia</t>
  </si>
  <si>
    <t>Muzeum Etnograficzne w Toruniu - działalność statutowa</t>
  </si>
  <si>
    <t>Muzeum Ziemi Kujawskiej i Dobrzyńskiej we Włocławku - działalność statutowa</t>
  </si>
  <si>
    <t>Muzeum Archeologiczne w Biskupinie - działalność statutowa</t>
  </si>
  <si>
    <t xml:space="preserve"> III DOTACJE CELOWE</t>
  </si>
  <si>
    <t xml:space="preserve"> Na zadania realizowane w ramach Regionalnego Programu Operacyjnego WK-P 2014-2020</t>
  </si>
  <si>
    <t>80104</t>
  </si>
  <si>
    <t>85149</t>
  </si>
  <si>
    <t>Regionalne programy polityki zdrowotnej i profilaktyczne</t>
  </si>
  <si>
    <t>Wsparcie na rzecz wydłużenia aktywności zawodowej mieszkańców</t>
  </si>
  <si>
    <t>85203</t>
  </si>
  <si>
    <t>85295</t>
  </si>
  <si>
    <t>90095</t>
  </si>
  <si>
    <t>Efektywność energetyczna w sektorze publicznym i mieszkaniowym</t>
  </si>
  <si>
    <t xml:space="preserve"> Na zadania realizowane w ramach Programu Fundusze Europejskie dla Kujaw i Pomorza 2021-2027</t>
  </si>
  <si>
    <t>1.02</t>
  </si>
  <si>
    <t>Kujawsko-Pomorskie e-Zdrowie 3.0</t>
  </si>
  <si>
    <t>10.1</t>
  </si>
  <si>
    <t>Działanie FEKP.10.01 Wsparcie procesu zarządzania i wdrażania FEDKP</t>
  </si>
  <si>
    <t>10.2</t>
  </si>
  <si>
    <t>Działanie FEKP.10.02 Skuteczna informacja i komunikacja FEDKP</t>
  </si>
  <si>
    <t>06</t>
  </si>
  <si>
    <t>Priorytet FEKP.06 Fundusze europejskie na rzecz zwiększenia dostępności regionalnej infrastruktury dla mieszkańców</t>
  </si>
  <si>
    <t>08</t>
  </si>
  <si>
    <t>Priorytet FEKP.08 Fundusze europejskie na wsparcie w obszarze rynku pracy, edukacji i włączenia społecznego</t>
  </si>
  <si>
    <t>8.11</t>
  </si>
  <si>
    <t>Priorytet FEKP.06 Fundusze europejskie na rzecz zwiększenia dostępności regionalnej infrastruktury dla mieszkańców (IP ZIT)</t>
  </si>
  <si>
    <t>Priorytet FEKP.08 Fundusze europejskie na wsparcie w obszarze rynku pracy, edukacji i włączenia społecznego (IP ZIT)</t>
  </si>
  <si>
    <t>8.24</t>
  </si>
  <si>
    <t>Opieka długoterminowa - kształcenie kadr Etap I</t>
  </si>
  <si>
    <t>8.25</t>
  </si>
  <si>
    <t>Wykluczenie - nie ma MOWy!2 - etap I</t>
  </si>
  <si>
    <r>
      <rPr>
        <b/>
        <sz val="10"/>
        <color rgb="FF000000"/>
        <rFont val="Calibri"/>
        <family val="2"/>
        <charset val="238"/>
        <scheme val="minor"/>
      </rPr>
      <t>Zmiana nazwy z:</t>
    </r>
    <r>
      <rPr>
        <sz val="10"/>
        <color indexed="8"/>
        <rFont val="Calibri"/>
        <family val="2"/>
        <charset val="238"/>
        <scheme val="minor"/>
      </rPr>
      <t xml:space="preserve">
Priorytet FEKP.08 Fundusze europejskie na wsparcie w obszarze rynku pracy, edukacji i włączenia społecznego
</t>
    </r>
    <r>
      <rPr>
        <b/>
        <sz val="10"/>
        <color rgb="FF000000"/>
        <rFont val="Calibri"/>
        <family val="2"/>
        <charset val="238"/>
        <scheme val="minor"/>
      </rPr>
      <t>na:</t>
    </r>
    <r>
      <rPr>
        <sz val="10"/>
        <color indexed="8"/>
        <rFont val="Calibri"/>
        <family val="2"/>
        <charset val="238"/>
        <scheme val="minor"/>
      </rPr>
      <t xml:space="preserve">
Priorytet FEKP.08 Fundusze europejskie na wsparcie w obszarze rynku pracy, edukacji i włączenia społecznego (IP WUP)</t>
    </r>
  </si>
  <si>
    <t>8.21</t>
  </si>
  <si>
    <t>85595</t>
  </si>
  <si>
    <t>90026</t>
  </si>
  <si>
    <t>05</t>
  </si>
  <si>
    <t>Priorytet FEKP.05 Fundusze europejskie na wzmocnienie potencjałów endogenicznych regionu (IP ZIT)</t>
  </si>
  <si>
    <t>Priorytet FEKP.05 Fundusze europejskie na wzmacnianie potencjałów endogenicznych regionu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</si>
  <si>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</si>
  <si>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</si>
  <si>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</si>
  <si>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</si>
  <si>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r>
      <t xml:space="preserve">Poprawa kondycji i warunków sanitarnych rodzin pszczelich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</si>
  <si>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</si>
  <si>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</si>
  <si>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</si>
  <si>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rPr>
        <sz val="10"/>
        <color indexed="8"/>
        <rFont val="Calibri"/>
        <family val="2"/>
        <charset val="238"/>
        <scheme val="minor"/>
      </rPr>
      <t>Rozbudowa drogi wojewódzkiej nr 534 od miejscowości Ostrowite do skrzyżowania z ul. Kościuszki w Rypinie polegająca na budowie ścieżki pieszo-rowerowej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</si>
  <si>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</si>
  <si>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rPr>
        <b/>
        <sz val="10"/>
        <color rgb="FF000000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Przebudowa dróg powiatowych w powiecie chełmińskim o długości 10,600 km - </t>
    </r>
    <r>
      <rPr>
        <b/>
        <i/>
        <sz val="10"/>
        <color rgb="FF000000"/>
        <rFont val="Calibri"/>
        <family val="2"/>
        <charset val="238"/>
        <scheme val="minor"/>
      </rPr>
      <t>wsparcie finansowe (IW)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b/>
        <sz val="10"/>
        <color rgb="FF000000"/>
        <rFont val="Calibri"/>
        <family val="2"/>
        <charset val="238"/>
        <scheme val="minor"/>
      </rPr>
      <t>na: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>Przebudowa dróg powiatowych w powiecie chełmińskim o długości 11,664 km</t>
    </r>
    <r>
      <rPr>
        <i/>
        <sz val="10"/>
        <color rgb="FF000000"/>
        <rFont val="Calibri"/>
        <family val="2"/>
        <charset val="238"/>
        <scheme val="minor"/>
      </rPr>
      <t xml:space="preserve"> - </t>
    </r>
    <r>
      <rPr>
        <b/>
        <i/>
        <sz val="10"/>
        <color rgb="FF000000"/>
        <rFont val="Calibri"/>
        <family val="2"/>
        <charset val="238"/>
        <scheme val="minor"/>
      </rPr>
      <t>wsparcie finansowe (IW)</t>
    </r>
  </si>
  <si>
    <r>
      <t xml:space="preserve">Remont drogi powiatowej nr 1280C Plewno-Różanna oraz drogi powiatowej nr 1281C Bukowiec-Gruczno na terenie powiatu świeckiego - </t>
    </r>
    <r>
      <rPr>
        <b/>
        <i/>
        <sz val="10"/>
        <color indexed="8"/>
        <rFont val="Calibri"/>
        <family val="2"/>
        <charset val="238"/>
        <scheme val="minor"/>
      </rPr>
      <t xml:space="preserve">wsparcie finansowe 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</si>
  <si>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</si>
  <si>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</si>
  <si>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</si>
  <si>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 xml:space="preserve">Zadania w zakresie turystyki i krajoznawstwa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</si>
  <si>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Laboratorium myśli św. Jana Pawła II</t>
  </si>
  <si>
    <t>Centrum Badania Historii "Solidarności" i Oporu Społecznego w PRL</t>
  </si>
  <si>
    <r>
      <t xml:space="preserve">Działalność na rzecz organizacji pozarządowych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</si>
  <si>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</si>
  <si>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Budowa instalacji fotowoltaicznej na dachach obiektów Centrum Onkologii w Bydgoszczy
</t>
    </r>
    <r>
      <rPr>
        <i/>
        <sz val="10"/>
        <color indexed="8"/>
        <rFont val="Calibri"/>
        <family val="2"/>
        <charset val="238"/>
        <scheme val="minor"/>
      </rPr>
      <t>Centrum Onkologii w Bydgoszczy</t>
    </r>
  </si>
  <si>
    <r>
      <t xml:space="preserve">Dostosowanie Oddziału Hematologii do transplantologii szpiku kostnego
</t>
    </r>
    <r>
      <rPr>
        <i/>
        <sz val="10"/>
        <color indexed="8"/>
        <rFont val="Calibri"/>
        <family val="2"/>
        <charset val="238"/>
        <scheme val="minor"/>
      </rPr>
      <t>Wojewódzki Szpital Zespolony im. Ludwika Rydygiera w Toruniu</t>
    </r>
  </si>
  <si>
    <r>
      <t xml:space="preserve">Podniesienie jakości usług zdrowotnych oraz zwiększenie dostępu do usług medycznych w Wojewódzkim Szpitalu Specjalistycznym we Włocławku - Modernizacja Poradni Położniczo-Ginekologicznej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</si>
  <si>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Zakup sprzętu i aparatury medycznej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</si>
  <si>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Modernizacja szpitala w Szubinie - pion szubińskiego Nowego Szpitala w Nakle i w Szubinie - Oddział Chorób Wewnętrznych - </t>
    </r>
    <r>
      <rPr>
        <b/>
        <i/>
        <sz val="10"/>
        <color rgb="FF000000"/>
        <rFont val="Calibri"/>
        <family val="2"/>
        <charset val="238"/>
        <scheme val="minor"/>
      </rPr>
      <t>wsparcie finansowe</t>
    </r>
  </si>
  <si>
    <r>
      <t xml:space="preserve">Adaptacja pomieszczenia na potrzeby utworzenia pracowni tomografii komputerowej
</t>
    </r>
    <r>
      <rPr>
        <i/>
        <sz val="10"/>
        <color rgb="FF000000"/>
        <rFont val="Calibri"/>
        <family val="2"/>
        <charset val="238"/>
        <scheme val="minor"/>
      </rPr>
      <t xml:space="preserve">Wojewódzki Szpital dla Nerwowo i Psychicznie Chorych im. dr. J. Bednarza w Świeciu </t>
    </r>
  </si>
  <si>
    <t>Województwo Promujące Zdrowie</t>
  </si>
  <si>
    <t>Program polityki zdrowotnej z zakresu wsparcia leczenia niepłodności metodą zapłodnienia pozaustrojowego dla mieszkańców województwa kujawsko-pomorskiego</t>
  </si>
  <si>
    <t>85153</t>
  </si>
  <si>
    <r>
      <t xml:space="preserve">Przeciwdziałanie narkomanii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</si>
  <si>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Przeciwdziałanie alkoholizmowi i innym uzależnieniom</t>
  </si>
  <si>
    <r>
      <t>Aktywizacja środowisk wiejskich w zakresie rozwiązywania problemów alkoholowych i narkomanii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</si>
  <si>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Rozwiązywanie problemów alkoholowych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</si>
  <si>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</si>
  <si>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Remont pokrycia dachowego w budynku górnym OOC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</si>
  <si>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Rozbudowa WOTUiW w Toruniu - dokumentacja techniczna OOC </t>
    </r>
    <r>
      <rPr>
        <b/>
        <i/>
        <sz val="10"/>
        <color rgb="FF000000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</si>
  <si>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>Dokumentacja techniczna OKTU - rozbudowa WOTUiW w Toruniu</t>
    </r>
    <r>
      <rPr>
        <b/>
        <i/>
        <sz val="10"/>
        <color rgb="FF000000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</si>
  <si>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Zakup i montaż altany i wiaty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</si>
  <si>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Ochrona i promocja zdrowia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</si>
  <si>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Projekt Cares (Interreg Europa)</t>
  </si>
  <si>
    <t>85205</t>
  </si>
  <si>
    <t xml:space="preserve">Wojewódzki program przeciwdziałania przemocy w rodzinie dla województwa kujawsko-pomorskiego do roku 2026 </t>
  </si>
  <si>
    <r>
      <t xml:space="preserve">Przeciwdziałanie przemocy domowej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</si>
  <si>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</si>
  <si>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</si>
  <si>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</si>
  <si>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</si>
  <si>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 xml:space="preserve">Budowanie niezależności i włączenia społecznego osób z niepełnosprawnościami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</si>
  <si>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85415</t>
  </si>
  <si>
    <t xml:space="preserve">Stypendia dla uczniów </t>
  </si>
  <si>
    <t>85509</t>
  </si>
  <si>
    <r>
      <t xml:space="preserve">Wspieranie działań z zakresu opieki adopcyjno-wychowawczej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</si>
  <si>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aktywizacji i integracji społecznej seniorów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</si>
  <si>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Wsparcie działań z zakresu opieki nad osobami przewlekle chorymi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</si>
  <si>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rodzin w wypełnianiu funkcji rodzicielskich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</si>
  <si>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zajęć rozwojowych dla dzieci i młodzieży zagrożonych wykluczeniem społecznym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</si>
  <si>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prac wychowawczych z dziećmi i młodzieżą realizowanych przez organizacje młodzieżowe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</si>
  <si>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</si>
  <si>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</si>
  <si>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</si>
  <si>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</si>
  <si>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</si>
  <si>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</si>
  <si>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Zadanie remontowe- Remont agregatu wody lodowej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</si>
  <si>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Modernizacja systemu oświetlenia Sceny na Zapleczu oraz zakup urządzeń oświetleniowych wraz z zakupem maszyny do mgły do Dużej Sceny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</si>
  <si>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Dostosowanie zabytkowego budynku Teatru im. Wilama Horzycy do wymagań ochrony przeciwpożarowej - wykonanie dokumentacji projektowej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</si>
  <si>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</si>
  <si>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</si>
  <si>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Kujawsko-Pomorski Teatr Muzyczny w Toruniu</t>
    </r>
  </si>
  <si>
    <r>
      <t xml:space="preserve">Inwestycje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</si>
  <si>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rPr>
        <sz val="10"/>
        <color rgb="FF000000"/>
        <rFont val="Calibri"/>
        <family val="2"/>
        <charset val="238"/>
        <scheme val="minor"/>
      </rPr>
      <t>Ogólnopolski Przegląd Dyplomów i Egzaminów Muzycznych Wyższych Szkół Artystycznych "PRZYGRYWKA"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</si>
  <si>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</si>
  <si>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Kompleksowe wykonanie klimatyzacji w pomieszczeniach WOAK-u w Młynie Kultury
</t>
    </r>
    <r>
      <rPr>
        <i/>
        <sz val="10"/>
        <color indexed="8"/>
        <rFont val="Calibri"/>
        <family val="2"/>
        <charset val="238"/>
        <scheme val="minor"/>
      </rPr>
      <t>Wojewódzki Ośrodek Animacji i Kultury w Toruniu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</si>
  <si>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</si>
  <si>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Przygotowanie dokumentacji projektowo-kosztorysowej modernizacji budynku przy ul. Czerwona Droga 8 w Toruniu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</si>
  <si>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Zakupy inwestycyjne do domu Heleny Grossówny w celu utworzenia miejsca popularyzacji wiedzy artystycznej i o artystach regionu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</si>
  <si>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"Muzeum Ziemiaństwa im. Rodziny Sczanieckich" w Nawrze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</si>
  <si>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Młyn Energii - dostosowanie obiektu Młyna Górnego w Grudziądzu do funkcji kulturalno-edukacyjnych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</si>
  <si>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Przeprowadzenie badań geologicznych gruntu pod przyszły oddział Instytucji w Inowrocławiu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</si>
  <si>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Budowa jachtu morskiego dla Kujaw i Pomorza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</si>
  <si>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Opracowanie koncepcji i programu prac konserwatorskich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</si>
  <si>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</si>
  <si>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Stworzenie nowej strony internetowej Ośrodka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</si>
  <si>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Budowa przydomowej oczyszczalni ścieków na potrzeby Ośrodka Chopinowskiego w Szafarni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</si>
  <si>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Zadanie remontowe - Remont elewacji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</si>
  <si>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Uporządkowanie gospodarki wodno-Ściekowej i energetycznej w zespole pałacowo-parkowym w Lubostroniu -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Pałac Lubostroń w Lubostroniu</t>
    </r>
  </si>
  <si>
    <t>Zakup wyposażenia
Pałac Lubostroń w Lubostroniu</t>
  </si>
  <si>
    <r>
      <t xml:space="preserve">Zakup nowego systemu oświetlenia i klimatyzacji do siedziby Galerii przy Rynku Nowomiejskim 17 w Toruniu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</si>
  <si>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</si>
  <si>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 systemu oświetlenia i klimatyzacji do budynku Galerii przy ul. Rabiańskiej 20 w Toruniu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</si>
  <si>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</si>
  <si>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</si>
  <si>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Przygotowanie dokumentacji konserwatorskiej Biblioteki Bernardynów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</si>
  <si>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"Będzie dziś święto wasze" - w hołdzie cichym bohaterom Bydgoszczy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</si>
  <si>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"Droga do Nowoczesności" - modernizacja i rewitalizacja zabytków oraz wdrożenie nowej oferty kulturalnej Wojewódzkiej i Miejskiej Biblioteki Publicznej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</si>
  <si>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Rozbudowa i dostosowanie budynku Wojewódzkiej Biblioteki Publicznej - Książnicy Kopernikańskiej w Toruniu do nowych funkcji użytkowych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</si>
  <si>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</si>
  <si>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</si>
  <si>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Zapewnienie dostępności osobom ze szczególnymi potrzebami w obiektach Książnicy Kopernikańskiej - Książnica dostępna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</si>
  <si>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Kwartalnik Artystyczny, Kujawy i Pomorze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</si>
  <si>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</si>
  <si>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</si>
  <si>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Przebudowa budynków MZKiD we Włocławku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</si>
  <si>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Rekonstrukcja i konserwacja zabytkowej młocarni do ekspozycji w skansenie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</si>
  <si>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Budowa zagrody dla koni w skansenie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</si>
  <si>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Poprawa zabezpieczeń elektronicznych zbiorów muzeum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</si>
  <si>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</si>
  <si>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Rozbudowa Muzeum Archeologicznego w Biskupinie - I etap dokumentacja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</si>
  <si>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</si>
  <si>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przewiertu i przyłącza wodociągowego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</si>
  <si>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instalacji sygnalizacji pożaru dla budynku administracji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</si>
  <si>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t>92120</t>
  </si>
  <si>
    <t>Ochrona i zachowanie materialnego dziedzictwa kulturowego regionu</t>
  </si>
  <si>
    <r>
      <t xml:space="preserve">Zadania w zakresie kultury, sztuki, ochrony dóbr kultury i dziedzictwa narodowego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</si>
  <si>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Upowszechnianie kultury</t>
  </si>
  <si>
    <t>Zadania w zakresie kultury - wkłady własne</t>
  </si>
  <si>
    <r>
      <t>"Park kulturowy Wietrzychowice" w Wietrzychowicach i Gaju - wsparcie działań gminy Izbica Kujawska -</t>
    </r>
    <r>
      <rPr>
        <b/>
        <i/>
        <sz val="10"/>
        <color indexed="8"/>
        <rFont val="Calibri"/>
        <family val="2"/>
        <charset val="238"/>
        <scheme val="minor"/>
      </rPr>
      <t xml:space="preserve"> pomoc finansowa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</si>
  <si>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</si>
  <si>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Międzynarodowy Festiwal Teatralny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</si>
  <si>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Wymarzona książka dla każdego na osiedlu Jachcice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</si>
  <si>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Od maluszka do staruszka na osiedlu Czyżkówko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</si>
  <si>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Czytam, słucham, wypożyczam na osiedlu Szwederowo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</si>
  <si>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Bydgoszcz czyta bez końca - trzecia edycja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</si>
  <si>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Nowoczesna strefa kultury - biblioteka na osiedlu Szwederowo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</si>
  <si>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</si>
  <si>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</si>
  <si>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Zadania w zakresie upowszechniania kultury fizycznej i sportu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</si>
  <si>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Programy Sportu Powszechnego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</si>
  <si>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Szkolenie dzieci i młodzieży w klubach sportowych</t>
  </si>
  <si>
    <t>Stypendia sportowe</t>
  </si>
  <si>
    <t>Kujawy Pomorze Team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</si>
  <si>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</si>
  <si>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</si>
  <si>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</si>
  <si>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</si>
  <si>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</si>
  <si>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</si>
  <si>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</si>
  <si>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</si>
  <si>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Sejmiku Województwa z dnia    .06.2024 r.          </t>
  </si>
  <si>
    <t xml:space="preserve">                                                                                                </t>
  </si>
  <si>
    <r>
      <t xml:space="preserve">W załączniku nr 13 </t>
    </r>
    <r>
      <rPr>
        <b/>
        <sz val="10"/>
        <rFont val="Calibri"/>
        <family val="2"/>
        <charset val="238"/>
        <scheme val="minor"/>
      </rPr>
      <t>"Dochody i wydatki na zadania wykonywane na mocy porozumień z organami administracji rządowej. Plan na 2024 rok"</t>
    </r>
    <r>
      <rPr>
        <sz val="10"/>
        <rFont val="Calibri"/>
        <family val="2"/>
        <charset val="238"/>
        <scheme val="minor"/>
      </rPr>
      <t>do uchwały LXIV/898/23 Sejmiku Województwa Kujawsko-Pomorskiego z dnia 18 grudnia 2023 r. w sprawie budżetu województwa na rok 2024 (z późn. zm.), wprowadza się następujące zmiany:</t>
    </r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</si>
  <si>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</si>
  <si>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</si>
  <si>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</si>
  <si>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</si>
  <si>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</si>
  <si>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</si>
  <si>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</si>
  <si>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</si>
  <si>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Fundusze Europejskie dla Rybactwa na lata 2021-2027</t>
  </si>
  <si>
    <t>Minister Funduszy i Polityki Regionalnej</t>
  </si>
  <si>
    <t xml:space="preserve">Punkty Informacyjne Funduszy Europejskich Województwa Kujawsko-Pomorskiego </t>
  </si>
  <si>
    <t>Wspieranie doradztwa metodycznego</t>
  </si>
  <si>
    <t>a - plan przed zmianą</t>
  </si>
  <si>
    <t>b - zmiana</t>
  </si>
  <si>
    <t>c - 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</si>
  <si>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</si>
  <si>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</si>
  <si>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 .06.2024 r.          </t>
  </si>
  <si>
    <r>
      <t xml:space="preserve">W załączniku nr 14 </t>
    </r>
    <r>
      <rPr>
        <b/>
        <sz val="10"/>
        <rFont val="Calibri"/>
        <family val="2"/>
        <charset val="238"/>
        <scheme val="minor"/>
      </rPr>
      <t>"Dochody i wydatki na zadania realizowane w drodze umów i porozumień między jednostkami samorządu terytorialnego. Plan na 2024 rok"</t>
    </r>
    <r>
      <rPr>
        <sz val="10"/>
        <rFont val="Calibri"/>
        <family val="2"/>
        <charset val="238"/>
        <scheme val="minor"/>
      </rPr>
      <t xml:space="preserve"> do uchwały LXIV/898/23 Sejmiku Województwa Kujawsko-Pomorskiego z dnia 18 grudnia 2023 r. w sprawie budżetu województwa na rok 2024 (z późn. zm.), wprowadza się następujące zmiany:</t>
    </r>
  </si>
  <si>
    <t>Dochody od JST</t>
  </si>
  <si>
    <t>Jednostka Samorządu Terytorialnego</t>
  </si>
  <si>
    <t>Województwo Mazowieckie</t>
  </si>
  <si>
    <t>Powiat Toruński
Miasto Toruń
Gmina Lubicz
Gmina Obrowo
Gmina Czernikowo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</si>
  <si>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</si>
  <si>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</si>
  <si>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</si>
  <si>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Powiat Rypiński
Gmina Miasta Rypin
Gmina Rypin</t>
  </si>
  <si>
    <t>Gmina Lubraniec</t>
  </si>
  <si>
    <t>Roboty dodatkowe i uzupełniające związane z realizacją inwestycji drogowych w ramach FEdKP</t>
  </si>
  <si>
    <t>Gmina Zławieś Wielka</t>
  </si>
  <si>
    <t>Odnowa nawierzchni DW 546 na odcinku Rzęczkowo-Łążyn od km 4+770 do km 7+676 dł. 2,906 km (modernizacja dróg)</t>
  </si>
  <si>
    <t>Gmina Barcin</t>
  </si>
  <si>
    <t>Przebudowa wraz z rozbudową drogi wojewódzkiej nr 254 Brzoza-Łabiszyn-Barcin-Mogilno-Wylatowo (odcinek Brzoza-Barcin). Odcinek II od km 13+280 do km 22+400 (wykup gruntu)</t>
  </si>
  <si>
    <t>Gmina Miasto Radziejów</t>
  </si>
  <si>
    <t>Rozbudowa drogi wojewódzkiej nr 266 ul. Szybka w Radziejowie od km 44+340 do km 45+730 o budowę ścieżki pieszo-rowerowej (wykup gruntu)</t>
  </si>
  <si>
    <t>Gmina Zakrzewo</t>
  </si>
  <si>
    <t>Budowa ścieżki pieszo-rowerowej w miejscowości Siniarzewo (wykup gruntu)</t>
  </si>
  <si>
    <t>Budowa ścieżki pieszo-rowerowej Seroczki - Zakrzewo (wykup gruntu)</t>
  </si>
  <si>
    <t>Gmina Koronowo</t>
  </si>
  <si>
    <t>Rozbudowa drogi wojewódzkiej nr 244 w miejscowości Wtelno (wykup gruntu)</t>
  </si>
  <si>
    <t>Gmina Ciechocin</t>
  </si>
  <si>
    <t>Budowa ścieżki rowerowej w miejscowości Elgiszewo - etap I (wykup gruntu)</t>
  </si>
  <si>
    <t>Budowa chodnika przy drodze wojewódzkiej nr 569 w miejscowości Małszyce (wykup gruntu)</t>
  </si>
  <si>
    <t>Gmina Gostycyn</t>
  </si>
  <si>
    <t>Rozbudowa drogi wojewódzkiej nr 237 polegająca na budowie ścieżki pieszo-rowerowej przy ul. Tucholskiej oraz skrzyżowania o ruchu okrężnym z ul. Pilską w Gostycynie na odcinku od km 35+500 do km 36+451 (wykup gruntu)</t>
  </si>
  <si>
    <t>Gmina Łabiszyn
Gmina Nowa Wieś Wielka</t>
  </si>
  <si>
    <t>Przebudowa wraz z rozbudową drogi wojewódzkiej nr 254 Brzoza-Łabiszyn-Barcin-Mogilno-Wylatowo (odcinek Brzoza-Barcin). Odcinek I od km 0+069 do km 13+280 (wykup gruntu)</t>
  </si>
  <si>
    <t>Opracowanie dokumentacji projektowej dla rozbudowy drogi wojewódzkiej nr 244 Kamieniec-Strzelce Dolne m. Żołędowo ul. Jastrzębia od km 30+068 do km 33+342, dł. 3,274 km</t>
  </si>
  <si>
    <r>
      <t>Przebudowa wraz z rozbudową drogi wojewódzkiej Nr 254 Brzoza-Łabiszyn-Barcin-Mogilno-Wylatowo (odcinek Brzoza-Barcin). Odcinek I od km 0+069 do km 13+280 -</t>
    </r>
    <r>
      <rPr>
        <b/>
        <i/>
        <sz val="10"/>
        <rFont val="Calibri"/>
        <family val="2"/>
        <charset val="238"/>
        <scheme val="minor"/>
      </rPr>
      <t xml:space="preserve"> FEdKP, Dz.4.03</t>
    </r>
  </si>
  <si>
    <r>
      <t xml:space="preserve">Przebudowa wraz z rozbudową drogi wojewódzkiej Nr 254 Brzoza-Łabiszyn-Barcin-Mogilno-Wylatowo (odcinek Brzoza-Barcin). Odcinek II od km 13+280 do km 22+400 - </t>
    </r>
    <r>
      <rPr>
        <b/>
        <sz val="10"/>
        <rFont val="Calibri"/>
        <family val="2"/>
        <charset val="238"/>
        <scheme val="minor"/>
      </rPr>
      <t xml:space="preserve"> FEdKP, Dz.4.03</t>
    </r>
  </si>
  <si>
    <t>Powiat Toruński
Miasto Chełmża
Gmina Chełmża</t>
  </si>
  <si>
    <t>Powiat Chełmiński
Gmina Lisewo</t>
  </si>
  <si>
    <t>Powiat Toruński
Gmina Łysomice</t>
  </si>
  <si>
    <t>Powiat Grudziądzki
Miasto i Gmina Radzyń Chełmiński</t>
  </si>
  <si>
    <t>Powiat Sępoleński
Gmina Sępólno Krajeńskie</t>
  </si>
  <si>
    <t>Powiat Brodnicki
Gmina Miasto Brodnica
Gmina Brodnica</t>
  </si>
  <si>
    <t>Powiat Golubsko-Dobrzyński
Gmina Miasto Golub-Dobrzyń
Gmina Golub-Dobrzyń</t>
  </si>
  <si>
    <t>Miasto Rypin</t>
  </si>
  <si>
    <t>Odnowa nawierzchni DW 534 ul. Kościuszki w m. Rypin (Modernizacja dróg kluczowych Regionalnego planu transportowego województwa kujawsko-pomorskiego na lata 2021-2027)</t>
  </si>
  <si>
    <r>
      <rPr>
        <b/>
        <sz val="10"/>
        <rFont val="Calibri"/>
        <family val="2"/>
        <charset val="238"/>
        <scheme val="minor"/>
      </rPr>
      <t>Zmiana z:</t>
    </r>
    <r>
      <rPr>
        <sz val="10"/>
        <rFont val="Calibri"/>
        <family val="2"/>
        <charset val="238"/>
        <scheme val="minor"/>
      </rPr>
      <t xml:space="preserve">
Powiat Toruński
Powiat Grudziądzki
Gmina Miasto Chełmża
Gmina Chełmża
Gmina Łysomice
Gmina Radzyń Chełmiński
</t>
    </r>
    <r>
      <rPr>
        <b/>
        <sz val="10"/>
        <rFont val="Calibri"/>
        <family val="2"/>
        <charset val="238"/>
        <scheme val="minor"/>
      </rPr>
      <t xml:space="preserve">na:
</t>
    </r>
    <r>
      <rPr>
        <sz val="10"/>
        <rFont val="Calibri"/>
        <family val="2"/>
        <charset val="238"/>
        <scheme val="minor"/>
      </rPr>
      <t>Gmina Barcin</t>
    </r>
  </si>
  <si>
    <t>Gminy
Powiaty</t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</si>
  <si>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</si>
  <si>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</si>
  <si>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</si>
  <si>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</si>
  <si>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</si>
  <si>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</si>
  <si>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</si>
  <si>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</si>
  <si>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</si>
  <si>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</si>
  <si>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</si>
  <si>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"Będzie dziś święto wasze" - w hołdzie cichym bohaterom Bydgoszczy
Wojewódzka i Miejska Biblioteka Publiczna w Bydgoszczy</t>
  </si>
  <si>
    <t>Miasto Toruń</t>
  </si>
  <si>
    <t>Dofinansowanie działalności statutowej Wojewódzkiej Biblioteki Publicznej - Książnicy Kopernikańskiej w Toruniu</t>
  </si>
  <si>
    <t>Międzynarodowy Festiwal Teatralny "KONTAKT"
Teatr im. W. Horzycy w Toruniu</t>
  </si>
  <si>
    <t>Wymarzona książka dla każdego na osiedlu Jachcice (Program BBO)
Wojewódzka i Miejska Biblioteka Publiczna w Bydgoszczy</t>
  </si>
  <si>
    <t>Od maluszka do staruszka na osiedlu Czyżkówko (Program BBO)
Wojewódzka i Miejska Biblioteka Publiczna w Bydgoszczy</t>
  </si>
  <si>
    <t>Czytam, słucham, wypożyczam na osiedlu Szwederowo (Program BBO)
Wojewódzka i Miejska Biblioteka Publiczna w Bydgoszczy</t>
  </si>
  <si>
    <t>Bydgoszcz czyta bez końca - trzecia edycja (Program BBO)
Wojewódzka i Miejska Biblioteka Publiczna w Bydgoszczy</t>
  </si>
  <si>
    <t>Nowoczesna strefa kultury - biblioteka na osiedlu Szwederowo (Program BBO)
Wojewódzka i Miejska Biblioteka Publiczna w Bydgoszczy</t>
  </si>
  <si>
    <t>Załącznik nr 10 do uchwały Nr  /    /24</t>
  </si>
  <si>
    <r>
      <t>W załączniku nr 10</t>
    </r>
    <r>
      <rPr>
        <b/>
        <sz val="10"/>
        <rFont val="Calibri"/>
        <family val="2"/>
        <charset val="238"/>
        <scheme val="minor"/>
      </rPr>
      <t xml:space="preserve"> "Dotacje udzielane z budżetu Województwa Kujawsko - Pomorskiego. Plan na 2024 rok"</t>
    </r>
    <r>
      <rPr>
        <sz val="10"/>
        <rFont val="Calibri"/>
        <family val="2"/>
        <charset val="238"/>
        <scheme val="minor"/>
      </rPr>
      <t xml:space="preserve"> do uchwały Nr LXIV/898/23 Sejmiku Województwa Kujawsko-Pomorskiego z dnia 18 grudnia 2023 r. w sprawie budżetu województwa na rok 2024 (z późn. zm.), wprowadza się następujące zmiany:</t>
    </r>
  </si>
  <si>
    <t xml:space="preserve">Nr /      /24 Sejmiku Województwa </t>
  </si>
  <si>
    <r>
      <t xml:space="preserve">W załączniku nr 11 </t>
    </r>
    <r>
      <rPr>
        <b/>
        <sz val="10"/>
        <rFont val="Calibri"/>
        <family val="2"/>
        <charset val="238"/>
        <scheme val="minor"/>
      </rPr>
      <t>"Dochody i wydatki na zadania związane ze szczególnymi zasadami wykonywania budżetu wynikające z odrębnych ustaw. Plan na 2024 rok"</t>
    </r>
    <r>
      <rPr>
        <sz val="10"/>
        <rFont val="Calibri"/>
        <family val="2"/>
        <charset val="238"/>
        <scheme val="minor"/>
      </rPr>
      <t xml:space="preserve"> do uchwały Nr LXIV/898/23 Sejmiku Województwa Kujawsko-Pomorskiego z dnia 18 grudnia 2023 r. w sprawie budżetu województwa na rok 2024 (z późn. zm.), wprowadza się następujące zmiany: </t>
    </r>
  </si>
  <si>
    <t>rozdział/
paragraf</t>
  </si>
  <si>
    <t xml:space="preserve">Wyszczególnienie </t>
  </si>
  <si>
    <t xml:space="preserve">Plan  
na 2024 r. </t>
  </si>
  <si>
    <t>Zwiększenia</t>
  </si>
  <si>
    <t xml:space="preserve">Zmniejszenia </t>
  </si>
  <si>
    <t>Plan 
po zmianie</t>
  </si>
  <si>
    <t>ustawa z dnia 3 lutego 1995 r. o ochronie gruntów rolnych i leśnych</t>
  </si>
  <si>
    <t>Opłaty związane z wyłączeniem z produkcji gruntów rolnych</t>
  </si>
  <si>
    <t>0910</t>
  </si>
  <si>
    <t>Wpływy z odsetek od nieterminowych wpłat z tytułu podatków i opłat</t>
  </si>
  <si>
    <t>Koszty postępowania sądowego i prokuratorskiego</t>
  </si>
  <si>
    <t>Szkolenia pracowników niebędących członkami korpusu służby cywilnej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</si>
  <si>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</si>
  <si>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</si>
  <si>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ustawa z dnia 16 grudnia 2005 r. o Funduszu Kolejowym</t>
  </si>
  <si>
    <t>Środki z Funduszu Kolejowego</t>
  </si>
  <si>
    <t>ustawa z dnia 23 października 2018 r. o Rządowym Funduszu Rozwoju Dróg</t>
  </si>
  <si>
    <t>Środki z Rządowego Funduszu Rozwoju Dróg</t>
  </si>
  <si>
    <t>Przygotowanie i realizacja zadań w ramach Rządowego Funduszu Rozwoju Dróg (przebudowa dróg wojewódzkich o znaczeniu obronnym)</t>
  </si>
  <si>
    <t>ustawa z dnia 31 marca 2020 r. o zmianie ustawy o szczególnych rozwiązaniach związanych z zapobieganiem, przeciwdziałaniem i zwalczaniem COVID-19, innych chorób zakaźnych oraz wywołanych nimi sytuacji kryzysowych oraz niektórych innych ustaw</t>
  </si>
  <si>
    <t>Środki z Rządowego Funduszu Polski Ład: Program Inwestycji Strategicznych</t>
  </si>
  <si>
    <t xml:space="preserve">ustawa z dnia 26 października 1982 r. o wychowaniu w trzeźwości i przeciwdziałaniu alkoholizmowi </t>
  </si>
  <si>
    <t>Wpływy z opłat za zezwolenia na sprzedaż alkoholu</t>
  </si>
  <si>
    <t>0480</t>
  </si>
  <si>
    <t>Wpływy z opłat za zezwolenia na sprzedaż napojów alkoholowych</t>
  </si>
  <si>
    <t>Przeciwdziałanie narkomanii</t>
  </si>
  <si>
    <t>GRANTY-Przeciwdziałanie narkomanii w woj. kujawsko-pomorskim</t>
  </si>
  <si>
    <t>GRANTY-Aktywizacja środowisk wiejskich w zakresie rozwiazywania problemów alkoholowych, narkomanii i uzależnień</t>
  </si>
  <si>
    <t>GRANTY-Rozwiązywanie problemów alkoholowych w woj. kujawsko-pomorskim</t>
  </si>
  <si>
    <t>WOTUiW w Toruniu - Podniesienie funkcjonalności WOTUiW w Toruniu</t>
  </si>
  <si>
    <t>WOTUiW w Toruniu - Remont pokrycia dachowego w budynku górnym OOC</t>
  </si>
  <si>
    <t>WOTUiW w Toruniu - Zakup i montaż altany i wiaty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</si>
  <si>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</si>
  <si>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</si>
  <si>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</si>
  <si>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</si>
  <si>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</si>
  <si>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</si>
  <si>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</si>
  <si>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Odpis od opłaty produktowej wynikającej z ustawy o gospodarce opakowaniami i odpadami opakowaniowymi (opłata produktowa za opakowania)</t>
  </si>
  <si>
    <t>0400</t>
  </si>
  <si>
    <t>Wpływy z opłaty produktowej</t>
  </si>
  <si>
    <t>Realizacja ustawy o gospodarce opakowaniami i odpadami opakowaniowymi (opłata produktowa za opakowania)</t>
  </si>
  <si>
    <t>Odpis od opłaty recyklingowej od nabywającego torbę na zakupy z tworzywa sztucznego</t>
  </si>
  <si>
    <t>0240</t>
  </si>
  <si>
    <t>Wpływy z opłaty recyklingowej</t>
  </si>
  <si>
    <t>Obsługa opłaty recyklingowej od nabywającego torbę na zakupy z tworzywa sztucznego</t>
  </si>
  <si>
    <t xml:space="preserve">ustawa z dnia 11 maja 2001 r. o obowiązkach przedsiębiorcy w zakresie gospodarowania niektórymi odpadami oraz o opłacie produktowej </t>
  </si>
  <si>
    <t>Odpis od opłaty produktowej wynikające z ustawy o obowiązkach przedsiębiorców w zakresie gospodarowania niektórymi odpadami oraz o opłacie produktowej (opłata produktowa za oleje i opony)</t>
  </si>
  <si>
    <t>Realizacja ustawy o obowiązkach przedsiębiorców w zakresie gospodarowania niektórymi odpadami oraz o opłacie produktowej (opłata produktowa za oleje i opony)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</si>
  <si>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</si>
  <si>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</si>
  <si>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</si>
  <si>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</si>
  <si>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</si>
  <si>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</si>
  <si>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</si>
  <si>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</si>
  <si>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</si>
  <si>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</si>
  <si>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Odpis od wpływów z opłat rejestrowych i opłat rocznych</t>
  </si>
  <si>
    <t>Obsługa opłaty rejestrowej i opłaty rocznej</t>
  </si>
  <si>
    <t>ustawa z dnia 12 marca 2022 r. o pomocy obywatelom Ukrainy w związku z konfliktem zbrojnym na terytorium tego państwa</t>
  </si>
  <si>
    <t>Środki z Funduszu Pomocy</t>
  </si>
  <si>
    <t>2100</t>
  </si>
  <si>
    <t>Fundusz Pomocy (dotacje dla przewoźników kolejowych za utracone przychody)</t>
  </si>
  <si>
    <t>Dotacja celowa dla jednostki spoza sektora finansów publicznych na finansowanie lub dofinansowanie zadań bieżących związanych z pomocą obywatelom Ukrainy</t>
  </si>
  <si>
    <t xml:space="preserve">Fundusz Pomocy </t>
  </si>
  <si>
    <t xml:space="preserve">Środki z Funduszu Pomocy </t>
  </si>
  <si>
    <t>Wynagrodzenia nauczycieli wypłacane w związku z pomocą obywatelom Ukrainy</t>
  </si>
  <si>
    <t>Fundusz Pomocy (wyposażenie szkół w podręczniki, materiały edukacyjne lub materiały ćwiczeniowe dla uczniów będących obywatelami Ukrainy w roku szkolnym 2023/2024)</t>
  </si>
  <si>
    <t xml:space="preserve">ustawa z dnia 6 grudnia 2006 r. o zasadach prowadzenia polityki rozwoju  </t>
  </si>
  <si>
    <t>Zbudowanie systemu koordynacji i monitorowania regionalnych działań na rzecz kształcenia zawodowego, szkolnictwa wyższego oraz uczenia się przez całe życie, w tym uczenia się dorosłych</t>
  </si>
  <si>
    <t>Opłaty za administrowanie i czynsze za budynki, lokale i pomieszczenia
garażowe</t>
  </si>
  <si>
    <t>Ogółem:</t>
  </si>
  <si>
    <t>Załącznik nr 11 do uchwały</t>
  </si>
  <si>
    <t xml:space="preserve">z dnia  .06.2024 r. </t>
  </si>
  <si>
    <t xml:space="preserve">                                                                              Załącznik nr 12 do uchwały Nr   /   /24</t>
  </si>
  <si>
    <t>Załącznik nr 13 do uchwały Nr  /   /24</t>
  </si>
  <si>
    <t xml:space="preserve">Nr       /        /24 Sejmiku Województwa </t>
  </si>
  <si>
    <r>
      <t>W załączniku nr 15</t>
    </r>
    <r>
      <rPr>
        <b/>
        <sz val="10"/>
        <rFont val="Calibri"/>
        <family val="2"/>
        <charset val="238"/>
        <scheme val="minor"/>
      </rPr>
      <t xml:space="preserve"> "Dochody gromadzone na wydzielonych rachunkach oraz wydatki nimi finansowane. Plan na 2024 rok"</t>
    </r>
    <r>
      <rPr>
        <sz val="10"/>
        <rFont val="Calibri"/>
        <family val="2"/>
        <charset val="238"/>
        <scheme val="minor"/>
      </rPr>
      <t xml:space="preserve"> do uchwały Nr LXIV/898/23 Sejmiku Województwa Kujawsko-Pomorskiego z dnia 18 grudnia 2023 r. w sprawie budżetu województwa na rok 2024 (z późn. zm.), wprowadza się następujące zmiany:</t>
    </r>
  </si>
  <si>
    <t>Jednostka</t>
  </si>
  <si>
    <t>Stan środków pieniężnych na początek okresu</t>
  </si>
  <si>
    <t>Stan środków pieniężnych na koniec 
okresu</t>
  </si>
  <si>
    <t xml:space="preserve">Biblioteka Pedagogiczna im. gen. bryg. prof. Elżbiety Zawackiej w Toruniu </t>
  </si>
  <si>
    <t>Kujawsko-Pomorskie Centrum Edukacji Nauczycieli w Toruniu</t>
  </si>
  <si>
    <t>Kujawsko-Pomorskie Centrum Edukacji Nauczycieli we Włocławku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</si>
  <si>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</si>
  <si>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</si>
  <si>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</si>
  <si>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</si>
  <si>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</si>
  <si>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</si>
  <si>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</si>
  <si>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</si>
  <si>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</si>
  <si>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</si>
  <si>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</si>
  <si>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</si>
  <si>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a - plan na 2024 r.</t>
  </si>
  <si>
    <t>b - zmiany</t>
  </si>
  <si>
    <t>Załącznik nr 14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</si>
</sst>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7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2" fillId="0" borderId="0"/>
    <xf numFmtId="0" fontId="30" fillId="0" borderId="0"/>
    <xf numFmtId="0" fontId="10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43" fillId="0" borderId="0"/>
    <xf numFmtId="0" fontId="10" fillId="0" borderId="0"/>
    <xf numFmtId="0" fontId="43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0" fillId="0" borderId="0"/>
    <xf numFmtId="9" fontId="9" fillId="0" borderId="0" applyFont="0" applyFill="0" applyBorder="0" applyAlignment="0" applyProtection="0"/>
    <xf numFmtId="0" fontId="1" fillId="0" borderId="0"/>
    <xf numFmtId="0" fontId="12" fillId="0" borderId="0"/>
    <xf numFmtId="0" fontId="35" fillId="0" borderId="0"/>
    <xf numFmtId="0" fontId="10" fillId="0" borderId="0"/>
    <xf numFmtId="0" fontId="10" fillId="0" borderId="0"/>
  </cellStyleXfs>
  <cellXfs count="1264">
    <xf numFmtId="0" fontId="0" fillId="0" borderId="0" xfId="0"/>
    <xf numFmtId="49" fontId="17" fillId="0" borderId="0" xfId="10" applyNumberFormat="1" applyFont="1" applyAlignment="1">
      <alignment horizontal="center" vertical="center"/>
    </xf>
    <xf numFmtId="49" fontId="18" fillId="0" borderId="0" xfId="10" applyNumberFormat="1" applyFont="1" applyAlignment="1">
      <alignment horizontal="center" vertical="center" wrapText="1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8" fillId="0" borderId="0" xfId="10" applyFont="1" applyAlignment="1">
      <alignment horizontal="center" vertical="center"/>
    </xf>
    <xf numFmtId="2" fontId="18" fillId="0" borderId="0" xfId="10" applyNumberFormat="1" applyFont="1" applyAlignment="1">
      <alignment horizontal="center" vertical="center"/>
    </xf>
    <xf numFmtId="2" fontId="17" fillId="0" borderId="0" xfId="10" applyNumberFormat="1" applyFont="1" applyAlignment="1">
      <alignment horizontal="center" vertical="center" wrapText="1"/>
    </xf>
    <xf numFmtId="2" fontId="18" fillId="0" borderId="3" xfId="10" applyNumberFormat="1" applyFont="1" applyBorder="1" applyAlignment="1">
      <alignment horizontal="center" vertical="center" wrapText="1"/>
    </xf>
    <xf numFmtId="2" fontId="18" fillId="0" borderId="4" xfId="10" applyNumberFormat="1" applyFont="1" applyBorder="1" applyAlignment="1">
      <alignment horizontal="center" vertical="center" wrapText="1"/>
    </xf>
    <xf numFmtId="49" fontId="20" fillId="0" borderId="5" xfId="10" applyNumberFormat="1" applyFont="1" applyBorder="1" applyAlignment="1">
      <alignment horizontal="center" vertical="center" wrapText="1"/>
    </xf>
    <xf numFmtId="49" fontId="19" fillId="0" borderId="3" xfId="10" applyNumberFormat="1" applyFont="1" applyBorder="1" applyAlignment="1">
      <alignment horizontal="center" vertical="center" wrapText="1"/>
    </xf>
    <xf numFmtId="49" fontId="19" fillId="0" borderId="5" xfId="10" applyNumberFormat="1" applyFont="1" applyBorder="1" applyAlignment="1">
      <alignment horizontal="center" vertical="center" wrapText="1"/>
    </xf>
    <xf numFmtId="49" fontId="19" fillId="0" borderId="4" xfId="10" applyNumberFormat="1" applyFont="1" applyBorder="1" applyAlignment="1">
      <alignment horizontal="center" vertical="center" wrapText="1"/>
    </xf>
    <xf numFmtId="49" fontId="19" fillId="0" borderId="0" xfId="10" applyNumberFormat="1" applyFont="1" applyAlignment="1">
      <alignment horizontal="center" vertical="center" wrapText="1"/>
    </xf>
    <xf numFmtId="49" fontId="21" fillId="0" borderId="6" xfId="10" applyNumberFormat="1" applyFont="1" applyBorder="1" applyAlignment="1">
      <alignment horizontal="center" vertical="center" wrapText="1"/>
    </xf>
    <xf numFmtId="49" fontId="22" fillId="0" borderId="6" xfId="10" applyNumberFormat="1" applyFont="1" applyBorder="1" applyAlignment="1">
      <alignment horizontal="center" vertical="center" wrapText="1"/>
    </xf>
    <xf numFmtId="49" fontId="19" fillId="0" borderId="6" xfId="10" applyNumberFormat="1" applyFont="1" applyBorder="1" applyAlignment="1">
      <alignment horizontal="center" vertical="center" wrapText="1"/>
    </xf>
    <xf numFmtId="49" fontId="19" fillId="0" borderId="7" xfId="10" applyNumberFormat="1" applyFont="1" applyBorder="1" applyAlignment="1">
      <alignment horizontal="center" vertical="center" wrapText="1"/>
    </xf>
    <xf numFmtId="3" fontId="18" fillId="0" borderId="0" xfId="10" applyNumberFormat="1" applyFont="1" applyAlignment="1">
      <alignment vertical="center" wrapText="1"/>
    </xf>
    <xf numFmtId="4" fontId="18" fillId="0" borderId="0" xfId="10" applyNumberFormat="1" applyFont="1" applyAlignment="1">
      <alignment vertical="center" wrapText="1"/>
    </xf>
    <xf numFmtId="3" fontId="18" fillId="0" borderId="0" xfId="10" applyNumberFormat="1" applyFont="1" applyAlignment="1">
      <alignment horizontal="center" vertical="center" wrapText="1"/>
    </xf>
    <xf numFmtId="4" fontId="18" fillId="0" borderId="0" xfId="10" applyNumberFormat="1" applyFont="1" applyAlignment="1">
      <alignment horizontal="center" vertical="center" wrapText="1"/>
    </xf>
    <xf numFmtId="3" fontId="18" fillId="0" borderId="3" xfId="10" applyNumberFormat="1" applyFont="1" applyBorder="1" applyAlignment="1">
      <alignment horizontal="center" vertical="center" wrapText="1"/>
    </xf>
    <xf numFmtId="3" fontId="18" fillId="0" borderId="10" xfId="10" applyNumberFormat="1" applyFont="1" applyBorder="1" applyAlignment="1">
      <alignment horizontal="left" vertical="center" wrapText="1"/>
    </xf>
    <xf numFmtId="3" fontId="18" fillId="0" borderId="6" xfId="10" applyNumberFormat="1" applyFont="1" applyBorder="1" applyAlignment="1">
      <alignment horizontal="left" vertical="center" wrapText="1"/>
    </xf>
    <xf numFmtId="4" fontId="17" fillId="0" borderId="0" xfId="10" applyNumberFormat="1" applyFont="1" applyAlignment="1">
      <alignment vertical="center"/>
    </xf>
    <xf numFmtId="49" fontId="18" fillId="0" borderId="10" xfId="10" applyNumberFormat="1" applyFont="1" applyBorder="1" applyAlignment="1">
      <alignment horizontal="left" vertical="center" wrapText="1"/>
    </xf>
    <xf numFmtId="49" fontId="18" fillId="0" borderId="10" xfId="10" applyNumberFormat="1" applyFont="1" applyBorder="1" applyAlignment="1">
      <alignment vertical="center"/>
    </xf>
    <xf numFmtId="49" fontId="18" fillId="0" borderId="6" xfId="10" applyNumberFormat="1" applyFont="1" applyBorder="1" applyAlignment="1">
      <alignment horizontal="center" vertical="center"/>
    </xf>
    <xf numFmtId="49" fontId="18" fillId="0" borderId="10" xfId="10" applyNumberFormat="1" applyFont="1" applyBorder="1" applyAlignment="1">
      <alignment horizontal="center" vertical="center"/>
    </xf>
    <xf numFmtId="49" fontId="18" fillId="0" borderId="6" xfId="10" applyNumberFormat="1" applyFont="1" applyBorder="1" applyAlignment="1">
      <alignment horizontal="left" vertical="center" wrapText="1"/>
    </xf>
    <xf numFmtId="3" fontId="24" fillId="0" borderId="0" xfId="10" applyNumberFormat="1" applyFont="1" applyAlignment="1">
      <alignment horizontal="center" vertical="center" wrapText="1"/>
    </xf>
    <xf numFmtId="49" fontId="18" fillId="0" borderId="5" xfId="10" applyNumberFormat="1" applyFont="1" applyBorder="1" applyAlignment="1">
      <alignment horizontal="center" vertical="center"/>
    </xf>
    <xf numFmtId="49" fontId="25" fillId="0" borderId="0" xfId="10" applyNumberFormat="1" applyFont="1" applyAlignment="1">
      <alignment horizontal="center" vertical="center"/>
    </xf>
    <xf numFmtId="49" fontId="18" fillId="0" borderId="0" xfId="10" applyNumberFormat="1" applyFont="1" applyAlignment="1">
      <alignment horizontal="right" vertical="center"/>
    </xf>
    <xf numFmtId="49" fontId="18" fillId="0" borderId="0" xfId="10" applyNumberFormat="1" applyFont="1" applyAlignment="1">
      <alignment horizontal="left" vertical="center"/>
    </xf>
    <xf numFmtId="49" fontId="18" fillId="0" borderId="0" xfId="10" applyNumberFormat="1" applyFont="1" applyAlignment="1">
      <alignment horizontal="center" vertical="center"/>
    </xf>
    <xf numFmtId="0" fontId="17" fillId="2" borderId="0" xfId="10" applyFont="1" applyFill="1" applyAlignment="1">
      <alignment vertical="center"/>
    </xf>
    <xf numFmtId="49" fontId="2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3" fontId="27" fillId="0" borderId="0" xfId="0" applyNumberFormat="1" applyFont="1"/>
    <xf numFmtId="49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wrapText="1"/>
    </xf>
    <xf numFmtId="3" fontId="28" fillId="0" borderId="3" xfId="0" applyNumberFormat="1" applyFont="1" applyBorder="1" applyAlignment="1">
      <alignment horizontal="center" wrapText="1"/>
    </xf>
    <xf numFmtId="49" fontId="26" fillId="0" borderId="3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49" fontId="19" fillId="0" borderId="14" xfId="10" applyNumberFormat="1" applyFont="1" applyBorder="1" applyAlignment="1">
      <alignment horizontal="center" vertical="center" wrapText="1"/>
    </xf>
    <xf numFmtId="49" fontId="18" fillId="0" borderId="5" xfId="10" applyNumberFormat="1" applyFont="1" applyBorder="1" applyAlignment="1">
      <alignment horizontal="center" vertical="center" wrapText="1"/>
    </xf>
    <xf numFmtId="49" fontId="18" fillId="0" borderId="14" xfId="10" applyNumberFormat="1" applyFont="1" applyBorder="1" applyAlignment="1">
      <alignment horizontal="center" vertical="center" wrapText="1"/>
    </xf>
    <xf numFmtId="49" fontId="18" fillId="0" borderId="5" xfId="10" applyNumberFormat="1" applyFont="1" applyBorder="1" applyAlignment="1">
      <alignment vertical="center"/>
    </xf>
    <xf numFmtId="49" fontId="18" fillId="0" borderId="14" xfId="10" applyNumberFormat="1" applyFont="1" applyBorder="1" applyAlignment="1">
      <alignment horizontal="center" vertical="center"/>
    </xf>
    <xf numFmtId="49" fontId="17" fillId="0" borderId="1" xfId="10" applyNumberFormat="1" applyFont="1" applyBorder="1" applyAlignment="1">
      <alignment horizontal="center" vertical="center" wrapText="1"/>
    </xf>
    <xf numFmtId="49" fontId="25" fillId="0" borderId="0" xfId="10" applyNumberFormat="1" applyFont="1" applyAlignment="1">
      <alignment horizontal="right" vertical="center"/>
    </xf>
    <xf numFmtId="0" fontId="25" fillId="0" borderId="0" xfId="10" applyFont="1" applyAlignment="1">
      <alignment vertical="center"/>
    </xf>
    <xf numFmtId="4" fontId="25" fillId="0" borderId="0" xfId="10" applyNumberFormat="1" applyFont="1" applyAlignment="1">
      <alignment vertical="center"/>
    </xf>
    <xf numFmtId="3" fontId="23" fillId="3" borderId="4" xfId="10" applyNumberFormat="1" applyFont="1" applyFill="1" applyBorder="1" applyAlignment="1">
      <alignment horizontal="center" vertical="center" wrapText="1"/>
    </xf>
    <xf numFmtId="49" fontId="25" fillId="3" borderId="3" xfId="10" applyNumberFormat="1" applyFont="1" applyFill="1" applyBorder="1" applyAlignment="1">
      <alignment horizontal="center" vertical="center"/>
    </xf>
    <xf numFmtId="3" fontId="23" fillId="3" borderId="3" xfId="10" applyNumberFormat="1" applyFont="1" applyFill="1" applyBorder="1" applyAlignment="1">
      <alignment horizontal="center" vertical="center" wrapText="1"/>
    </xf>
    <xf numFmtId="3" fontId="17" fillId="0" borderId="0" xfId="10" applyNumberFormat="1" applyFont="1" applyAlignment="1">
      <alignment vertical="center"/>
    </xf>
    <xf numFmtId="4" fontId="17" fillId="3" borderId="15" xfId="10" applyNumberFormat="1" applyFont="1" applyFill="1" applyBorder="1" applyAlignment="1">
      <alignment horizontal="right" vertical="center" wrapText="1"/>
    </xf>
    <xf numFmtId="4" fontId="17" fillId="3" borderId="3" xfId="10" applyNumberFormat="1" applyFont="1" applyFill="1" applyBorder="1" applyAlignment="1">
      <alignment horizontal="right" vertical="center" wrapText="1"/>
    </xf>
    <xf numFmtId="4" fontId="17" fillId="0" borderId="0" xfId="10" applyNumberFormat="1" applyFont="1" applyAlignment="1">
      <alignment vertical="center" wrapText="1"/>
    </xf>
    <xf numFmtId="4" fontId="24" fillId="0" borderId="0" xfId="10" applyNumberFormat="1" applyFont="1" applyAlignment="1">
      <alignment vertical="center" wrapText="1"/>
    </xf>
    <xf numFmtId="4" fontId="17" fillId="0" borderId="0" xfId="10" applyNumberFormat="1" applyFont="1" applyAlignment="1">
      <alignment horizontal="right" vertical="center" wrapText="1"/>
    </xf>
    <xf numFmtId="4" fontId="17" fillId="0" borderId="8" xfId="10" applyNumberFormat="1" applyFont="1" applyBorder="1" applyAlignment="1">
      <alignment horizontal="right" vertical="center" wrapText="1"/>
    </xf>
    <xf numFmtId="4" fontId="17" fillId="0" borderId="9" xfId="10" applyNumberFormat="1" applyFont="1" applyBorder="1" applyAlignment="1">
      <alignment horizontal="right" vertical="center" wrapText="1"/>
    </xf>
    <xf numFmtId="4" fontId="17" fillId="0" borderId="3" xfId="10" applyNumberFormat="1" applyFont="1" applyBorder="1" applyAlignment="1">
      <alignment horizontal="right" vertical="center" wrapText="1"/>
    </xf>
    <xf numFmtId="4" fontId="18" fillId="0" borderId="3" xfId="10" applyNumberFormat="1" applyFont="1" applyBorder="1" applyAlignment="1">
      <alignment horizontal="right" vertical="center" wrapText="1"/>
    </xf>
    <xf numFmtId="4" fontId="18" fillId="0" borderId="5" xfId="10" applyNumberFormat="1" applyFont="1" applyBorder="1" applyAlignment="1">
      <alignment horizontal="right" vertical="center" wrapText="1"/>
    </xf>
    <xf numFmtId="4" fontId="18" fillId="0" borderId="10" xfId="10" applyNumberFormat="1" applyFont="1" applyBorder="1" applyAlignment="1">
      <alignment horizontal="right" vertical="center" wrapText="1"/>
    </xf>
    <xf numFmtId="4" fontId="18" fillId="0" borderId="4" xfId="10" applyNumberFormat="1" applyFont="1" applyBorder="1" applyAlignment="1">
      <alignment horizontal="right" vertical="center" wrapText="1"/>
    </xf>
    <xf numFmtId="4" fontId="18" fillId="0" borderId="11" xfId="10" applyNumberFormat="1" applyFont="1" applyBorder="1" applyAlignment="1">
      <alignment horizontal="right" vertical="center" wrapText="1"/>
    </xf>
    <xf numFmtId="4" fontId="18" fillId="0" borderId="12" xfId="10" applyNumberFormat="1" applyFont="1" applyBorder="1" applyAlignment="1">
      <alignment horizontal="right" vertical="center" wrapText="1"/>
    </xf>
    <xf numFmtId="4" fontId="18" fillId="0" borderId="13" xfId="10" applyNumberFormat="1" applyFont="1" applyBorder="1" applyAlignment="1">
      <alignment horizontal="right" vertical="center" wrapText="1"/>
    </xf>
    <xf numFmtId="4" fontId="18" fillId="0" borderId="2" xfId="10" applyNumberFormat="1" applyFont="1" applyBorder="1" applyAlignment="1">
      <alignment horizontal="right" vertical="center" wrapText="1"/>
    </xf>
    <xf numFmtId="4" fontId="17" fillId="0" borderId="10" xfId="10" applyNumberFormat="1" applyFont="1" applyBorder="1" applyAlignment="1">
      <alignment horizontal="right" vertical="center" wrapText="1"/>
    </xf>
    <xf numFmtId="4" fontId="18" fillId="0" borderId="3" xfId="10" applyNumberFormat="1" applyFont="1" applyBorder="1" applyAlignment="1">
      <alignment vertical="center"/>
    </xf>
    <xf numFmtId="4" fontId="18" fillId="0" borderId="10" xfId="10" applyNumberFormat="1" applyFont="1" applyBorder="1" applyAlignment="1">
      <alignment vertical="center"/>
    </xf>
    <xf numFmtId="4" fontId="18" fillId="0" borderId="4" xfId="10" applyNumberFormat="1" applyFont="1" applyBorder="1" applyAlignment="1">
      <alignment vertical="center"/>
    </xf>
    <xf numFmtId="4" fontId="17" fillId="0" borderId="8" xfId="10" applyNumberFormat="1" applyFont="1" applyBorder="1" applyAlignment="1">
      <alignment vertical="center"/>
    </xf>
    <xf numFmtId="4" fontId="18" fillId="0" borderId="10" xfId="10" applyNumberFormat="1" applyFont="1" applyBorder="1" applyAlignment="1">
      <alignment horizontal="center" vertical="center"/>
    </xf>
    <xf numFmtId="4" fontId="18" fillId="0" borderId="3" xfId="10" applyNumberFormat="1" applyFont="1" applyBorder="1" applyAlignment="1">
      <alignment horizontal="center" vertical="center"/>
    </xf>
    <xf numFmtId="4" fontId="18" fillId="0" borderId="5" xfId="10" applyNumberFormat="1" applyFont="1" applyBorder="1" applyAlignment="1">
      <alignment vertical="center"/>
    </xf>
    <xf numFmtId="4" fontId="17" fillId="3" borderId="7" xfId="10" applyNumberFormat="1" applyFont="1" applyFill="1" applyBorder="1" applyAlignment="1">
      <alignment horizontal="right" vertical="center" wrapText="1"/>
    </xf>
    <xf numFmtId="4" fontId="18" fillId="0" borderId="0" xfId="10" applyNumberFormat="1" applyFont="1" applyAlignment="1">
      <alignment vertical="center"/>
    </xf>
    <xf numFmtId="4" fontId="18" fillId="0" borderId="8" xfId="10" applyNumberFormat="1" applyFont="1" applyBorder="1" applyAlignment="1">
      <alignment vertical="center"/>
    </xf>
    <xf numFmtId="4" fontId="18" fillId="0" borderId="7" xfId="10" applyNumberFormat="1" applyFont="1" applyBorder="1" applyAlignment="1">
      <alignment vertical="center"/>
    </xf>
    <xf numFmtId="4" fontId="18" fillId="0" borderId="14" xfId="10" applyNumberFormat="1" applyFont="1" applyBorder="1" applyAlignment="1">
      <alignment vertical="center"/>
    </xf>
    <xf numFmtId="4" fontId="18" fillId="0" borderId="6" xfId="10" applyNumberFormat="1" applyFont="1" applyBorder="1" applyAlignment="1">
      <alignment vertical="center"/>
    </xf>
    <xf numFmtId="4" fontId="18" fillId="0" borderId="15" xfId="10" applyNumberFormat="1" applyFont="1" applyBorder="1" applyAlignment="1">
      <alignment vertical="center"/>
    </xf>
    <xf numFmtId="4" fontId="17" fillId="0" borderId="6" xfId="10" applyNumberFormat="1" applyFont="1" applyBorder="1" applyAlignment="1">
      <alignment horizontal="right" vertical="center" wrapText="1"/>
    </xf>
    <xf numFmtId="4" fontId="23" fillId="3" borderId="3" xfId="10" applyNumberFormat="1" applyFont="1" applyFill="1" applyBorder="1" applyAlignment="1">
      <alignment vertical="center"/>
    </xf>
    <xf numFmtId="4" fontId="23" fillId="3" borderId="5" xfId="10" applyNumberFormat="1" applyFont="1" applyFill="1" applyBorder="1" applyAlignment="1">
      <alignment vertical="center"/>
    </xf>
    <xf numFmtId="4" fontId="23" fillId="0" borderId="0" xfId="10" applyNumberFormat="1" applyFont="1" applyAlignment="1">
      <alignment vertical="center"/>
    </xf>
    <xf numFmtId="4" fontId="27" fillId="0" borderId="0" xfId="0" applyNumberFormat="1" applyFont="1" applyAlignment="1">
      <alignment vertical="top" wrapText="1"/>
    </xf>
    <xf numFmtId="4" fontId="27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2" fontId="26" fillId="0" borderId="3" xfId="0" applyNumberFormat="1" applyFont="1" applyBorder="1" applyAlignment="1">
      <alignment vertical="top" wrapText="1"/>
    </xf>
    <xf numFmtId="4" fontId="26" fillId="0" borderId="3" xfId="0" applyNumberFormat="1" applyFont="1" applyBorder="1" applyAlignment="1">
      <alignment vertical="top" wrapText="1"/>
    </xf>
    <xf numFmtId="4" fontId="26" fillId="0" borderId="3" xfId="0" applyNumberFormat="1" applyFont="1" applyBorder="1" applyAlignment="1">
      <alignment horizontal="right" vertical="top" wrapText="1"/>
    </xf>
    <xf numFmtId="0" fontId="34" fillId="0" borderId="3" xfId="18" applyFont="1" applyBorder="1" applyAlignment="1">
      <alignment vertical="top" wrapText="1"/>
    </xf>
    <xf numFmtId="0" fontId="33" fillId="0" borderId="7" xfId="19" applyFont="1" applyBorder="1" applyAlignment="1">
      <alignment horizontal="center" vertical="top"/>
    </xf>
    <xf numFmtId="49" fontId="33" fillId="0" borderId="7" xfId="19" applyNumberFormat="1" applyFont="1" applyBorder="1" applyAlignment="1">
      <alignment horizontal="center" vertical="top"/>
    </xf>
    <xf numFmtId="4" fontId="33" fillId="0" borderId="7" xfId="19" applyNumberFormat="1" applyFont="1" applyBorder="1" applyAlignment="1">
      <alignment vertical="top"/>
    </xf>
    <xf numFmtId="0" fontId="33" fillId="0" borderId="8" xfId="19" applyFont="1" applyBorder="1" applyAlignment="1">
      <alignment horizontal="center" vertical="top"/>
    </xf>
    <xf numFmtId="49" fontId="33" fillId="0" borderId="8" xfId="19" applyNumberFormat="1" applyFont="1" applyBorder="1" applyAlignment="1">
      <alignment horizontal="center" vertical="top"/>
    </xf>
    <xf numFmtId="4" fontId="33" fillId="0" borderId="8" xfId="19" applyNumberFormat="1" applyFont="1" applyBorder="1" applyAlignment="1">
      <alignment vertical="top"/>
    </xf>
    <xf numFmtId="0" fontId="33" fillId="0" borderId="11" xfId="19" applyFont="1" applyBorder="1" applyAlignment="1">
      <alignment horizontal="center" vertical="top"/>
    </xf>
    <xf numFmtId="49" fontId="33" fillId="0" borderId="11" xfId="19" applyNumberFormat="1" applyFont="1" applyBorder="1" applyAlignment="1">
      <alignment horizontal="center" vertical="top"/>
    </xf>
    <xf numFmtId="4" fontId="33" fillId="0" borderId="11" xfId="19" applyNumberFormat="1" applyFont="1" applyBorder="1" applyAlignment="1">
      <alignment vertical="top"/>
    </xf>
    <xf numFmtId="0" fontId="34" fillId="0" borderId="8" xfId="19" applyFont="1" applyBorder="1" applyAlignment="1">
      <alignment horizontal="center" vertical="top"/>
    </xf>
    <xf numFmtId="49" fontId="34" fillId="0" borderId="8" xfId="19" applyNumberFormat="1" applyFont="1" applyBorder="1" applyAlignment="1">
      <alignment horizontal="center" vertical="top"/>
    </xf>
    <xf numFmtId="4" fontId="34" fillId="0" borderId="8" xfId="19" applyNumberFormat="1" applyFont="1" applyBorder="1" applyAlignment="1">
      <alignment vertical="top"/>
    </xf>
    <xf numFmtId="0" fontId="34" fillId="0" borderId="3" xfId="19" applyFont="1" applyBorder="1" applyAlignment="1">
      <alignment horizontal="center" vertical="top"/>
    </xf>
    <xf numFmtId="49" fontId="34" fillId="0" borderId="3" xfId="19" applyNumberFormat="1" applyFont="1" applyBorder="1" applyAlignment="1">
      <alignment horizontal="center" vertical="top"/>
    </xf>
    <xf numFmtId="4" fontId="34" fillId="0" borderId="3" xfId="19" applyNumberFormat="1" applyFont="1" applyBorder="1" applyAlignment="1">
      <alignment vertical="top"/>
    </xf>
    <xf numFmtId="0" fontId="34" fillId="0" borderId="8" xfId="19" applyFont="1" applyBorder="1" applyAlignment="1">
      <alignment vertical="top" wrapText="1"/>
    </xf>
    <xf numFmtId="0" fontId="33" fillId="0" borderId="8" xfId="19" applyFont="1" applyBorder="1" applyAlignment="1">
      <alignment vertical="top" wrapText="1"/>
    </xf>
    <xf numFmtId="0" fontId="34" fillId="0" borderId="3" xfId="19" applyFont="1" applyBorder="1" applyAlignment="1">
      <alignment vertical="top" wrapText="1"/>
    </xf>
    <xf numFmtId="0" fontId="33" fillId="0" borderId="11" xfId="19" applyFont="1" applyBorder="1" applyAlignment="1">
      <alignment vertical="top" wrapText="1"/>
    </xf>
    <xf numFmtId="0" fontId="33" fillId="0" borderId="7" xfId="19" applyFont="1" applyBorder="1" applyAlignment="1">
      <alignment vertical="top" wrapText="1"/>
    </xf>
    <xf numFmtId="49" fontId="17" fillId="0" borderId="5" xfId="10" applyNumberFormat="1" applyFont="1" applyBorder="1" applyAlignment="1">
      <alignment horizontal="center" vertical="center" wrapText="1"/>
    </xf>
    <xf numFmtId="3" fontId="24" fillId="0" borderId="10" xfId="10" applyNumberFormat="1" applyFont="1" applyBorder="1" applyAlignment="1">
      <alignment horizontal="center" vertical="center" wrapText="1"/>
    </xf>
    <xf numFmtId="4" fontId="17" fillId="0" borderId="10" xfId="10" applyNumberFormat="1" applyFont="1" applyBorder="1" applyAlignment="1">
      <alignment vertical="center" wrapText="1"/>
    </xf>
    <xf numFmtId="4" fontId="24" fillId="0" borderId="10" xfId="10" applyNumberFormat="1" applyFont="1" applyBorder="1" applyAlignment="1">
      <alignment vertical="center" wrapText="1"/>
    </xf>
    <xf numFmtId="4" fontId="17" fillId="0" borderId="4" xfId="10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 horizontal="center" wrapText="1"/>
    </xf>
    <xf numFmtId="0" fontId="34" fillId="0" borderId="7" xfId="19" applyFont="1" applyBorder="1" applyAlignment="1">
      <alignment horizontal="center" vertical="top"/>
    </xf>
    <xf numFmtId="49" fontId="34" fillId="0" borderId="7" xfId="19" applyNumberFormat="1" applyFont="1" applyBorder="1" applyAlignment="1">
      <alignment horizontal="center" vertical="top"/>
    </xf>
    <xf numFmtId="0" fontId="34" fillId="0" borderId="7" xfId="19" applyFont="1" applyBorder="1" applyAlignment="1">
      <alignment vertical="top" wrapText="1"/>
    </xf>
    <xf numFmtId="4" fontId="34" fillId="0" borderId="7" xfId="19" applyNumberFormat="1" applyFont="1" applyBorder="1" applyAlignment="1">
      <alignment vertical="top"/>
    </xf>
    <xf numFmtId="0" fontId="27" fillId="0" borderId="0" xfId="0" applyFont="1" applyAlignment="1">
      <alignment horizontal="center"/>
    </xf>
    <xf numFmtId="0" fontId="27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justify" wrapText="1"/>
    </xf>
    <xf numFmtId="0" fontId="18" fillId="0" borderId="0" xfId="0" applyFont="1"/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49" fontId="28" fillId="0" borderId="3" xfId="0" applyNumberFormat="1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3" fontId="28" fillId="4" borderId="3" xfId="0" applyNumberFormat="1" applyFont="1" applyFill="1" applyBorder="1" applyAlignment="1">
      <alignment horizontal="center" vertical="top"/>
    </xf>
    <xf numFmtId="3" fontId="28" fillId="0" borderId="3" xfId="0" applyNumberFormat="1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49" fontId="27" fillId="0" borderId="3" xfId="0" applyNumberFormat="1" applyFont="1" applyBorder="1" applyAlignment="1">
      <alignment horizontal="center" vertical="top"/>
    </xf>
    <xf numFmtId="0" fontId="27" fillId="0" borderId="3" xfId="0" applyFont="1" applyBorder="1" applyAlignment="1">
      <alignment vertical="top"/>
    </xf>
    <xf numFmtId="0" fontId="27" fillId="0" borderId="3" xfId="0" applyFont="1" applyBorder="1" applyAlignment="1">
      <alignment horizontal="center" vertical="top"/>
    </xf>
    <xf numFmtId="3" fontId="27" fillId="4" borderId="3" xfId="0" applyNumberFormat="1" applyFont="1" applyFill="1" applyBorder="1" applyAlignment="1">
      <alignment vertical="top"/>
    </xf>
    <xf numFmtId="3" fontId="27" fillId="0" borderId="3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" fontId="36" fillId="4" borderId="3" xfId="0" applyNumberFormat="1" applyFont="1" applyFill="1" applyBorder="1" applyAlignment="1">
      <alignment horizontal="center" vertical="center" wrapText="1"/>
    </xf>
    <xf numFmtId="4" fontId="36" fillId="4" borderId="3" xfId="0" applyNumberFormat="1" applyFont="1" applyFill="1" applyBorder="1" applyAlignment="1">
      <alignment horizontal="right" vertical="center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" fontId="27" fillId="0" borderId="3" xfId="0" applyNumberFormat="1" applyFont="1" applyBorder="1" applyAlignment="1">
      <alignment vertical="top" wrapText="1"/>
    </xf>
    <xf numFmtId="4" fontId="27" fillId="0" borderId="3" xfId="0" applyNumberFormat="1" applyFont="1" applyBorder="1" applyAlignment="1">
      <alignment horizontal="center" vertical="top" wrapText="1"/>
    </xf>
    <xf numFmtId="4" fontId="27" fillId="4" borderId="3" xfId="0" applyNumberFormat="1" applyFont="1" applyFill="1" applyBorder="1" applyAlignment="1">
      <alignment vertical="top"/>
    </xf>
    <xf numFmtId="4" fontId="27" fillId="0" borderId="3" xfId="0" applyNumberFormat="1" applyFont="1" applyBorder="1" applyAlignment="1">
      <alignment vertical="top"/>
    </xf>
    <xf numFmtId="4" fontId="27" fillId="0" borderId="0" xfId="0" applyNumberFormat="1" applyFont="1" applyAlignment="1">
      <alignment vertical="top"/>
    </xf>
    <xf numFmtId="4" fontId="37" fillId="0" borderId="3" xfId="0" applyNumberFormat="1" applyFont="1" applyBorder="1" applyAlignment="1">
      <alignment horizontal="center" vertical="center" wrapText="1"/>
    </xf>
    <xf numFmtId="4" fontId="37" fillId="4" borderId="3" xfId="0" applyNumberFormat="1" applyFont="1" applyFill="1" applyBorder="1" applyAlignment="1">
      <alignment vertical="center"/>
    </xf>
    <xf numFmtId="4" fontId="37" fillId="0" borderId="3" xfId="0" applyNumberFormat="1" applyFont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27" fillId="0" borderId="3" xfId="0" applyNumberFormat="1" applyFont="1" applyBorder="1" applyAlignment="1" applyProtection="1">
      <alignment horizontal="center" vertical="top" wrapText="1"/>
      <protection locked="0"/>
    </xf>
    <xf numFmtId="4" fontId="27" fillId="0" borderId="3" xfId="0" applyNumberFormat="1" applyFont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26" fillId="0" borderId="3" xfId="0" applyNumberFormat="1" applyFont="1" applyBorder="1" applyAlignment="1" applyProtection="1">
      <alignment horizontal="center" vertical="top" wrapText="1"/>
      <protection locked="0"/>
    </xf>
    <xf numFmtId="4" fontId="37" fillId="4" borderId="3" xfId="0" applyNumberFormat="1" applyFont="1" applyFill="1" applyBorder="1" applyAlignment="1">
      <alignment horizontal="right" vertical="center"/>
    </xf>
    <xf numFmtId="4" fontId="37" fillId="0" borderId="3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7" fillId="0" borderId="3" xfId="0" applyNumberFormat="1" applyFont="1" applyBorder="1" applyAlignment="1" applyProtection="1">
      <alignment horizontal="center" vertical="center" wrapText="1"/>
      <protection locked="0"/>
    </xf>
    <xf numFmtId="4" fontId="37" fillId="5" borderId="3" xfId="0" applyNumberFormat="1" applyFont="1" applyFill="1" applyBorder="1" applyAlignment="1">
      <alignment vertical="center"/>
    </xf>
    <xf numFmtId="4" fontId="37" fillId="5" borderId="3" xfId="0" applyNumberFormat="1" applyFont="1" applyFill="1" applyBorder="1" applyAlignment="1">
      <alignment vertical="top"/>
    </xf>
    <xf numFmtId="4" fontId="37" fillId="0" borderId="3" xfId="0" applyNumberFormat="1" applyFont="1" applyBorder="1" applyAlignment="1">
      <alignment vertical="top"/>
    </xf>
    <xf numFmtId="4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4" fontId="26" fillId="0" borderId="3" xfId="0" applyNumberFormat="1" applyFont="1" applyBorder="1" applyAlignment="1" applyProtection="1">
      <alignment horizontal="center" vertical="center" wrapText="1"/>
      <protection locked="0"/>
    </xf>
    <xf numFmtId="4" fontId="37" fillId="4" borderId="3" xfId="0" applyNumberFormat="1" applyFont="1" applyFill="1" applyBorder="1" applyAlignment="1">
      <alignment vertical="top"/>
    </xf>
    <xf numFmtId="4" fontId="36" fillId="4" borderId="3" xfId="0" applyNumberFormat="1" applyFont="1" applyFill="1" applyBorder="1" applyAlignment="1">
      <alignment horizontal="center" vertical="center"/>
    </xf>
    <xf numFmtId="4" fontId="36" fillId="4" borderId="3" xfId="0" applyNumberFormat="1" applyFont="1" applyFill="1" applyBorder="1" applyAlignment="1">
      <alignment vertical="center"/>
    </xf>
    <xf numFmtId="49" fontId="27" fillId="0" borderId="0" xfId="0" applyNumberFormat="1" applyFont="1" applyAlignment="1">
      <alignment horizontal="center"/>
    </xf>
    <xf numFmtId="4" fontId="27" fillId="0" borderId="0" xfId="0" applyNumberFormat="1" applyFont="1"/>
    <xf numFmtId="4" fontId="2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3" fontId="17" fillId="0" borderId="7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3" fontId="17" fillId="0" borderId="12" xfId="0" applyNumberFormat="1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horizontal="right" vertical="top" wrapText="1"/>
    </xf>
    <xf numFmtId="4" fontId="23" fillId="0" borderId="3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49" fontId="34" fillId="0" borderId="3" xfId="20" applyNumberFormat="1" applyFont="1" applyBorder="1" applyAlignment="1">
      <alignment horizontal="center" vertical="top" wrapText="1"/>
    </xf>
    <xf numFmtId="49" fontId="34" fillId="0" borderId="10" xfId="20" applyNumberFormat="1" applyFont="1" applyBorder="1" applyAlignment="1">
      <alignment horizontal="center" vertical="top" wrapText="1"/>
    </xf>
    <xf numFmtId="0" fontId="34" fillId="0" borderId="3" xfId="20" applyFont="1" applyBorder="1" applyAlignment="1">
      <alignment vertical="top" wrapText="1"/>
    </xf>
    <xf numFmtId="4" fontId="34" fillId="0" borderId="10" xfId="20" applyNumberFormat="1" applyFont="1" applyBorder="1" applyAlignment="1">
      <alignment vertical="top" wrapText="1"/>
    </xf>
    <xf numFmtId="4" fontId="34" fillId="0" borderId="3" xfId="20" applyNumberFormat="1" applyFont="1" applyBorder="1" applyAlignment="1">
      <alignment vertical="top" wrapText="1"/>
    </xf>
    <xf numFmtId="0" fontId="34" fillId="0" borderId="0" xfId="0" applyFont="1"/>
    <xf numFmtId="49" fontId="34" fillId="0" borderId="8" xfId="20" applyNumberFormat="1" applyFont="1" applyBorder="1" applyAlignment="1">
      <alignment horizontal="center" vertical="top" wrapText="1"/>
    </xf>
    <xf numFmtId="49" fontId="34" fillId="0" borderId="0" xfId="20" applyNumberFormat="1" applyFont="1" applyAlignment="1">
      <alignment horizontal="center" vertical="top" wrapText="1"/>
    </xf>
    <xf numFmtId="0" fontId="34" fillId="0" borderId="8" xfId="20" applyFont="1" applyBorder="1" applyAlignment="1">
      <alignment vertical="top" wrapText="1"/>
    </xf>
    <xf numFmtId="4" fontId="34" fillId="0" borderId="0" xfId="20" applyNumberFormat="1" applyFont="1" applyAlignment="1">
      <alignment vertical="top" wrapText="1"/>
    </xf>
    <xf numFmtId="4" fontId="34" fillId="0" borderId="8" xfId="20" applyNumberFormat="1" applyFont="1" applyBorder="1" applyAlignment="1">
      <alignment vertical="top" wrapText="1"/>
    </xf>
    <xf numFmtId="49" fontId="33" fillId="0" borderId="8" xfId="20" applyNumberFormat="1" applyFont="1" applyBorder="1" applyAlignment="1">
      <alignment horizontal="center" vertical="top" wrapText="1"/>
    </xf>
    <xf numFmtId="49" fontId="33" fillId="0" borderId="0" xfId="20" applyNumberFormat="1" applyFont="1" applyAlignment="1">
      <alignment horizontal="center" vertical="top" wrapText="1"/>
    </xf>
    <xf numFmtId="0" fontId="33" fillId="0" borderId="8" xfId="20" applyFont="1" applyBorder="1" applyAlignment="1">
      <alignment vertical="top" wrapText="1"/>
    </xf>
    <xf numFmtId="4" fontId="33" fillId="0" borderId="0" xfId="20" applyNumberFormat="1" applyFont="1" applyAlignment="1">
      <alignment vertical="top" wrapText="1"/>
    </xf>
    <xf numFmtId="4" fontId="33" fillId="0" borderId="8" xfId="20" applyNumberFormat="1" applyFont="1" applyBorder="1" applyAlignment="1">
      <alignment vertical="top" wrapText="1"/>
    </xf>
    <xf numFmtId="0" fontId="33" fillId="0" borderId="0" xfId="0" applyFont="1"/>
    <xf numFmtId="49" fontId="33" fillId="0" borderId="11" xfId="20" applyNumberFormat="1" applyFont="1" applyBorder="1" applyAlignment="1">
      <alignment horizontal="center" vertical="top" wrapText="1"/>
    </xf>
    <xf numFmtId="49" fontId="33" fillId="0" borderId="12" xfId="20" applyNumberFormat="1" applyFont="1" applyBorder="1" applyAlignment="1">
      <alignment horizontal="center" vertical="top" wrapText="1"/>
    </xf>
    <xf numFmtId="0" fontId="33" fillId="0" borderId="11" xfId="20" applyFont="1" applyBorder="1" applyAlignment="1">
      <alignment vertical="top" wrapText="1"/>
    </xf>
    <xf numFmtId="4" fontId="33" fillId="0" borderId="12" xfId="20" applyNumberFormat="1" applyFont="1" applyBorder="1" applyAlignment="1">
      <alignment vertical="top" wrapText="1"/>
    </xf>
    <xf numFmtId="4" fontId="33" fillId="0" borderId="11" xfId="20" applyNumberFormat="1" applyFont="1" applyBorder="1" applyAlignment="1">
      <alignment vertical="top" wrapText="1"/>
    </xf>
    <xf numFmtId="49" fontId="34" fillId="0" borderId="11" xfId="20" applyNumberFormat="1" applyFont="1" applyBorder="1" applyAlignment="1">
      <alignment horizontal="center" vertical="top" wrapText="1"/>
    </xf>
    <xf numFmtId="49" fontId="34" fillId="0" borderId="12" xfId="20" applyNumberFormat="1" applyFont="1" applyBorder="1" applyAlignment="1">
      <alignment horizontal="center" vertical="top" wrapText="1"/>
    </xf>
    <xf numFmtId="0" fontId="34" fillId="0" borderId="11" xfId="20" applyFont="1" applyBorder="1" applyAlignment="1">
      <alignment vertical="top" wrapText="1"/>
    </xf>
    <xf numFmtId="4" fontId="34" fillId="0" borderId="12" xfId="20" applyNumberFormat="1" applyFont="1" applyBorder="1" applyAlignment="1">
      <alignment vertical="top" wrapText="1"/>
    </xf>
    <xf numFmtId="4" fontId="34" fillId="0" borderId="11" xfId="20" applyNumberFormat="1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/>
    </xf>
    <xf numFmtId="0" fontId="39" fillId="0" borderId="3" xfId="0" applyFont="1" applyBorder="1"/>
    <xf numFmtId="0" fontId="39" fillId="0" borderId="3" xfId="0" applyFont="1" applyBorder="1" applyAlignment="1">
      <alignment vertic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3" fontId="17" fillId="0" borderId="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vertical="center"/>
    </xf>
    <xf numFmtId="0" fontId="18" fillId="0" borderId="0" xfId="21" applyFont="1" applyAlignment="1">
      <alignment horizontal="center" vertical="center"/>
    </xf>
    <xf numFmtId="0" fontId="18" fillId="0" borderId="0" xfId="21" applyFont="1" applyAlignment="1">
      <alignment vertical="center"/>
    </xf>
    <xf numFmtId="0" fontId="18" fillId="0" borderId="0" xfId="21" applyFont="1" applyAlignment="1">
      <alignment horizontal="center"/>
    </xf>
    <xf numFmtId="0" fontId="18" fillId="0" borderId="0" xfId="21" applyFont="1"/>
    <xf numFmtId="0" fontId="17" fillId="0" borderId="0" xfId="21" applyFont="1" applyAlignment="1">
      <alignment horizontal="center" vertical="center"/>
    </xf>
    <xf numFmtId="0" fontId="17" fillId="0" borderId="3" xfId="21" applyFont="1" applyBorder="1" applyAlignment="1">
      <alignment horizontal="center" vertical="center" wrapText="1"/>
    </xf>
    <xf numFmtId="0" fontId="22" fillId="0" borderId="3" xfId="21" applyFont="1" applyBorder="1" applyAlignment="1">
      <alignment horizontal="center"/>
    </xf>
    <xf numFmtId="0" fontId="22" fillId="0" borderId="0" xfId="21" applyFont="1" applyAlignment="1">
      <alignment horizontal="center"/>
    </xf>
    <xf numFmtId="0" fontId="29" fillId="0" borderId="0" xfId="21" applyFont="1"/>
    <xf numFmtId="0" fontId="29" fillId="0" borderId="0" xfId="21" applyFont="1" applyAlignment="1">
      <alignment horizontal="center"/>
    </xf>
    <xf numFmtId="3" fontId="18" fillId="0" borderId="3" xfId="21" applyNumberFormat="1" applyFont="1" applyBorder="1" applyAlignment="1">
      <alignment horizontal="center" vertical="center" wrapText="1"/>
    </xf>
    <xf numFmtId="0" fontId="44" fillId="0" borderId="0" xfId="22" applyFont="1" applyAlignment="1">
      <alignment vertical="center"/>
    </xf>
    <xf numFmtId="3" fontId="44" fillId="6" borderId="3" xfId="22" applyNumberFormat="1" applyFont="1" applyFill="1" applyBorder="1" applyAlignment="1">
      <alignment vertical="center"/>
    </xf>
    <xf numFmtId="3" fontId="45" fillId="0" borderId="3" xfId="22" applyNumberFormat="1" applyFont="1" applyBorder="1" applyAlignment="1">
      <alignment vertical="center"/>
    </xf>
    <xf numFmtId="3" fontId="17" fillId="0" borderId="3" xfId="21" applyNumberFormat="1" applyFont="1" applyBorder="1" applyAlignment="1">
      <alignment horizontal="center" vertical="center"/>
    </xf>
    <xf numFmtId="0" fontId="37" fillId="0" borderId="0" xfId="22" applyFont="1" applyAlignment="1">
      <alignment vertical="center"/>
    </xf>
    <xf numFmtId="3" fontId="17" fillId="0" borderId="3" xfId="21" applyNumberFormat="1" applyFont="1" applyBorder="1" applyAlignment="1">
      <alignment horizontal="center" vertical="center" wrapText="1"/>
    </xf>
    <xf numFmtId="3" fontId="37" fillId="6" borderId="3" xfId="22" applyNumberFormat="1" applyFont="1" applyFill="1" applyBorder="1" applyAlignment="1">
      <alignment vertical="center"/>
    </xf>
    <xf numFmtId="0" fontId="44" fillId="0" borderId="0" xfId="22" applyFont="1"/>
    <xf numFmtId="0" fontId="17" fillId="0" borderId="0" xfId="21" applyFont="1" applyAlignment="1">
      <alignment horizontal="right" vertical="center"/>
    </xf>
    <xf numFmtId="0" fontId="18" fillId="0" borderId="0" xfId="21" applyFont="1" applyAlignment="1">
      <alignment horizontal="right"/>
    </xf>
    <xf numFmtId="3" fontId="25" fillId="0" borderId="3" xfId="21" applyNumberFormat="1" applyFont="1" applyBorder="1" applyAlignment="1">
      <alignment horizontal="center" vertical="center" wrapText="1"/>
    </xf>
    <xf numFmtId="0" fontId="25" fillId="0" borderId="0" xfId="21" applyFont="1" applyAlignment="1">
      <alignment horizontal="right" vertical="center"/>
    </xf>
    <xf numFmtId="0" fontId="25" fillId="0" borderId="0" xfId="21" applyFont="1" applyAlignment="1">
      <alignment horizontal="right"/>
    </xf>
    <xf numFmtId="3" fontId="37" fillId="0" borderId="3" xfId="22" applyNumberFormat="1" applyFont="1" applyBorder="1" applyAlignment="1">
      <alignment vertical="center"/>
    </xf>
    <xf numFmtId="0" fontId="43" fillId="0" borderId="0" xfId="22" applyAlignment="1">
      <alignment horizontal="center" vertical="center"/>
    </xf>
    <xf numFmtId="0" fontId="43" fillId="0" borderId="0" xfId="22"/>
    <xf numFmtId="0" fontId="17" fillId="0" borderId="0" xfId="21" applyFont="1" applyAlignment="1">
      <alignment vertical="center" wrapText="1"/>
    </xf>
    <xf numFmtId="3" fontId="18" fillId="0" borderId="0" xfId="21" applyNumberFormat="1" applyFont="1" applyAlignment="1">
      <alignment horizontal="center" vertical="center" wrapText="1"/>
    </xf>
    <xf numFmtId="0" fontId="27" fillId="0" borderId="0" xfId="22" applyFont="1"/>
    <xf numFmtId="0" fontId="29" fillId="0" borderId="0" xfId="21" applyFont="1" applyAlignment="1">
      <alignment horizontal="center" vertical="center"/>
    </xf>
    <xf numFmtId="3" fontId="18" fillId="0" borderId="3" xfId="21" applyNumberFormat="1" applyFont="1" applyBorder="1" applyAlignment="1">
      <alignment horizontal="right" vertical="center" wrapText="1"/>
    </xf>
    <xf numFmtId="0" fontId="44" fillId="0" borderId="0" xfId="24" applyFont="1" applyAlignment="1">
      <alignment vertical="center"/>
    </xf>
    <xf numFmtId="3" fontId="44" fillId="8" borderId="3" xfId="24" applyNumberFormat="1" applyFont="1" applyFill="1" applyBorder="1" applyAlignment="1">
      <alignment vertical="center"/>
    </xf>
    <xf numFmtId="3" fontId="45" fillId="0" borderId="3" xfId="24" applyNumberFormat="1" applyFont="1" applyBorder="1" applyAlignment="1">
      <alignment vertical="center"/>
    </xf>
    <xf numFmtId="3" fontId="23" fillId="0" borderId="3" xfId="21" applyNumberFormat="1" applyFont="1" applyBorder="1" applyAlignment="1">
      <alignment horizontal="right" vertical="center" wrapText="1"/>
    </xf>
    <xf numFmtId="3" fontId="37" fillId="0" borderId="3" xfId="24" applyNumberFormat="1" applyFont="1" applyBorder="1" applyAlignment="1">
      <alignment horizontal="right" vertical="center"/>
    </xf>
    <xf numFmtId="3" fontId="37" fillId="0" borderId="3" xfId="24" applyNumberFormat="1" applyFont="1" applyBorder="1" applyAlignment="1">
      <alignment vertical="center"/>
    </xf>
    <xf numFmtId="3" fontId="25" fillId="0" borderId="3" xfId="21" applyNumberFormat="1" applyFont="1" applyBorder="1" applyAlignment="1">
      <alignment horizontal="right" vertical="center" wrapText="1"/>
    </xf>
    <xf numFmtId="3" fontId="17" fillId="0" borderId="3" xfId="21" applyNumberFormat="1" applyFont="1" applyBorder="1" applyAlignment="1">
      <alignment horizontal="right" vertical="center"/>
    </xf>
    <xf numFmtId="3" fontId="37" fillId="8" borderId="3" xfId="24" applyNumberFormat="1" applyFont="1" applyFill="1" applyBorder="1" applyAlignment="1">
      <alignment horizontal="right" vertical="center"/>
    </xf>
    <xf numFmtId="0" fontId="37" fillId="0" borderId="0" xfId="24" applyFont="1" applyAlignment="1">
      <alignment vertical="center"/>
    </xf>
    <xf numFmtId="0" fontId="44" fillId="0" borderId="0" xfId="24" applyFont="1"/>
    <xf numFmtId="0" fontId="43" fillId="0" borderId="0" xfId="22" applyAlignment="1">
      <alignment horizontal="center"/>
    </xf>
    <xf numFmtId="0" fontId="27" fillId="0" borderId="0" xfId="24" applyFont="1"/>
    <xf numFmtId="0" fontId="18" fillId="0" borderId="0" xfId="25" applyFont="1" applyAlignment="1">
      <alignment wrapText="1"/>
    </xf>
    <xf numFmtId="0" fontId="18" fillId="0" borderId="0" xfId="25" applyFont="1" applyAlignment="1">
      <alignment horizontal="left" wrapText="1"/>
    </xf>
    <xf numFmtId="0" fontId="14" fillId="0" borderId="0" xfId="10" applyFont="1" applyAlignment="1">
      <alignment vertical="center"/>
    </xf>
    <xf numFmtId="0" fontId="49" fillId="0" borderId="0" xfId="25" applyFont="1" applyAlignment="1">
      <alignment wrapText="1"/>
    </xf>
    <xf numFmtId="0" fontId="18" fillId="0" borderId="0" xfId="26" applyFont="1" applyAlignment="1">
      <alignment horizontal="left" vertical="center" wrapText="1"/>
    </xf>
    <xf numFmtId="0" fontId="29" fillId="0" borderId="0" xfId="25" applyFont="1" applyAlignment="1">
      <alignment horizontal="center" wrapText="1"/>
    </xf>
    <xf numFmtId="3" fontId="16" fillId="0" borderId="0" xfId="27" applyNumberFormat="1" applyFont="1"/>
    <xf numFmtId="0" fontId="9" fillId="0" borderId="0" xfId="6"/>
    <xf numFmtId="0" fontId="18" fillId="0" borderId="0" xfId="26" applyFont="1" applyAlignment="1">
      <alignment horizontal="center" wrapText="1"/>
    </xf>
    <xf numFmtId="0" fontId="49" fillId="0" borderId="0" xfId="26" applyFont="1" applyAlignment="1">
      <alignment wrapText="1"/>
    </xf>
    <xf numFmtId="0" fontId="50" fillId="0" borderId="0" xfId="25" applyFont="1" applyAlignment="1">
      <alignment wrapText="1"/>
    </xf>
    <xf numFmtId="0" fontId="51" fillId="0" borderId="0" xfId="25" applyFont="1" applyAlignment="1">
      <alignment horizontal="center" vertical="center" wrapText="1"/>
    </xf>
    <xf numFmtId="0" fontId="21" fillId="0" borderId="3" xfId="25" applyFont="1" applyBorder="1" applyAlignment="1">
      <alignment horizontal="center" vertical="center" wrapText="1"/>
    </xf>
    <xf numFmtId="0" fontId="21" fillId="0" borderId="5" xfId="25" applyFont="1" applyBorder="1" applyAlignment="1">
      <alignment horizontal="center" vertical="center" wrapText="1"/>
    </xf>
    <xf numFmtId="0" fontId="52" fillId="0" borderId="0" xfId="25" applyFont="1" applyAlignment="1">
      <alignment wrapText="1"/>
    </xf>
    <xf numFmtId="0" fontId="21" fillId="0" borderId="1" xfId="25" applyFont="1" applyBorder="1" applyAlignment="1">
      <alignment wrapText="1"/>
    </xf>
    <xf numFmtId="0" fontId="21" fillId="0" borderId="0" xfId="25" applyFont="1" applyAlignment="1">
      <alignment wrapText="1"/>
    </xf>
    <xf numFmtId="0" fontId="21" fillId="0" borderId="8" xfId="25" applyFont="1" applyBorder="1" applyAlignment="1">
      <alignment wrapText="1"/>
    </xf>
    <xf numFmtId="0" fontId="23" fillId="0" borderId="3" xfId="25" applyFont="1" applyBorder="1" applyAlignment="1">
      <alignment horizontal="center" vertical="center" wrapText="1"/>
    </xf>
    <xf numFmtId="0" fontId="23" fillId="0" borderId="3" xfId="25" applyFont="1" applyBorder="1" applyAlignment="1">
      <alignment vertical="center" wrapText="1"/>
    </xf>
    <xf numFmtId="4" fontId="23" fillId="0" borderId="3" xfId="25" applyNumberFormat="1" applyFont="1" applyBorder="1" applyAlignment="1">
      <alignment vertical="center" wrapText="1"/>
    </xf>
    <xf numFmtId="0" fontId="53" fillId="0" borderId="0" xfId="25" applyFont="1" applyAlignment="1">
      <alignment wrapText="1"/>
    </xf>
    <xf numFmtId="0" fontId="54" fillId="0" borderId="3" xfId="25" applyFont="1" applyBorder="1" applyAlignment="1">
      <alignment horizontal="center" vertical="center" wrapText="1"/>
    </xf>
    <xf numFmtId="0" fontId="54" fillId="0" borderId="3" xfId="25" applyFont="1" applyBorder="1" applyAlignment="1">
      <alignment vertical="center" wrapText="1"/>
    </xf>
    <xf numFmtId="4" fontId="54" fillId="0" borderId="3" xfId="25" applyNumberFormat="1" applyFont="1" applyBorder="1" applyAlignment="1">
      <alignment vertical="center" wrapText="1"/>
    </xf>
    <xf numFmtId="0" fontId="55" fillId="0" borderId="0" xfId="25" applyFont="1" applyAlignment="1">
      <alignment wrapText="1"/>
    </xf>
    <xf numFmtId="49" fontId="18" fillId="0" borderId="7" xfId="25" applyNumberFormat="1" applyFont="1" applyBorder="1" applyAlignment="1">
      <alignment horizontal="center" vertical="center" wrapText="1"/>
    </xf>
    <xf numFmtId="0" fontId="18" fillId="0" borderId="15" xfId="25" applyFont="1" applyBorder="1" applyAlignment="1">
      <alignment horizontal="center" vertical="center" wrapText="1"/>
    </xf>
    <xf numFmtId="0" fontId="18" fillId="0" borderId="14" xfId="25" applyFont="1" applyBorder="1" applyAlignment="1">
      <alignment vertical="center" wrapText="1"/>
    </xf>
    <xf numFmtId="4" fontId="18" fillId="0" borderId="3" xfId="25" applyNumberFormat="1" applyFont="1" applyBorder="1" applyAlignment="1">
      <alignment vertical="center" wrapText="1"/>
    </xf>
    <xf numFmtId="0" fontId="56" fillId="0" borderId="0" xfId="25" applyFont="1" applyAlignment="1">
      <alignment vertical="top" wrapText="1"/>
    </xf>
    <xf numFmtId="49" fontId="21" fillId="0" borderId="7" xfId="25" applyNumberFormat="1" applyFont="1" applyBorder="1" applyAlignment="1">
      <alignment horizontal="center" vertical="center" wrapText="1"/>
    </xf>
    <xf numFmtId="0" fontId="21" fillId="0" borderId="15" xfId="25" applyFont="1" applyBorder="1" applyAlignment="1">
      <alignment horizontal="center" vertical="center" wrapText="1"/>
    </xf>
    <xf numFmtId="0" fontId="21" fillId="0" borderId="14" xfId="25" applyFont="1" applyBorder="1" applyAlignment="1">
      <alignment vertical="center" wrapText="1"/>
    </xf>
    <xf numFmtId="4" fontId="21" fillId="0" borderId="3" xfId="25" applyNumberFormat="1" applyFont="1" applyBorder="1" applyAlignment="1">
      <alignment vertical="center" wrapText="1"/>
    </xf>
    <xf numFmtId="0" fontId="52" fillId="0" borderId="0" xfId="25" applyFont="1" applyAlignment="1">
      <alignment vertical="top" wrapText="1"/>
    </xf>
    <xf numFmtId="49" fontId="21" fillId="0" borderId="3" xfId="25" applyNumberFormat="1" applyFont="1" applyBorder="1" applyAlignment="1">
      <alignment horizontal="center" vertical="center" wrapText="1"/>
    </xf>
    <xf numFmtId="49" fontId="18" fillId="0" borderId="3" xfId="25" applyNumberFormat="1" applyFont="1" applyBorder="1" applyAlignment="1">
      <alignment horizontal="center" vertical="center" wrapText="1"/>
    </xf>
    <xf numFmtId="0" fontId="18" fillId="0" borderId="3" xfId="25" applyFont="1" applyBorder="1" applyAlignment="1">
      <alignment horizontal="center" vertical="center" wrapText="1"/>
    </xf>
    <xf numFmtId="0" fontId="18" fillId="0" borderId="3" xfId="25" applyFont="1" applyBorder="1" applyAlignment="1">
      <alignment vertical="center" wrapText="1"/>
    </xf>
    <xf numFmtId="0" fontId="21" fillId="0" borderId="3" xfId="25" applyFont="1" applyBorder="1" applyAlignment="1">
      <alignment vertical="center" wrapText="1"/>
    </xf>
    <xf numFmtId="0" fontId="24" fillId="0" borderId="3" xfId="25" applyFont="1" applyBorder="1" applyAlignment="1">
      <alignment horizontal="center" vertical="center" wrapText="1"/>
    </xf>
    <xf numFmtId="0" fontId="24" fillId="0" borderId="3" xfId="25" applyFont="1" applyBorder="1" applyAlignment="1">
      <alignment vertical="center" wrapText="1"/>
    </xf>
    <xf numFmtId="0" fontId="57" fillId="0" borderId="0" xfId="25" applyFont="1" applyAlignment="1">
      <alignment wrapText="1"/>
    </xf>
    <xf numFmtId="0" fontId="18" fillId="0" borderId="1" xfId="25" applyFont="1" applyBorder="1" applyAlignment="1">
      <alignment horizontal="center" vertical="center" wrapText="1"/>
    </xf>
    <xf numFmtId="0" fontId="18" fillId="0" borderId="0" xfId="25" applyFont="1" applyAlignment="1">
      <alignment horizontal="center" vertical="center" wrapText="1"/>
    </xf>
    <xf numFmtId="0" fontId="18" fillId="0" borderId="0" xfId="25" applyFont="1" applyAlignment="1">
      <alignment vertical="center" wrapText="1"/>
    </xf>
    <xf numFmtId="4" fontId="21" fillId="0" borderId="8" xfId="25" applyNumberFormat="1" applyFont="1" applyBorder="1" applyAlignment="1">
      <alignment vertical="center" wrapText="1"/>
    </xf>
    <xf numFmtId="0" fontId="58" fillId="0" borderId="0" xfId="25" applyFont="1" applyAlignment="1">
      <alignment wrapText="1"/>
    </xf>
    <xf numFmtId="0" fontId="59" fillId="0" borderId="3" xfId="25" applyFont="1" applyBorder="1" applyAlignment="1">
      <alignment horizontal="center" vertical="center" wrapText="1"/>
    </xf>
    <xf numFmtId="0" fontId="59" fillId="0" borderId="3" xfId="25" applyFont="1" applyBorder="1" applyAlignment="1">
      <alignment vertical="center" wrapText="1"/>
    </xf>
    <xf numFmtId="4" fontId="59" fillId="0" borderId="3" xfId="25" applyNumberFormat="1" applyFont="1" applyBorder="1" applyAlignment="1">
      <alignment vertical="center" wrapText="1"/>
    </xf>
    <xf numFmtId="0" fontId="60" fillId="0" borderId="0" xfId="25" applyFont="1" applyAlignment="1">
      <alignment wrapText="1"/>
    </xf>
    <xf numFmtId="0" fontId="24" fillId="0" borderId="1" xfId="25" applyFont="1" applyBorder="1" applyAlignment="1">
      <alignment horizontal="center" vertical="center" wrapText="1"/>
    </xf>
    <xf numFmtId="0" fontId="24" fillId="0" borderId="0" xfId="25" applyFont="1" applyAlignment="1">
      <alignment horizontal="center" vertical="center" wrapText="1"/>
    </xf>
    <xf numFmtId="0" fontId="24" fillId="0" borderId="0" xfId="25" applyFont="1" applyAlignment="1">
      <alignment vertical="center" wrapText="1"/>
    </xf>
    <xf numFmtId="4" fontId="23" fillId="0" borderId="8" xfId="25" applyNumberFormat="1" applyFont="1" applyBorder="1" applyAlignment="1">
      <alignment vertical="center" wrapText="1"/>
    </xf>
    <xf numFmtId="0" fontId="23" fillId="0" borderId="1" xfId="25" applyFont="1" applyBorder="1" applyAlignment="1">
      <alignment horizontal="center" vertical="center" wrapText="1"/>
    </xf>
    <xf numFmtId="0" fontId="23" fillId="0" borderId="0" xfId="25" applyFont="1" applyAlignment="1">
      <alignment horizontal="center" vertical="center" wrapText="1"/>
    </xf>
    <xf numFmtId="0" fontId="23" fillId="0" borderId="0" xfId="25" applyFont="1" applyAlignment="1">
      <alignment vertical="center" wrapText="1"/>
    </xf>
    <xf numFmtId="0" fontId="23" fillId="0" borderId="7" xfId="25" applyFont="1" applyBorder="1" applyAlignment="1">
      <alignment horizontal="center" vertical="center" wrapText="1"/>
    </xf>
    <xf numFmtId="0" fontId="23" fillId="0" borderId="7" xfId="25" applyFont="1" applyBorder="1" applyAlignment="1">
      <alignment vertical="center" wrapText="1"/>
    </xf>
    <xf numFmtId="4" fontId="23" fillId="0" borderId="7" xfId="25" applyNumberFormat="1" applyFont="1" applyBorder="1" applyAlignment="1">
      <alignment vertical="center" wrapText="1"/>
    </xf>
    <xf numFmtId="4" fontId="48" fillId="0" borderId="7" xfId="25" applyNumberFormat="1" applyFont="1" applyBorder="1" applyAlignment="1">
      <alignment vertical="center" wrapText="1"/>
    </xf>
    <xf numFmtId="0" fontId="61" fillId="0" borderId="0" xfId="25" applyFont="1" applyAlignment="1">
      <alignment wrapText="1"/>
    </xf>
    <xf numFmtId="4" fontId="59" fillId="0" borderId="7" xfId="25" applyNumberFormat="1" applyFont="1" applyBorder="1" applyAlignment="1">
      <alignment vertical="center" wrapText="1"/>
    </xf>
    <xf numFmtId="0" fontId="62" fillId="0" borderId="0" xfId="25" applyFont="1" applyAlignment="1">
      <alignment wrapText="1"/>
    </xf>
    <xf numFmtId="49" fontId="18" fillId="0" borderId="8" xfId="25" applyNumberFormat="1" applyFont="1" applyBorder="1" applyAlignment="1">
      <alignment horizontal="center" vertical="center" wrapText="1"/>
    </xf>
    <xf numFmtId="0" fontId="18" fillId="0" borderId="8" xfId="25" applyFont="1" applyBorder="1" applyAlignment="1">
      <alignment horizontal="center" vertical="center" wrapText="1"/>
    </xf>
    <xf numFmtId="0" fontId="18" fillId="0" borderId="1" xfId="25" applyFont="1" applyBorder="1" applyAlignment="1">
      <alignment vertical="center" wrapText="1"/>
    </xf>
    <xf numFmtId="0" fontId="18" fillId="0" borderId="14" xfId="25" applyFont="1" applyBorder="1" applyAlignment="1">
      <alignment wrapText="1"/>
    </xf>
    <xf numFmtId="0" fontId="18" fillId="0" borderId="6" xfId="25" applyFont="1" applyBorder="1" applyAlignment="1">
      <alignment wrapText="1"/>
    </xf>
    <xf numFmtId="0" fontId="18" fillId="0" borderId="15" xfId="25" applyFont="1" applyBorder="1" applyAlignment="1">
      <alignment wrapText="1"/>
    </xf>
    <xf numFmtId="4" fontId="18" fillId="0" borderId="7" xfId="25" applyNumberFormat="1" applyFont="1" applyBorder="1" applyAlignment="1">
      <alignment wrapText="1"/>
    </xf>
    <xf numFmtId="4" fontId="24" fillId="0" borderId="8" xfId="25" applyNumberFormat="1" applyFont="1" applyBorder="1" applyAlignment="1">
      <alignment wrapText="1"/>
    </xf>
    <xf numFmtId="4" fontId="18" fillId="0" borderId="8" xfId="25" applyNumberFormat="1" applyFont="1" applyBorder="1" applyAlignment="1">
      <alignment wrapText="1"/>
    </xf>
    <xf numFmtId="0" fontId="17" fillId="0" borderId="14" xfId="25" applyFont="1" applyBorder="1" applyAlignment="1">
      <alignment wrapText="1"/>
    </xf>
    <xf numFmtId="0" fontId="17" fillId="0" borderId="6" xfId="25" applyFont="1" applyBorder="1" applyAlignment="1">
      <alignment wrapText="1"/>
    </xf>
    <xf numFmtId="0" fontId="17" fillId="0" borderId="15" xfId="25" applyFont="1" applyBorder="1" applyAlignment="1">
      <alignment wrapText="1"/>
    </xf>
    <xf numFmtId="4" fontId="17" fillId="0" borderId="7" xfId="25" applyNumberFormat="1" applyFont="1" applyBorder="1" applyAlignment="1">
      <alignment wrapText="1"/>
    </xf>
    <xf numFmtId="4" fontId="17" fillId="0" borderId="8" xfId="25" applyNumberFormat="1" applyFont="1" applyBorder="1" applyAlignment="1">
      <alignment wrapText="1"/>
    </xf>
    <xf numFmtId="4" fontId="18" fillId="0" borderId="11" xfId="25" applyNumberFormat="1" applyFont="1" applyBorder="1" applyAlignment="1">
      <alignment wrapText="1"/>
    </xf>
    <xf numFmtId="0" fontId="49" fillId="0" borderId="16" xfId="25" applyFont="1" applyBorder="1" applyAlignment="1">
      <alignment wrapText="1"/>
    </xf>
    <xf numFmtId="0" fontId="49" fillId="0" borderId="17" xfId="25" applyFont="1" applyBorder="1" applyAlignment="1">
      <alignment wrapText="1"/>
    </xf>
    <xf numFmtId="0" fontId="49" fillId="0" borderId="18" xfId="25" applyFont="1" applyBorder="1" applyAlignment="1">
      <alignment wrapText="1"/>
    </xf>
    <xf numFmtId="0" fontId="49" fillId="0" borderId="19" xfId="25" applyFont="1" applyBorder="1" applyAlignment="1">
      <alignment wrapText="1"/>
    </xf>
    <xf numFmtId="0" fontId="18" fillId="0" borderId="0" xfId="29" applyFont="1" applyAlignment="1">
      <alignment vertical="center"/>
    </xf>
    <xf numFmtId="3" fontId="18" fillId="0" borderId="0" xfId="29" applyNumberFormat="1" applyFont="1" applyAlignment="1">
      <alignment horizontal="center" vertical="center" wrapText="1"/>
    </xf>
    <xf numFmtId="3" fontId="18" fillId="0" borderId="0" xfId="29" applyNumberFormat="1" applyFont="1" applyAlignment="1">
      <alignment horizontal="center" vertical="center"/>
    </xf>
    <xf numFmtId="3" fontId="18" fillId="0" borderId="0" xfId="29" applyNumberFormat="1" applyFont="1" applyAlignment="1">
      <alignment horizontal="left" vertical="center"/>
    </xf>
    <xf numFmtId="3" fontId="18" fillId="0" borderId="0" xfId="29" applyNumberFormat="1" applyFont="1" applyAlignment="1">
      <alignment vertical="center"/>
    </xf>
    <xf numFmtId="3" fontId="48" fillId="0" borderId="0" xfId="29" applyNumberFormat="1" applyFont="1" applyAlignment="1">
      <alignment horizontal="left" vertical="center"/>
    </xf>
    <xf numFmtId="3" fontId="18" fillId="0" borderId="0" xfId="29" applyNumberFormat="1" applyFont="1" applyAlignment="1">
      <alignment horizontal="left" vertical="center" wrapText="1"/>
    </xf>
    <xf numFmtId="0" fontId="18" fillId="0" borderId="0" xfId="29" applyFont="1" applyAlignment="1">
      <alignment vertical="center" wrapText="1"/>
    </xf>
    <xf numFmtId="0" fontId="18" fillId="0" borderId="0" xfId="29" applyFont="1" applyAlignment="1">
      <alignment horizontal="center" vertical="center"/>
    </xf>
    <xf numFmtId="0" fontId="18" fillId="0" borderId="0" xfId="29" applyFont="1" applyAlignment="1">
      <alignment horizontal="center" vertical="center" wrapText="1"/>
    </xf>
    <xf numFmtId="0" fontId="48" fillId="0" borderId="0" xfId="29" applyFont="1" applyAlignment="1">
      <alignment vertical="center" wrapText="1"/>
    </xf>
    <xf numFmtId="4" fontId="23" fillId="0" borderId="10" xfId="29" applyNumberFormat="1" applyFont="1" applyBorder="1" applyAlignment="1">
      <alignment horizontal="center" vertical="top" wrapText="1"/>
    </xf>
    <xf numFmtId="4" fontId="23" fillId="0" borderId="4" xfId="29" applyNumberFormat="1" applyFont="1" applyBorder="1" applyAlignment="1">
      <alignment horizontal="center" vertical="top" wrapText="1"/>
    </xf>
    <xf numFmtId="0" fontId="17" fillId="0" borderId="0" xfId="29" applyFont="1" applyAlignment="1">
      <alignment vertical="center"/>
    </xf>
    <xf numFmtId="0" fontId="23" fillId="0" borderId="7" xfId="29" applyFont="1" applyBorder="1" applyAlignment="1">
      <alignment horizontal="center" vertical="top" wrapText="1"/>
    </xf>
    <xf numFmtId="0" fontId="23" fillId="0" borderId="11" xfId="29" applyFont="1" applyBorder="1" applyAlignment="1">
      <alignment horizontal="center" vertical="top" wrapText="1"/>
    </xf>
    <xf numFmtId="4" fontId="23" fillId="0" borderId="3" xfId="29" applyNumberFormat="1" applyFont="1" applyBorder="1" applyAlignment="1">
      <alignment horizontal="center" vertical="top" wrapText="1"/>
    </xf>
    <xf numFmtId="0" fontId="19" fillId="0" borderId="3" xfId="29" applyFont="1" applyBorder="1" applyAlignment="1">
      <alignment horizontal="center" vertical="center" wrapText="1"/>
    </xf>
    <xf numFmtId="0" fontId="19" fillId="0" borderId="3" xfId="29" applyFont="1" applyBorder="1" applyAlignment="1">
      <alignment vertical="center" wrapText="1"/>
    </xf>
    <xf numFmtId="3" fontId="19" fillId="0" borderId="3" xfId="29" applyNumberFormat="1" applyFont="1" applyBorder="1" applyAlignment="1">
      <alignment horizontal="center" vertical="center" wrapText="1"/>
    </xf>
    <xf numFmtId="0" fontId="19" fillId="0" borderId="0" xfId="29" applyFont="1" applyAlignment="1">
      <alignment horizontal="center" vertical="center"/>
    </xf>
    <xf numFmtId="0" fontId="64" fillId="0" borderId="1" xfId="29" applyFont="1" applyBorder="1" applyAlignment="1">
      <alignment horizontal="center" vertical="center"/>
    </xf>
    <xf numFmtId="0" fontId="64" fillId="0" borderId="6" xfId="29" applyFont="1" applyBorder="1" applyAlignment="1">
      <alignment horizontal="center" vertical="center"/>
    </xf>
    <xf numFmtId="0" fontId="64" fillId="0" borderId="6" xfId="29" applyFont="1" applyBorder="1" applyAlignment="1">
      <alignment horizontal="center" vertical="center" wrapText="1"/>
    </xf>
    <xf numFmtId="0" fontId="64" fillId="0" borderId="6" xfId="29" applyFont="1" applyBorder="1" applyAlignment="1">
      <alignment vertical="center" wrapText="1"/>
    </xf>
    <xf numFmtId="3" fontId="54" fillId="0" borderId="6" xfId="29" applyNumberFormat="1" applyFont="1" applyBorder="1" applyAlignment="1">
      <alignment horizontal="center" vertical="center" wrapText="1"/>
    </xf>
    <xf numFmtId="3" fontId="64" fillId="0" borderId="6" xfId="29" applyNumberFormat="1" applyFont="1" applyBorder="1" applyAlignment="1">
      <alignment horizontal="center" vertical="center" wrapText="1"/>
    </xf>
    <xf numFmtId="3" fontId="64" fillId="0" borderId="15" xfId="29" applyNumberFormat="1" applyFont="1" applyBorder="1" applyAlignment="1">
      <alignment horizontal="center" vertical="center" wrapText="1"/>
    </xf>
    <xf numFmtId="0" fontId="64" fillId="0" borderId="0" xfId="29" applyFont="1" applyAlignment="1">
      <alignment horizontal="center" vertical="center"/>
    </xf>
    <xf numFmtId="0" fontId="39" fillId="0" borderId="4" xfId="29" applyFont="1" applyBorder="1" applyAlignment="1">
      <alignment vertical="center" wrapText="1"/>
    </xf>
    <xf numFmtId="3" fontId="39" fillId="0" borderId="4" xfId="29" applyNumberFormat="1" applyFont="1" applyBorder="1" applyAlignment="1">
      <alignment horizontal="right" vertical="center" wrapText="1"/>
    </xf>
    <xf numFmtId="3" fontId="39" fillId="0" borderId="3" xfId="29" applyNumberFormat="1" applyFont="1" applyBorder="1" applyAlignment="1">
      <alignment horizontal="right" vertical="center" wrapText="1"/>
    </xf>
    <xf numFmtId="0" fontId="39" fillId="0" borderId="0" xfId="29" applyFont="1" applyAlignment="1">
      <alignment horizontal="center" vertical="center"/>
    </xf>
    <xf numFmtId="0" fontId="64" fillId="0" borderId="1" xfId="29" applyFont="1" applyBorder="1" applyAlignment="1">
      <alignment horizontal="center"/>
    </xf>
    <xf numFmtId="0" fontId="64" fillId="0" borderId="0" xfId="29" applyFont="1" applyAlignment="1">
      <alignment horizontal="center"/>
    </xf>
    <xf numFmtId="0" fontId="64" fillId="0" borderId="0" xfId="29" applyFont="1" applyAlignment="1">
      <alignment horizontal="center" wrapText="1"/>
    </xf>
    <xf numFmtId="0" fontId="64" fillId="0" borderId="0" xfId="29" applyFont="1" applyAlignment="1">
      <alignment horizontal="left" wrapText="1"/>
    </xf>
    <xf numFmtId="0" fontId="64" fillId="0" borderId="0" xfId="29" applyFont="1" applyAlignment="1">
      <alignment wrapText="1"/>
    </xf>
    <xf numFmtId="3" fontId="54" fillId="0" borderId="0" xfId="29" applyNumberFormat="1" applyFont="1" applyAlignment="1">
      <alignment horizontal="center" wrapText="1"/>
    </xf>
    <xf numFmtId="3" fontId="64" fillId="0" borderId="0" xfId="29" applyNumberFormat="1" applyFont="1" applyAlignment="1">
      <alignment horizontal="center" wrapText="1"/>
    </xf>
    <xf numFmtId="3" fontId="64" fillId="0" borderId="9" xfId="29" applyNumberFormat="1" applyFont="1" applyBorder="1" applyAlignment="1">
      <alignment horizontal="center" wrapText="1"/>
    </xf>
    <xf numFmtId="0" fontId="39" fillId="0" borderId="3" xfId="29" applyFont="1" applyBorder="1" applyAlignment="1">
      <alignment vertical="center"/>
    </xf>
    <xf numFmtId="3" fontId="39" fillId="0" borderId="3" xfId="29" applyNumberFormat="1" applyFont="1" applyBorder="1" applyAlignment="1">
      <alignment horizontal="right" vertical="center"/>
    </xf>
    <xf numFmtId="0" fontId="39" fillId="0" borderId="0" xfId="29" applyFont="1" applyAlignment="1">
      <alignment vertical="center"/>
    </xf>
    <xf numFmtId="0" fontId="64" fillId="0" borderId="2" xfId="29" applyFont="1" applyBorder="1" applyAlignment="1">
      <alignment horizontal="center"/>
    </xf>
    <xf numFmtId="0" fontId="64" fillId="0" borderId="12" xfId="29" applyFont="1" applyBorder="1" applyAlignment="1">
      <alignment horizontal="center"/>
    </xf>
    <xf numFmtId="0" fontId="64" fillId="0" borderId="12" xfId="29" applyFont="1" applyBorder="1" applyAlignment="1">
      <alignment horizontal="center" wrapText="1"/>
    </xf>
    <xf numFmtId="0" fontId="64" fillId="0" borderId="12" xfId="29" applyFont="1" applyBorder="1" applyAlignment="1">
      <alignment wrapText="1"/>
    </xf>
    <xf numFmtId="3" fontId="54" fillId="0" borderId="12" xfId="29" applyNumberFormat="1" applyFont="1" applyBorder="1" applyAlignment="1">
      <alignment horizontal="center" wrapText="1"/>
    </xf>
    <xf numFmtId="3" fontId="64" fillId="0" borderId="12" xfId="29" applyNumberFormat="1" applyFont="1" applyBorder="1" applyAlignment="1">
      <alignment horizontal="center" wrapText="1"/>
    </xf>
    <xf numFmtId="3" fontId="64" fillId="0" borderId="13" xfId="29" applyNumberFormat="1" applyFont="1" applyBorder="1" applyAlignment="1">
      <alignment horizontal="center" wrapText="1"/>
    </xf>
    <xf numFmtId="0" fontId="27" fillId="0" borderId="4" xfId="29" applyFont="1" applyBorder="1" applyAlignment="1">
      <alignment vertical="center" wrapText="1"/>
    </xf>
    <xf numFmtId="3" fontId="27" fillId="0" borderId="3" xfId="29" applyNumberFormat="1" applyFont="1" applyBorder="1" applyAlignment="1">
      <alignment vertical="center" wrapText="1"/>
    </xf>
    <xf numFmtId="0" fontId="23" fillId="0" borderId="0" xfId="29" applyFont="1" applyAlignment="1">
      <alignment vertical="top"/>
    </xf>
    <xf numFmtId="0" fontId="64" fillId="0" borderId="14" xfId="29" applyFont="1" applyBorder="1" applyAlignment="1">
      <alignment horizontal="center"/>
    </xf>
    <xf numFmtId="0" fontId="64" fillId="0" borderId="6" xfId="29" applyFont="1" applyBorder="1" applyAlignment="1">
      <alignment horizontal="center"/>
    </xf>
    <xf numFmtId="0" fontId="64" fillId="0" borderId="6" xfId="29" applyFont="1" applyBorder="1" applyAlignment="1">
      <alignment horizontal="center" wrapText="1"/>
    </xf>
    <xf numFmtId="0" fontId="64" fillId="0" borderId="6" xfId="29" applyFont="1" applyBorder="1" applyAlignment="1">
      <alignment horizontal="left" wrapText="1"/>
    </xf>
    <xf numFmtId="0" fontId="64" fillId="0" borderId="6" xfId="29" applyFont="1" applyBorder="1" applyAlignment="1">
      <alignment wrapText="1"/>
    </xf>
    <xf numFmtId="3" fontId="54" fillId="0" borderId="6" xfId="29" applyNumberFormat="1" applyFont="1" applyBorder="1" applyAlignment="1">
      <alignment horizontal="center" wrapText="1"/>
    </xf>
    <xf numFmtId="3" fontId="64" fillId="0" borderId="6" xfId="29" applyNumberFormat="1" applyFont="1" applyBorder="1" applyAlignment="1">
      <alignment horizontal="center" wrapText="1"/>
    </xf>
    <xf numFmtId="3" fontId="64" fillId="0" borderId="15" xfId="29" applyNumberFormat="1" applyFont="1" applyBorder="1" applyAlignment="1">
      <alignment horizontal="center" wrapText="1"/>
    </xf>
    <xf numFmtId="3" fontId="39" fillId="0" borderId="3" xfId="29" applyNumberFormat="1" applyFont="1" applyBorder="1" applyAlignment="1">
      <alignment vertical="center"/>
    </xf>
    <xf numFmtId="49" fontId="65" fillId="0" borderId="4" xfId="29" applyNumberFormat="1" applyFont="1" applyBorder="1" applyAlignment="1">
      <alignment vertical="center"/>
    </xf>
    <xf numFmtId="3" fontId="65" fillId="0" borderId="3" xfId="29" applyNumberFormat="1" applyFont="1" applyBorder="1" applyAlignment="1">
      <alignment vertical="center" wrapText="1"/>
    </xf>
    <xf numFmtId="0" fontId="24" fillId="0" borderId="0" xfId="29" applyFont="1" applyAlignment="1">
      <alignment vertical="center"/>
    </xf>
    <xf numFmtId="49" fontId="26" fillId="0" borderId="5" xfId="29" applyNumberFormat="1" applyFont="1" applyBorder="1" applyAlignment="1">
      <alignment horizontal="left" vertical="center"/>
    </xf>
    <xf numFmtId="49" fontId="26" fillId="0" borderId="10" xfId="29" applyNumberFormat="1" applyFont="1" applyBorder="1" applyAlignment="1">
      <alignment horizontal="left" vertical="center"/>
    </xf>
    <xf numFmtId="49" fontId="26" fillId="0" borderId="10" xfId="29" applyNumberFormat="1" applyFont="1" applyBorder="1" applyAlignment="1">
      <alignment vertical="center"/>
    </xf>
    <xf numFmtId="3" fontId="44" fillId="0" borderId="10" xfId="29" applyNumberFormat="1" applyFont="1" applyBorder="1" applyAlignment="1">
      <alignment vertical="center" wrapText="1"/>
    </xf>
    <xf numFmtId="3" fontId="27" fillId="0" borderId="10" xfId="29" applyNumberFormat="1" applyFont="1" applyBorder="1" applyAlignment="1">
      <alignment vertical="center" wrapText="1"/>
    </xf>
    <xf numFmtId="3" fontId="27" fillId="0" borderId="4" xfId="29" applyNumberFormat="1" applyFont="1" applyBorder="1" applyAlignment="1">
      <alignment vertical="center" wrapText="1"/>
    </xf>
    <xf numFmtId="0" fontId="23" fillId="0" borderId="0" xfId="29" applyFont="1" applyAlignment="1">
      <alignment vertical="center"/>
    </xf>
    <xf numFmtId="0" fontId="18" fillId="0" borderId="0" xfId="29" applyFont="1" applyAlignment="1">
      <alignment vertical="top"/>
    </xf>
    <xf numFmtId="0" fontId="28" fillId="0" borderId="15" xfId="29" applyFont="1" applyBorder="1" applyAlignment="1">
      <alignment vertical="center" wrapText="1"/>
    </xf>
    <xf numFmtId="3" fontId="28" fillId="0" borderId="7" xfId="29" applyNumberFormat="1" applyFont="1" applyBorder="1" applyAlignment="1">
      <alignment vertical="center" wrapText="1"/>
    </xf>
    <xf numFmtId="3" fontId="28" fillId="0" borderId="3" xfId="29" applyNumberFormat="1" applyFont="1" applyBorder="1" applyAlignment="1">
      <alignment vertical="center" wrapText="1"/>
    </xf>
    <xf numFmtId="0" fontId="21" fillId="0" borderId="0" xfId="29" applyFont="1" applyAlignment="1">
      <alignment vertical="center"/>
    </xf>
    <xf numFmtId="0" fontId="28" fillId="0" borderId="4" xfId="29" applyFont="1" applyBorder="1" applyAlignment="1">
      <alignment vertical="center" wrapText="1"/>
    </xf>
    <xf numFmtId="0" fontId="28" fillId="0" borderId="9" xfId="29" applyFont="1" applyBorder="1" applyAlignment="1">
      <alignment vertical="center" wrapText="1"/>
    </xf>
    <xf numFmtId="3" fontId="28" fillId="0" borderId="8" xfId="29" applyNumberFormat="1" applyFont="1" applyBorder="1" applyAlignment="1">
      <alignment vertical="center" wrapText="1"/>
    </xf>
    <xf numFmtId="0" fontId="64" fillId="0" borderId="5" xfId="29" applyFont="1" applyBorder="1" applyAlignment="1">
      <alignment horizontal="center"/>
    </xf>
    <xf numFmtId="0" fontId="64" fillId="0" borderId="10" xfId="29" applyFont="1" applyBorder="1" applyAlignment="1">
      <alignment horizontal="center"/>
    </xf>
    <xf numFmtId="0" fontId="64" fillId="0" borderId="10" xfId="29" applyFont="1" applyBorder="1" applyAlignment="1">
      <alignment horizontal="center" wrapText="1"/>
    </xf>
    <xf numFmtId="0" fontId="64" fillId="0" borderId="10" xfId="29" applyFont="1" applyBorder="1" applyAlignment="1">
      <alignment wrapText="1"/>
    </xf>
    <xf numFmtId="3" fontId="54" fillId="0" borderId="10" xfId="29" applyNumberFormat="1" applyFont="1" applyBorder="1" applyAlignment="1">
      <alignment horizontal="center" wrapText="1"/>
    </xf>
    <xf numFmtId="3" fontId="64" fillId="0" borderId="10" xfId="29" applyNumberFormat="1" applyFont="1" applyBorder="1" applyAlignment="1">
      <alignment horizontal="center" wrapText="1"/>
    </xf>
    <xf numFmtId="3" fontId="64" fillId="0" borderId="4" xfId="29" applyNumberFormat="1" applyFont="1" applyBorder="1" applyAlignment="1">
      <alignment horizontal="center" wrapText="1"/>
    </xf>
    <xf numFmtId="49" fontId="66" fillId="0" borderId="4" xfId="29" applyNumberFormat="1" applyFont="1" applyBorder="1" applyAlignment="1">
      <alignment vertical="center"/>
    </xf>
    <xf numFmtId="3" fontId="66" fillId="0" borderId="3" xfId="29" applyNumberFormat="1" applyFont="1" applyBorder="1" applyAlignment="1">
      <alignment vertical="center" wrapText="1"/>
    </xf>
    <xf numFmtId="0" fontId="54" fillId="0" borderId="0" xfId="29" applyFont="1" applyAlignment="1">
      <alignment vertical="center"/>
    </xf>
    <xf numFmtId="49" fontId="26" fillId="0" borderId="14" xfId="29" applyNumberFormat="1" applyFont="1" applyBorder="1" applyAlignment="1">
      <alignment horizontal="left" vertical="center"/>
    </xf>
    <xf numFmtId="49" fontId="26" fillId="0" borderId="6" xfId="29" applyNumberFormat="1" applyFont="1" applyBorder="1" applyAlignment="1">
      <alignment horizontal="left" vertical="center"/>
    </xf>
    <xf numFmtId="49" fontId="27" fillId="0" borderId="7" xfId="29" applyNumberFormat="1" applyFont="1" applyBorder="1" applyAlignment="1">
      <alignment horizontal="center" vertical="center" wrapText="1"/>
    </xf>
    <xf numFmtId="0" fontId="27" fillId="0" borderId="14" xfId="29" applyFont="1" applyBorder="1" applyAlignment="1">
      <alignment vertical="center" wrapText="1"/>
    </xf>
    <xf numFmtId="3" fontId="27" fillId="0" borderId="7" xfId="29" applyNumberFormat="1" applyFont="1" applyBorder="1" applyAlignment="1">
      <alignment vertical="center" wrapText="1"/>
    </xf>
    <xf numFmtId="0" fontId="27" fillId="0" borderId="8" xfId="29" applyFont="1" applyBorder="1" applyAlignment="1">
      <alignment horizontal="center" vertical="center" wrapText="1"/>
    </xf>
    <xf numFmtId="49" fontId="27" fillId="0" borderId="8" xfId="29" applyNumberFormat="1" applyFont="1" applyBorder="1" applyAlignment="1">
      <alignment horizontal="center" vertical="center" wrapText="1"/>
    </xf>
    <xf numFmtId="0" fontId="27" fillId="0" borderId="8" xfId="29" applyFont="1" applyBorder="1" applyAlignment="1">
      <alignment horizontal="center" vertical="top" wrapText="1"/>
    </xf>
    <xf numFmtId="0" fontId="27" fillId="0" borderId="3" xfId="29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7" fillId="0" borderId="11" xfId="29" applyFont="1" applyBorder="1" applyAlignment="1">
      <alignment horizontal="center" vertical="center" wrapText="1"/>
    </xf>
    <xf numFmtId="0" fontId="27" fillId="0" borderId="5" xfId="29" applyFont="1" applyBorder="1" applyAlignment="1">
      <alignment vertical="center" wrapText="1"/>
    </xf>
    <xf numFmtId="0" fontId="27" fillId="0" borderId="7" xfId="29" applyFont="1" applyBorder="1" applyAlignment="1">
      <alignment horizontal="center" vertical="center" wrapText="1"/>
    </xf>
    <xf numFmtId="0" fontId="27" fillId="0" borderId="9" xfId="29" applyFont="1" applyBorder="1" applyAlignment="1">
      <alignment horizontal="center" vertical="center" wrapText="1"/>
    </xf>
    <xf numFmtId="0" fontId="27" fillId="0" borderId="0" xfId="29" applyFont="1" applyAlignment="1">
      <alignment horizontal="center" vertical="center" wrapText="1"/>
    </xf>
    <xf numFmtId="49" fontId="66" fillId="0" borderId="4" xfId="29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9" fontId="27" fillId="0" borderId="7" xfId="29" applyNumberFormat="1" applyFont="1" applyBorder="1" applyAlignment="1">
      <alignment horizontal="center" vertical="top" wrapText="1"/>
    </xf>
    <xf numFmtId="49" fontId="27" fillId="0" borderId="8" xfId="29" applyNumberFormat="1" applyFont="1" applyBorder="1" applyAlignment="1">
      <alignment horizontal="center" vertical="top" wrapText="1"/>
    </xf>
    <xf numFmtId="49" fontId="27" fillId="0" borderId="11" xfId="29" applyNumberFormat="1" applyFont="1" applyBorder="1" applyAlignment="1">
      <alignment horizontal="center" vertical="top" wrapText="1"/>
    </xf>
    <xf numFmtId="0" fontId="27" fillId="0" borderId="13" xfId="29" applyFont="1" applyBorder="1" applyAlignment="1">
      <alignment vertical="center" wrapText="1"/>
    </xf>
    <xf numFmtId="3" fontId="27" fillId="0" borderId="11" xfId="29" applyNumberFormat="1" applyFont="1" applyBorder="1" applyAlignment="1">
      <alignment vertical="center" wrapText="1"/>
    </xf>
    <xf numFmtId="0" fontId="27" fillId="0" borderId="15" xfId="29" applyFont="1" applyBorder="1" applyAlignment="1">
      <alignment vertical="center" wrapText="1"/>
    </xf>
    <xf numFmtId="0" fontId="27" fillId="0" borderId="3" xfId="29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27" fillId="0" borderId="11" xfId="29" applyFont="1" applyBorder="1" applyAlignment="1">
      <alignment vertical="center" wrapText="1"/>
    </xf>
    <xf numFmtId="3" fontId="27" fillId="0" borderId="3" xfId="29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49" fontId="26" fillId="0" borderId="6" xfId="29" applyNumberFormat="1" applyFont="1" applyBorder="1" applyAlignment="1">
      <alignment vertical="center"/>
    </xf>
    <xf numFmtId="3" fontId="44" fillId="0" borderId="6" xfId="29" applyNumberFormat="1" applyFont="1" applyBorder="1" applyAlignment="1">
      <alignment vertical="center" wrapText="1"/>
    </xf>
    <xf numFmtId="3" fontId="27" fillId="0" borderId="6" xfId="29" applyNumberFormat="1" applyFont="1" applyBorder="1" applyAlignment="1">
      <alignment vertical="center" wrapText="1"/>
    </xf>
    <xf numFmtId="3" fontId="27" fillId="0" borderId="15" xfId="29" applyNumberFormat="1" applyFont="1" applyBorder="1" applyAlignment="1">
      <alignment vertical="center" wrapText="1"/>
    </xf>
    <xf numFmtId="4" fontId="48" fillId="0" borderId="0" xfId="29" applyNumberFormat="1" applyFont="1" applyAlignment="1">
      <alignment vertical="center" wrapText="1"/>
    </xf>
    <xf numFmtId="4" fontId="18" fillId="0" borderId="0" xfId="29" applyNumberFormat="1" applyFont="1" applyAlignment="1">
      <alignment vertical="center" wrapText="1"/>
    </xf>
    <xf numFmtId="0" fontId="70" fillId="0" borderId="0" xfId="29" applyFont="1" applyAlignment="1">
      <alignment horizontal="left"/>
    </xf>
    <xf numFmtId="0" fontId="70" fillId="0" borderId="0" xfId="29" applyFont="1" applyAlignment="1">
      <alignment horizontal="center"/>
    </xf>
    <xf numFmtId="0" fontId="48" fillId="0" borderId="0" xfId="29" applyFont="1" applyAlignment="1">
      <alignment wrapText="1"/>
    </xf>
    <xf numFmtId="0" fontId="18" fillId="0" borderId="0" xfId="29" applyFont="1" applyAlignment="1">
      <alignment wrapText="1"/>
    </xf>
    <xf numFmtId="3" fontId="18" fillId="0" borderId="0" xfId="29" applyNumberFormat="1" applyFont="1" applyAlignment="1">
      <alignment wrapText="1"/>
    </xf>
    <xf numFmtId="0" fontId="18" fillId="0" borderId="0" xfId="29" applyFont="1"/>
    <xf numFmtId="0" fontId="48" fillId="0" borderId="0" xfId="29" applyFont="1" applyAlignment="1">
      <alignment horizontal="left" vertical="center"/>
    </xf>
    <xf numFmtId="0" fontId="48" fillId="0" borderId="0" xfId="29" applyFont="1" applyAlignment="1">
      <alignment horizontal="center" vertical="center"/>
    </xf>
    <xf numFmtId="0" fontId="18" fillId="0" borderId="0" xfId="29" applyFont="1" applyAlignment="1">
      <alignment horizontal="center"/>
    </xf>
    <xf numFmtId="0" fontId="18" fillId="0" borderId="0" xfId="29" applyFont="1" applyAlignment="1">
      <alignment horizontal="left"/>
    </xf>
    <xf numFmtId="0" fontId="18" fillId="0" borderId="0" xfId="29" applyFont="1" applyAlignment="1">
      <alignment horizontal="center" wrapText="1"/>
    </xf>
    <xf numFmtId="4" fontId="48" fillId="0" borderId="0" xfId="29" applyNumberFormat="1" applyFont="1" applyAlignment="1">
      <alignment wrapText="1"/>
    </xf>
    <xf numFmtId="4" fontId="18" fillId="0" borderId="0" xfId="29" applyNumberFormat="1" applyFont="1" applyAlignment="1">
      <alignment wrapText="1"/>
    </xf>
    <xf numFmtId="3" fontId="18" fillId="0" borderId="0" xfId="29" applyNumberFormat="1" applyFont="1" applyAlignment="1">
      <alignment horizontal="left" wrapText="1"/>
    </xf>
    <xf numFmtId="0" fontId="17" fillId="0" borderId="7" xfId="29" applyFont="1" applyBorder="1" applyAlignment="1">
      <alignment horizontal="center" vertical="top" wrapText="1"/>
    </xf>
    <xf numFmtId="0" fontId="17" fillId="0" borderId="0" xfId="29" applyFont="1" applyAlignment="1">
      <alignment vertical="center" wrapText="1"/>
    </xf>
    <xf numFmtId="0" fontId="64" fillId="0" borderId="3" xfId="29" applyFont="1" applyBorder="1" applyAlignment="1">
      <alignment horizontal="center"/>
    </xf>
    <xf numFmtId="0" fontId="64" fillId="0" borderId="3" xfId="29" applyFont="1" applyBorder="1" applyAlignment="1">
      <alignment horizontal="center" wrapText="1"/>
    </xf>
    <xf numFmtId="3" fontId="64" fillId="0" borderId="3" xfId="29" applyNumberFormat="1" applyFont="1" applyBorder="1" applyAlignment="1">
      <alignment horizontal="center" wrapText="1"/>
    </xf>
    <xf numFmtId="0" fontId="25" fillId="0" borderId="3" xfId="29" applyFont="1" applyBorder="1" applyAlignment="1">
      <alignment horizontal="center" vertical="center" wrapText="1"/>
    </xf>
    <xf numFmtId="3" fontId="25" fillId="0" borderId="3" xfId="29" applyNumberFormat="1" applyFont="1" applyBorder="1" applyAlignment="1">
      <alignment horizontal="right" vertical="center" wrapText="1"/>
    </xf>
    <xf numFmtId="0" fontId="25" fillId="0" borderId="0" xfId="29" applyFont="1" applyAlignment="1">
      <alignment horizontal="center" vertical="center"/>
    </xf>
    <xf numFmtId="0" fontId="71" fillId="0" borderId="3" xfId="0" applyFont="1" applyBorder="1" applyAlignment="1">
      <alignment horizontal="center" vertical="center" wrapText="1"/>
    </xf>
    <xf numFmtId="49" fontId="18" fillId="0" borderId="7" xfId="29" applyNumberFormat="1" applyFont="1" applyBorder="1" applyAlignment="1">
      <alignment horizontal="center" vertical="top"/>
    </xf>
    <xf numFmtId="0" fontId="18" fillId="0" borderId="3" xfId="29" applyFont="1" applyBorder="1" applyAlignment="1">
      <alignment horizontal="center" vertical="center" wrapText="1"/>
    </xf>
    <xf numFmtId="3" fontId="18" fillId="0" borderId="3" xfId="29" applyNumberFormat="1" applyFont="1" applyBorder="1" applyAlignment="1">
      <alignment horizontal="right" vertical="center"/>
    </xf>
    <xf numFmtId="3" fontId="18" fillId="0" borderId="3" xfId="29" applyNumberFormat="1" applyFont="1" applyBorder="1" applyAlignment="1">
      <alignment vertical="center" wrapText="1"/>
    </xf>
    <xf numFmtId="0" fontId="18" fillId="0" borderId="0" xfId="29" applyFont="1" applyAlignment="1">
      <alignment vertical="top" wrapText="1"/>
    </xf>
    <xf numFmtId="49" fontId="18" fillId="0" borderId="8" xfId="29" applyNumberFormat="1" applyFont="1" applyBorder="1" applyAlignment="1">
      <alignment horizontal="center" vertical="top"/>
    </xf>
    <xf numFmtId="49" fontId="18" fillId="0" borderId="11" xfId="29" applyNumberFormat="1" applyFont="1" applyBorder="1" applyAlignment="1">
      <alignment horizontal="center" vertical="top"/>
    </xf>
    <xf numFmtId="0" fontId="48" fillId="0" borderId="0" xfId="29" applyFont="1" applyAlignment="1">
      <alignment vertical="center"/>
    </xf>
    <xf numFmtId="0" fontId="18" fillId="0" borderId="0" xfId="29" applyFont="1" applyAlignment="1">
      <alignment horizontal="left" wrapText="1"/>
    </xf>
    <xf numFmtId="0" fontId="18" fillId="0" borderId="0" xfId="29" applyFont="1" applyAlignment="1">
      <alignment horizontal="left" vertical="center" wrapText="1"/>
    </xf>
    <xf numFmtId="0" fontId="48" fillId="0" borderId="0" xfId="29" applyFont="1" applyAlignment="1">
      <alignment horizontal="left" wrapText="1"/>
    </xf>
    <xf numFmtId="0" fontId="48" fillId="0" borderId="0" xfId="29" applyFont="1" applyAlignment="1">
      <alignment horizontal="left"/>
    </xf>
    <xf numFmtId="0" fontId="48" fillId="0" borderId="0" xfId="29" applyFont="1"/>
    <xf numFmtId="0" fontId="48" fillId="0" borderId="0" xfId="29" applyFont="1" applyAlignment="1">
      <alignment horizontal="center" vertical="center" wrapText="1"/>
    </xf>
    <xf numFmtId="0" fontId="23" fillId="0" borderId="0" xfId="29" applyFont="1"/>
    <xf numFmtId="0" fontId="17" fillId="0" borderId="0" xfId="29" applyFont="1"/>
    <xf numFmtId="3" fontId="18" fillId="0" borderId="0" xfId="29" applyNumberFormat="1" applyFont="1"/>
    <xf numFmtId="3" fontId="18" fillId="0" borderId="0" xfId="29" applyNumberFormat="1" applyFont="1" applyAlignment="1">
      <alignment horizontal="center" wrapText="1"/>
    </xf>
    <xf numFmtId="0" fontId="17" fillId="0" borderId="14" xfId="29" applyFont="1" applyBorder="1" applyAlignment="1">
      <alignment horizontal="center" vertical="top" wrapText="1"/>
    </xf>
    <xf numFmtId="0" fontId="64" fillId="0" borderId="5" xfId="29" applyFont="1" applyBorder="1" applyAlignment="1">
      <alignment horizontal="center" wrapText="1"/>
    </xf>
    <xf numFmtId="0" fontId="18" fillId="0" borderId="8" xfId="31" applyNumberFormat="1" applyFont="1" applyFill="1" applyBorder="1" applyAlignment="1">
      <alignment horizontal="center" vertical="top"/>
    </xf>
    <xf numFmtId="1" fontId="18" fillId="0" borderId="8" xfId="31" applyNumberFormat="1" applyFont="1" applyFill="1" applyBorder="1" applyAlignment="1">
      <alignment horizontal="center" vertical="top"/>
    </xf>
    <xf numFmtId="9" fontId="18" fillId="0" borderId="7" xfId="31" applyFont="1" applyFill="1" applyBorder="1" applyAlignment="1">
      <alignment horizontal="center" vertical="center" wrapText="1"/>
    </xf>
    <xf numFmtId="3" fontId="18" fillId="0" borderId="3" xfId="31" applyNumberFormat="1" applyFont="1" applyFill="1" applyBorder="1" applyAlignment="1">
      <alignment horizontal="right" vertical="center"/>
    </xf>
    <xf numFmtId="3" fontId="18" fillId="0" borderId="3" xfId="31" applyNumberFormat="1" applyFont="1" applyFill="1" applyBorder="1" applyAlignment="1">
      <alignment vertical="center" wrapText="1"/>
    </xf>
    <xf numFmtId="9" fontId="18" fillId="0" borderId="0" xfId="31" applyFont="1" applyFill="1" applyAlignment="1">
      <alignment vertical="top" wrapText="1"/>
    </xf>
    <xf numFmtId="9" fontId="18" fillId="0" borderId="0" xfId="31" applyFont="1" applyFill="1" applyAlignment="1">
      <alignment vertical="top"/>
    </xf>
    <xf numFmtId="1" fontId="18" fillId="0" borderId="7" xfId="31" applyNumberFormat="1" applyFont="1" applyFill="1" applyBorder="1" applyAlignment="1">
      <alignment horizontal="center" vertical="top"/>
    </xf>
    <xf numFmtId="9" fontId="18" fillId="0" borderId="3" xfId="31" applyFont="1" applyFill="1" applyBorder="1" applyAlignment="1">
      <alignment horizontal="center" vertical="center" wrapText="1"/>
    </xf>
    <xf numFmtId="9" fontId="18" fillId="0" borderId="8" xfId="31" applyFont="1" applyFill="1" applyBorder="1" applyAlignment="1">
      <alignment horizontal="center" vertical="top"/>
    </xf>
    <xf numFmtId="0" fontId="18" fillId="0" borderId="3" xfId="29" applyFont="1" applyBorder="1" applyAlignment="1">
      <alignment horizontal="center" vertical="top" wrapText="1"/>
    </xf>
    <xf numFmtId="3" fontId="18" fillId="0" borderId="3" xfId="29" applyNumberFormat="1" applyFont="1" applyBorder="1" applyAlignment="1">
      <alignment horizontal="right" vertical="top"/>
    </xf>
    <xf numFmtId="3" fontId="18" fillId="0" borderId="3" xfId="29" applyNumberFormat="1" applyFont="1" applyBorder="1" applyAlignment="1">
      <alignment vertical="top" wrapText="1"/>
    </xf>
    <xf numFmtId="3" fontId="18" fillId="0" borderId="0" xfId="29" applyNumberFormat="1" applyFont="1" applyAlignment="1">
      <alignment vertical="top"/>
    </xf>
    <xf numFmtId="9" fontId="18" fillId="0" borderId="11" xfId="31" applyFont="1" applyFill="1" applyBorder="1" applyAlignment="1">
      <alignment horizontal="center" vertical="top"/>
    </xf>
    <xf numFmtId="1" fontId="18" fillId="0" borderId="11" xfId="31" applyNumberFormat="1" applyFont="1" applyFill="1" applyBorder="1" applyAlignment="1">
      <alignment horizontal="center" vertical="top"/>
    </xf>
    <xf numFmtId="9" fontId="18" fillId="0" borderId="7" xfId="3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8" fillId="0" borderId="11" xfId="29" applyFont="1" applyBorder="1" applyAlignment="1">
      <alignment horizontal="center" vertical="center" wrapText="1"/>
    </xf>
    <xf numFmtId="3" fontId="18" fillId="0" borderId="11" xfId="29" applyNumberFormat="1" applyFont="1" applyBorder="1" applyAlignment="1">
      <alignment horizontal="right" vertical="center"/>
    </xf>
    <xf numFmtId="3" fontId="18" fillId="0" borderId="11" xfId="29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3" fontId="33" fillId="0" borderId="0" xfId="32" applyNumberFormat="1" applyFont="1" applyAlignment="1">
      <alignment horizontal="center" vertical="top"/>
    </xf>
    <xf numFmtId="0" fontId="18" fillId="0" borderId="0" xfId="29" applyFont="1" applyAlignment="1">
      <alignment horizontal="right"/>
    </xf>
    <xf numFmtId="0" fontId="33" fillId="0" borderId="0" xfId="32" applyFont="1" applyAlignment="1">
      <alignment horizontal="center" vertical="top"/>
    </xf>
    <xf numFmtId="3" fontId="27" fillId="0" borderId="0" xfId="32" applyNumberFormat="1" applyFont="1"/>
    <xf numFmtId="0" fontId="33" fillId="0" borderId="0" xfId="32" applyFont="1" applyAlignment="1">
      <alignment vertical="top"/>
    </xf>
    <xf numFmtId="4" fontId="33" fillId="0" borderId="0" xfId="32" applyNumberFormat="1" applyFont="1" applyAlignment="1">
      <alignment vertical="top"/>
    </xf>
    <xf numFmtId="0" fontId="34" fillId="0" borderId="8" xfId="32" applyFont="1" applyBorder="1" applyAlignment="1">
      <alignment horizontal="center" vertical="center" wrapText="1"/>
    </xf>
    <xf numFmtId="0" fontId="34" fillId="0" borderId="8" xfId="32" applyFont="1" applyBorder="1" applyAlignment="1">
      <alignment horizontal="center" vertical="center"/>
    </xf>
    <xf numFmtId="0" fontId="34" fillId="0" borderId="11" xfId="32" applyFont="1" applyBorder="1" applyAlignment="1">
      <alignment horizontal="center" vertical="center"/>
    </xf>
    <xf numFmtId="0" fontId="34" fillId="0" borderId="12" xfId="32" applyFont="1" applyBorder="1" applyAlignment="1">
      <alignment horizontal="center" vertical="center" wrapText="1"/>
    </xf>
    <xf numFmtId="0" fontId="34" fillId="0" borderId="3" xfId="32" applyFont="1" applyBorder="1" applyAlignment="1">
      <alignment horizontal="center" vertical="center" wrapText="1"/>
    </xf>
    <xf numFmtId="0" fontId="34" fillId="0" borderId="7" xfId="32" applyFont="1" applyBorder="1" applyAlignment="1">
      <alignment horizontal="center" vertical="center"/>
    </xf>
    <xf numFmtId="0" fontId="34" fillId="0" borderId="3" xfId="32" applyFont="1" applyBorder="1" applyAlignment="1">
      <alignment horizontal="center" vertical="center"/>
    </xf>
    <xf numFmtId="4" fontId="34" fillId="0" borderId="0" xfId="32" applyNumberFormat="1" applyFont="1" applyAlignment="1">
      <alignment horizontal="center" vertical="center"/>
    </xf>
    <xf numFmtId="0" fontId="34" fillId="0" borderId="0" xfId="32" applyFont="1" applyAlignment="1">
      <alignment horizontal="center" vertical="center"/>
    </xf>
    <xf numFmtId="3" fontId="72" fillId="0" borderId="3" xfId="32" applyNumberFormat="1" applyFont="1" applyBorder="1" applyAlignment="1">
      <alignment horizontal="center" vertical="center"/>
    </xf>
    <xf numFmtId="0" fontId="72" fillId="0" borderId="3" xfId="32" applyFont="1" applyBorder="1" applyAlignment="1">
      <alignment horizontal="center" vertical="center" wrapText="1"/>
    </xf>
    <xf numFmtId="0" fontId="72" fillId="0" borderId="3" xfId="32" applyFont="1" applyBorder="1" applyAlignment="1">
      <alignment horizontal="center" vertical="center"/>
    </xf>
    <xf numFmtId="0" fontId="72" fillId="0" borderId="7" xfId="32" applyFont="1" applyBorder="1" applyAlignment="1">
      <alignment horizontal="center" vertical="center" wrapText="1"/>
    </xf>
    <xf numFmtId="0" fontId="72" fillId="0" borderId="8" xfId="32" applyFont="1" applyBorder="1" applyAlignment="1">
      <alignment horizontal="center" vertical="center" wrapText="1"/>
    </xf>
    <xf numFmtId="0" fontId="72" fillId="0" borderId="8" xfId="32" applyFont="1" applyBorder="1" applyAlignment="1">
      <alignment horizontal="center" vertical="center"/>
    </xf>
    <xf numFmtId="4" fontId="72" fillId="0" borderId="0" xfId="32" applyNumberFormat="1" applyFont="1" applyAlignment="1">
      <alignment horizontal="center" vertical="center"/>
    </xf>
    <xf numFmtId="0" fontId="72" fillId="0" borderId="0" xfId="32" applyFont="1" applyAlignment="1">
      <alignment horizontal="center" vertical="center"/>
    </xf>
    <xf numFmtId="3" fontId="34" fillId="0" borderId="14" xfId="32" applyNumberFormat="1" applyFont="1" applyBorder="1" applyAlignment="1">
      <alignment horizontal="center" vertical="top"/>
    </xf>
    <xf numFmtId="0" fontId="34" fillId="0" borderId="5" xfId="32" applyFont="1" applyBorder="1" applyAlignment="1">
      <alignment horizontal="center" vertical="top" wrapText="1"/>
    </xf>
    <xf numFmtId="0" fontId="34" fillId="0" borderId="15" xfId="32" applyFont="1" applyBorder="1" applyAlignment="1">
      <alignment vertical="top" wrapText="1"/>
    </xf>
    <xf numFmtId="4" fontId="34" fillId="0" borderId="7" xfId="32" applyNumberFormat="1" applyFont="1" applyBorder="1" applyAlignment="1">
      <alignment vertical="top"/>
    </xf>
    <xf numFmtId="3" fontId="33" fillId="0" borderId="0" xfId="32" applyNumberFormat="1" applyFont="1" applyAlignment="1">
      <alignment vertical="center"/>
    </xf>
    <xf numFmtId="0" fontId="34" fillId="0" borderId="0" xfId="32" applyFont="1" applyAlignment="1">
      <alignment vertical="top"/>
    </xf>
    <xf numFmtId="3" fontId="33" fillId="0" borderId="1" xfId="32" applyNumberFormat="1" applyFont="1" applyBorder="1" applyAlignment="1">
      <alignment horizontal="center" vertical="top"/>
    </xf>
    <xf numFmtId="0" fontId="33" fillId="0" borderId="7" xfId="32" applyFont="1" applyBorder="1" applyAlignment="1">
      <alignment horizontal="center" vertical="top" wrapText="1"/>
    </xf>
    <xf numFmtId="0" fontId="33" fillId="0" borderId="7" xfId="32" applyFont="1" applyBorder="1" applyAlignment="1">
      <alignment horizontal="left" vertical="top" wrapText="1"/>
    </xf>
    <xf numFmtId="4" fontId="33" fillId="0" borderId="7" xfId="32" applyNumberFormat="1" applyFont="1" applyBorder="1" applyAlignment="1">
      <alignment vertical="top"/>
    </xf>
    <xf numFmtId="0" fontId="33" fillId="0" borderId="7" xfId="32" applyFont="1" applyBorder="1" applyAlignment="1">
      <alignment horizontal="center" vertical="top"/>
    </xf>
    <xf numFmtId="3" fontId="33" fillId="0" borderId="7" xfId="32" applyNumberFormat="1" applyFont="1" applyBorder="1" applyAlignment="1">
      <alignment vertical="top"/>
    </xf>
    <xf numFmtId="0" fontId="33" fillId="0" borderId="0" xfId="32" applyFont="1" applyAlignment="1">
      <alignment horizontal="center" vertical="center"/>
    </xf>
    <xf numFmtId="0" fontId="72" fillId="0" borderId="20" xfId="32" applyFont="1" applyBorder="1" applyAlignment="1">
      <alignment horizontal="center" vertical="top" wrapText="1"/>
    </xf>
    <xf numFmtId="0" fontId="72" fillId="0" borderId="21" xfId="32" applyFont="1" applyBorder="1" applyAlignment="1">
      <alignment horizontal="left" vertical="top"/>
    </xf>
    <xf numFmtId="4" fontId="72" fillId="0" borderId="20" xfId="32" applyNumberFormat="1" applyFont="1" applyBorder="1" applyAlignment="1">
      <alignment vertical="top"/>
    </xf>
    <xf numFmtId="0" fontId="33" fillId="0" borderId="20" xfId="32" applyFont="1" applyBorder="1" applyAlignment="1">
      <alignment horizontal="center" vertical="top"/>
    </xf>
    <xf numFmtId="3" fontId="72" fillId="0" borderId="20" xfId="32" applyNumberFormat="1" applyFont="1" applyBorder="1" applyAlignment="1">
      <alignment vertical="top"/>
    </xf>
    <xf numFmtId="0" fontId="72" fillId="0" borderId="22" xfId="32" applyFont="1" applyBorder="1" applyAlignment="1">
      <alignment horizontal="center" vertical="top" wrapText="1"/>
    </xf>
    <xf numFmtId="0" fontId="72" fillId="0" borderId="23" xfId="32" applyFont="1" applyBorder="1" applyAlignment="1">
      <alignment horizontal="left" vertical="top" wrapText="1"/>
    </xf>
    <xf numFmtId="4" fontId="72" fillId="0" borderId="22" xfId="32" applyNumberFormat="1" applyFont="1" applyBorder="1" applyAlignment="1">
      <alignment vertical="top"/>
    </xf>
    <xf numFmtId="0" fontId="33" fillId="0" borderId="22" xfId="32" applyFont="1" applyBorder="1" applyAlignment="1">
      <alignment horizontal="center" vertical="top"/>
    </xf>
    <xf numFmtId="3" fontId="72" fillId="0" borderId="22" xfId="32" applyNumberFormat="1" applyFont="1" applyBorder="1" applyAlignment="1">
      <alignment vertical="top"/>
    </xf>
    <xf numFmtId="4" fontId="33" fillId="0" borderId="7" xfId="32" applyNumberFormat="1" applyFont="1" applyBorder="1" applyAlignment="1">
      <alignment horizontal="left" vertical="top"/>
    </xf>
    <xf numFmtId="4" fontId="33" fillId="0" borderId="7" xfId="32" applyNumberFormat="1" applyFont="1" applyBorder="1" applyAlignment="1">
      <alignment horizontal="center" vertical="top"/>
    </xf>
    <xf numFmtId="4" fontId="33" fillId="0" borderId="7" xfId="32" applyNumberFormat="1" applyFont="1" applyBorder="1" applyAlignment="1">
      <alignment horizontal="right" vertical="top"/>
    </xf>
    <xf numFmtId="4" fontId="33" fillId="0" borderId="0" xfId="32" applyNumberFormat="1" applyFont="1" applyAlignment="1">
      <alignment vertical="center"/>
    </xf>
    <xf numFmtId="4" fontId="33" fillId="0" borderId="0" xfId="32" applyNumberFormat="1" applyFont="1" applyAlignment="1">
      <alignment horizontal="center" vertical="center"/>
    </xf>
    <xf numFmtId="4" fontId="72" fillId="0" borderId="21" xfId="32" applyNumberFormat="1" applyFont="1" applyBorder="1" applyAlignment="1">
      <alignment horizontal="left" vertical="top"/>
    </xf>
    <xf numFmtId="4" fontId="33" fillId="0" borderId="20" xfId="32" applyNumberFormat="1" applyFont="1" applyBorder="1" applyAlignment="1">
      <alignment horizontal="center" vertical="top"/>
    </xf>
    <xf numFmtId="4" fontId="72" fillId="0" borderId="20" xfId="32" applyNumberFormat="1" applyFont="1" applyBorder="1" applyAlignment="1">
      <alignment horizontal="right" vertical="top"/>
    </xf>
    <xf numFmtId="4" fontId="72" fillId="0" borderId="21" xfId="32" applyNumberFormat="1" applyFont="1" applyBorder="1" applyAlignment="1">
      <alignment vertical="top"/>
    </xf>
    <xf numFmtId="4" fontId="72" fillId="0" borderId="21" xfId="32" applyNumberFormat="1" applyFont="1" applyBorder="1" applyAlignment="1">
      <alignment vertical="top" wrapText="1"/>
    </xf>
    <xf numFmtId="3" fontId="72" fillId="0" borderId="1" xfId="32" applyNumberFormat="1" applyFont="1" applyBorder="1" applyAlignment="1">
      <alignment horizontal="center" vertical="top"/>
    </xf>
    <xf numFmtId="0" fontId="72" fillId="0" borderId="20" xfId="32" applyFont="1" applyBorder="1" applyAlignment="1">
      <alignment horizontal="center" vertical="top"/>
    </xf>
    <xf numFmtId="4" fontId="72" fillId="0" borderId="20" xfId="32" applyNumberFormat="1" applyFont="1" applyBorder="1" applyAlignment="1">
      <alignment vertical="top" wrapText="1"/>
    </xf>
    <xf numFmtId="4" fontId="72" fillId="0" borderId="0" xfId="32" applyNumberFormat="1" applyFont="1" applyAlignment="1">
      <alignment vertical="center"/>
    </xf>
    <xf numFmtId="0" fontId="72" fillId="0" borderId="22" xfId="32" applyFont="1" applyBorder="1" applyAlignment="1">
      <alignment horizontal="center" vertical="top"/>
    </xf>
    <xf numFmtId="4" fontId="72" fillId="0" borderId="22" xfId="32" applyNumberFormat="1" applyFont="1" applyBorder="1" applyAlignment="1">
      <alignment vertical="top" wrapText="1"/>
    </xf>
    <xf numFmtId="4" fontId="72" fillId="0" borderId="23" xfId="32" applyNumberFormat="1" applyFont="1" applyBorder="1" applyAlignment="1">
      <alignment vertical="top" wrapText="1"/>
    </xf>
    <xf numFmtId="4" fontId="72" fillId="0" borderId="24" xfId="32" applyNumberFormat="1" applyFont="1" applyBorder="1" applyAlignment="1">
      <alignment horizontal="left" vertical="top" wrapText="1"/>
    </xf>
    <xf numFmtId="3" fontId="33" fillId="0" borderId="25" xfId="32" applyNumberFormat="1" applyFont="1" applyBorder="1" applyAlignment="1">
      <alignment horizontal="center" vertical="top"/>
    </xf>
    <xf numFmtId="4" fontId="72" fillId="0" borderId="21" xfId="32" applyNumberFormat="1" applyFont="1" applyBorder="1" applyAlignment="1">
      <alignment horizontal="left" vertical="top" wrapText="1"/>
    </xf>
    <xf numFmtId="0" fontId="34" fillId="0" borderId="5" xfId="32" applyFont="1" applyBorder="1" applyAlignment="1">
      <alignment horizontal="center" vertical="top"/>
    </xf>
    <xf numFmtId="4" fontId="34" fillId="0" borderId="4" xfId="32" applyNumberFormat="1" applyFont="1" applyBorder="1" applyAlignment="1">
      <alignment vertical="top" wrapText="1"/>
    </xf>
    <xf numFmtId="4" fontId="34" fillId="0" borderId="0" xfId="32" applyNumberFormat="1" applyFont="1" applyAlignment="1">
      <alignment vertical="top"/>
    </xf>
    <xf numFmtId="0" fontId="33" fillId="0" borderId="26" xfId="32" applyFont="1" applyBorder="1" applyAlignment="1">
      <alignment horizontal="center" vertical="center"/>
    </xf>
    <xf numFmtId="4" fontId="33" fillId="0" borderId="26" xfId="32" applyNumberFormat="1" applyFont="1" applyBorder="1" applyAlignment="1">
      <alignment vertical="center"/>
    </xf>
    <xf numFmtId="0" fontId="72" fillId="0" borderId="27" xfId="32" applyFont="1" applyBorder="1" applyAlignment="1">
      <alignment horizontal="center" vertical="top" wrapText="1"/>
    </xf>
    <xf numFmtId="4" fontId="72" fillId="0" borderId="28" xfId="32" applyNumberFormat="1" applyFont="1" applyBorder="1" applyAlignment="1">
      <alignment horizontal="left" vertical="top" wrapText="1"/>
    </xf>
    <xf numFmtId="4" fontId="72" fillId="0" borderId="27" xfId="32" applyNumberFormat="1" applyFont="1" applyBorder="1" applyAlignment="1">
      <alignment vertical="top"/>
    </xf>
    <xf numFmtId="4" fontId="72" fillId="0" borderId="27" xfId="32" applyNumberFormat="1" applyFont="1" applyBorder="1" applyAlignment="1">
      <alignment horizontal="right" vertical="top"/>
    </xf>
    <xf numFmtId="0" fontId="33" fillId="0" borderId="26" xfId="32" applyFont="1" applyBorder="1" applyAlignment="1">
      <alignment horizontal="center" vertical="top"/>
    </xf>
    <xf numFmtId="4" fontId="72" fillId="0" borderId="15" xfId="32" applyNumberFormat="1" applyFont="1" applyBorder="1" applyAlignment="1">
      <alignment horizontal="left" vertical="top" wrapText="1"/>
    </xf>
    <xf numFmtId="4" fontId="33" fillId="0" borderId="26" xfId="32" applyNumberFormat="1" applyFont="1" applyBorder="1" applyAlignment="1">
      <alignment vertical="top"/>
    </xf>
    <xf numFmtId="4" fontId="33" fillId="0" borderId="26" xfId="32" applyNumberFormat="1" applyFont="1" applyBorder="1" applyAlignment="1">
      <alignment horizontal="right" vertical="top"/>
    </xf>
    <xf numFmtId="0" fontId="72" fillId="0" borderId="20" xfId="32" applyFont="1" applyBorder="1" applyAlignment="1">
      <alignment horizontal="center" vertical="center"/>
    </xf>
    <xf numFmtId="4" fontId="72" fillId="0" borderId="8" xfId="32" applyNumberFormat="1" applyFont="1" applyBorder="1" applyAlignment="1">
      <alignment vertical="top"/>
    </xf>
    <xf numFmtId="4" fontId="34" fillId="0" borderId="15" xfId="32" applyNumberFormat="1" applyFont="1" applyBorder="1" applyAlignment="1">
      <alignment vertical="top" wrapText="1"/>
    </xf>
    <xf numFmtId="4" fontId="33" fillId="0" borderId="15" xfId="32" applyNumberFormat="1" applyFont="1" applyBorder="1" applyAlignment="1">
      <alignment horizontal="left" vertical="top"/>
    </xf>
    <xf numFmtId="0" fontId="33" fillId="0" borderId="26" xfId="32" applyFont="1" applyBorder="1" applyAlignment="1">
      <alignment horizontal="center" vertical="top" wrapText="1"/>
    </xf>
    <xf numFmtId="4" fontId="33" fillId="0" borderId="29" xfId="32" applyNumberFormat="1" applyFont="1" applyBorder="1" applyAlignment="1">
      <alignment horizontal="left" vertical="top" wrapText="1"/>
    </xf>
    <xf numFmtId="0" fontId="72" fillId="0" borderId="8" xfId="32" applyFont="1" applyBorder="1" applyAlignment="1">
      <alignment horizontal="center" vertical="top" wrapText="1"/>
    </xf>
    <xf numFmtId="4" fontId="72" fillId="0" borderId="9" xfId="32" applyNumberFormat="1" applyFont="1" applyBorder="1" applyAlignment="1">
      <alignment horizontal="left" vertical="top" wrapText="1"/>
    </xf>
    <xf numFmtId="4" fontId="33" fillId="0" borderId="26" xfId="32" applyNumberFormat="1" applyFont="1" applyBorder="1" applyAlignment="1">
      <alignment horizontal="left" vertical="top" wrapText="1"/>
    </xf>
    <xf numFmtId="4" fontId="72" fillId="0" borderId="7" xfId="32" applyNumberFormat="1" applyFont="1" applyBorder="1" applyAlignment="1">
      <alignment vertical="top"/>
    </xf>
    <xf numFmtId="4" fontId="72" fillId="0" borderId="26" xfId="32" applyNumberFormat="1" applyFont="1" applyBorder="1" applyAlignment="1">
      <alignment vertical="top"/>
    </xf>
    <xf numFmtId="3" fontId="34" fillId="0" borderId="7" xfId="32" applyNumberFormat="1" applyFont="1" applyBorder="1" applyAlignment="1">
      <alignment horizontal="center" vertical="top"/>
    </xf>
    <xf numFmtId="3" fontId="33" fillId="0" borderId="8" xfId="32" applyNumberFormat="1" applyFont="1" applyBorder="1" applyAlignment="1">
      <alignment horizontal="center" vertical="top"/>
    </xf>
    <xf numFmtId="0" fontId="33" fillId="0" borderId="27" xfId="32" applyFont="1" applyBorder="1" applyAlignment="1">
      <alignment horizontal="center" vertical="top" wrapText="1"/>
    </xf>
    <xf numFmtId="4" fontId="33" fillId="0" borderId="28" xfId="32" applyNumberFormat="1" applyFont="1" applyBorder="1" applyAlignment="1">
      <alignment horizontal="left" vertical="top" wrapText="1"/>
    </xf>
    <xf numFmtId="4" fontId="33" fillId="0" borderId="7" xfId="32" applyNumberFormat="1" applyFont="1" applyBorder="1" applyAlignment="1">
      <alignment vertical="top" wrapText="1"/>
    </xf>
    <xf numFmtId="4" fontId="72" fillId="0" borderId="27" xfId="32" applyNumberFormat="1" applyFont="1" applyBorder="1" applyAlignment="1">
      <alignment vertical="top" wrapText="1"/>
    </xf>
    <xf numFmtId="4" fontId="72" fillId="0" borderId="27" xfId="32" applyNumberFormat="1" applyFont="1" applyBorder="1" applyAlignment="1">
      <alignment horizontal="center" vertical="top"/>
    </xf>
    <xf numFmtId="4" fontId="72" fillId="0" borderId="0" xfId="32" applyNumberFormat="1" applyFont="1" applyAlignment="1">
      <alignment vertical="top"/>
    </xf>
    <xf numFmtId="4" fontId="33" fillId="0" borderId="8" xfId="32" applyNumberFormat="1" applyFont="1" applyBorder="1" applyAlignment="1">
      <alignment vertical="top"/>
    </xf>
    <xf numFmtId="0" fontId="72" fillId="0" borderId="27" xfId="32" applyFont="1" applyBorder="1" applyAlignment="1">
      <alignment horizontal="center" vertical="top"/>
    </xf>
    <xf numFmtId="4" fontId="33" fillId="0" borderId="27" xfId="32" applyNumberFormat="1" applyFont="1" applyBorder="1" applyAlignment="1">
      <alignment vertical="top"/>
    </xf>
    <xf numFmtId="4" fontId="33" fillId="0" borderId="20" xfId="32" applyNumberFormat="1" applyFont="1" applyBorder="1" applyAlignment="1">
      <alignment vertical="top"/>
    </xf>
    <xf numFmtId="4" fontId="33" fillId="0" borderId="30" xfId="32" applyNumberFormat="1" applyFont="1" applyBorder="1" applyAlignment="1">
      <alignment vertical="top"/>
    </xf>
    <xf numFmtId="4" fontId="34" fillId="0" borderId="7" xfId="32" applyNumberFormat="1" applyFont="1" applyBorder="1" applyAlignment="1">
      <alignment horizontal="right" vertical="top"/>
    </xf>
    <xf numFmtId="3" fontId="33" fillId="0" borderId="2" xfId="32" applyNumberFormat="1" applyFont="1" applyBorder="1" applyAlignment="1">
      <alignment horizontal="center" vertical="top"/>
    </xf>
    <xf numFmtId="3" fontId="33" fillId="0" borderId="14" xfId="32" applyNumberFormat="1" applyFont="1" applyBorder="1" applyAlignment="1">
      <alignment horizontal="center" vertical="top"/>
    </xf>
    <xf numFmtId="4" fontId="33" fillId="0" borderId="11" xfId="32" applyNumberFormat="1" applyFont="1" applyBorder="1" applyAlignment="1">
      <alignment vertical="top"/>
    </xf>
    <xf numFmtId="4" fontId="72" fillId="0" borderId="11" xfId="32" applyNumberFormat="1" applyFont="1" applyBorder="1" applyAlignment="1">
      <alignment vertical="top"/>
    </xf>
    <xf numFmtId="4" fontId="72" fillId="0" borderId="28" xfId="32" applyNumberFormat="1" applyFont="1" applyBorder="1" applyAlignment="1">
      <alignment horizontal="left" vertical="top"/>
    </xf>
    <xf numFmtId="0" fontId="33" fillId="0" borderId="30" xfId="32" applyFont="1" applyBorder="1" applyAlignment="1">
      <alignment horizontal="center" vertical="top"/>
    </xf>
    <xf numFmtId="4" fontId="33" fillId="0" borderId="22" xfId="32" applyNumberFormat="1" applyFont="1" applyBorder="1" applyAlignment="1">
      <alignment vertical="top"/>
    </xf>
    <xf numFmtId="3" fontId="33" fillId="0" borderId="11" xfId="32" applyNumberFormat="1" applyFont="1" applyBorder="1" applyAlignment="1">
      <alignment horizontal="center" vertical="top"/>
    </xf>
    <xf numFmtId="4" fontId="34" fillId="0" borderId="3" xfId="32" applyNumberFormat="1" applyFont="1" applyBorder="1" applyAlignment="1">
      <alignment vertical="top"/>
    </xf>
    <xf numFmtId="4" fontId="33" fillId="0" borderId="26" xfId="32" applyNumberFormat="1" applyFont="1" applyBorder="1" applyAlignment="1">
      <alignment vertical="top" wrapText="1"/>
    </xf>
    <xf numFmtId="4" fontId="33" fillId="0" borderId="30" xfId="32" applyNumberFormat="1" applyFont="1" applyBorder="1" applyAlignment="1">
      <alignment vertical="top" wrapText="1"/>
    </xf>
    <xf numFmtId="4" fontId="72" fillId="0" borderId="23" xfId="32" applyNumberFormat="1" applyFont="1" applyBorder="1" applyAlignment="1">
      <alignment horizontal="left" vertical="top" wrapText="1"/>
    </xf>
    <xf numFmtId="0" fontId="72" fillId="0" borderId="8" xfId="32" applyFont="1" applyBorder="1" applyAlignment="1">
      <alignment horizontal="center" vertical="top"/>
    </xf>
    <xf numFmtId="4" fontId="72" fillId="0" borderId="30" xfId="32" applyNumberFormat="1" applyFont="1" applyBorder="1" applyAlignment="1">
      <alignment vertical="top"/>
    </xf>
    <xf numFmtId="4" fontId="34" fillId="0" borderId="0" xfId="32" applyNumberFormat="1" applyFont="1" applyAlignment="1">
      <alignment vertical="center"/>
    </xf>
    <xf numFmtId="0" fontId="72" fillId="0" borderId="30" xfId="32" applyFont="1" applyBorder="1" applyAlignment="1">
      <alignment horizontal="center" vertical="top"/>
    </xf>
    <xf numFmtId="4" fontId="72" fillId="0" borderId="30" xfId="32" applyNumberFormat="1" applyFont="1" applyBorder="1" applyAlignment="1">
      <alignment vertical="top" wrapText="1"/>
    </xf>
    <xf numFmtId="4" fontId="34" fillId="0" borderId="3" xfId="32" applyNumberFormat="1" applyFont="1" applyBorder="1" applyAlignment="1">
      <alignment horizontal="right" vertical="top"/>
    </xf>
    <xf numFmtId="4" fontId="33" fillId="0" borderId="31" xfId="32" applyNumberFormat="1" applyFont="1" applyBorder="1" applyAlignment="1">
      <alignment horizontal="right" vertical="top"/>
    </xf>
    <xf numFmtId="4" fontId="33" fillId="0" borderId="32" xfId="32" applyNumberFormat="1" applyFont="1" applyBorder="1" applyAlignment="1">
      <alignment horizontal="right" vertical="top"/>
    </xf>
    <xf numFmtId="4" fontId="33" fillId="0" borderId="27" xfId="32" applyNumberFormat="1" applyFont="1" applyBorder="1" applyAlignment="1">
      <alignment horizontal="right" vertical="top"/>
    </xf>
    <xf numFmtId="4" fontId="33" fillId="0" borderId="9" xfId="32" applyNumberFormat="1" applyFont="1" applyBorder="1" applyAlignment="1">
      <alignment horizontal="left" vertical="top" wrapText="1"/>
    </xf>
    <xf numFmtId="4" fontId="72" fillId="0" borderId="33" xfId="32" applyNumberFormat="1" applyFont="1" applyBorder="1" applyAlignment="1">
      <alignment horizontal="right" vertical="top"/>
    </xf>
    <xf numFmtId="4" fontId="72" fillId="0" borderId="25" xfId="32" applyNumberFormat="1" applyFont="1" applyBorder="1" applyAlignment="1">
      <alignment vertical="top"/>
    </xf>
    <xf numFmtId="4" fontId="72" fillId="0" borderId="24" xfId="32" applyNumberFormat="1" applyFont="1" applyBorder="1" applyAlignment="1">
      <alignment vertical="top" wrapText="1"/>
    </xf>
    <xf numFmtId="4" fontId="72" fillId="0" borderId="25" xfId="32" applyNumberFormat="1" applyFont="1" applyBorder="1" applyAlignment="1">
      <alignment horizontal="right" vertical="top"/>
    </xf>
    <xf numFmtId="4" fontId="72" fillId="0" borderId="30" xfId="32" applyNumberFormat="1" applyFont="1" applyBorder="1" applyAlignment="1">
      <alignment horizontal="right" vertical="top"/>
    </xf>
    <xf numFmtId="4" fontId="72" fillId="0" borderId="22" xfId="32" applyNumberFormat="1" applyFont="1" applyBorder="1" applyAlignment="1">
      <alignment horizontal="right" vertical="top"/>
    </xf>
    <xf numFmtId="4" fontId="33" fillId="0" borderId="34" xfId="32" applyNumberFormat="1" applyFont="1" applyBorder="1" applyAlignment="1">
      <alignment horizontal="right" vertical="top"/>
    </xf>
    <xf numFmtId="4" fontId="33" fillId="0" borderId="22" xfId="32" applyNumberFormat="1" applyFont="1" applyBorder="1" applyAlignment="1">
      <alignment horizontal="right" vertical="top"/>
    </xf>
    <xf numFmtId="4" fontId="72" fillId="0" borderId="8" xfId="32" applyNumberFormat="1" applyFont="1" applyBorder="1" applyAlignment="1">
      <alignment vertical="top" wrapText="1"/>
    </xf>
    <xf numFmtId="4" fontId="72" fillId="0" borderId="28" xfId="32" applyNumberFormat="1" applyFont="1" applyBorder="1" applyAlignment="1">
      <alignment vertical="top" wrapText="1"/>
    </xf>
    <xf numFmtId="3" fontId="72" fillId="0" borderId="8" xfId="32" applyNumberFormat="1" applyFont="1" applyBorder="1" applyAlignment="1">
      <alignment horizontal="center" vertical="top"/>
    </xf>
    <xf numFmtId="4" fontId="33" fillId="0" borderId="24" xfId="32" applyNumberFormat="1" applyFont="1" applyBorder="1" applyAlignment="1">
      <alignment horizontal="left" vertical="top" wrapText="1"/>
    </xf>
    <xf numFmtId="4" fontId="33" fillId="0" borderId="15" xfId="32" applyNumberFormat="1" applyFont="1" applyBorder="1" applyAlignment="1">
      <alignment horizontal="left" vertical="top" wrapText="1"/>
    </xf>
    <xf numFmtId="3" fontId="72" fillId="0" borderId="11" xfId="32" applyNumberFormat="1" applyFont="1" applyBorder="1" applyAlignment="1">
      <alignment horizontal="center" vertical="top"/>
    </xf>
    <xf numFmtId="3" fontId="33" fillId="0" borderId="7" xfId="32" applyNumberFormat="1" applyFont="1" applyBorder="1" applyAlignment="1">
      <alignment horizontal="center" vertical="top"/>
    </xf>
    <xf numFmtId="0" fontId="34" fillId="0" borderId="14" xfId="32" applyFont="1" applyBorder="1" applyAlignment="1">
      <alignment horizontal="center" vertical="top"/>
    </xf>
    <xf numFmtId="4" fontId="34" fillId="0" borderId="26" xfId="32" applyNumberFormat="1" applyFont="1" applyBorder="1" applyAlignment="1">
      <alignment vertical="top" wrapText="1"/>
    </xf>
    <xf numFmtId="4" fontId="72" fillId="0" borderId="9" xfId="32" applyNumberFormat="1" applyFont="1" applyBorder="1" applyAlignment="1">
      <alignment vertical="top" wrapText="1"/>
    </xf>
    <xf numFmtId="3" fontId="72" fillId="0" borderId="7" xfId="32" applyNumberFormat="1" applyFont="1" applyBorder="1" applyAlignment="1">
      <alignment horizontal="center" vertical="top"/>
    </xf>
    <xf numFmtId="0" fontId="72" fillId="0" borderId="26" xfId="32" applyFont="1" applyBorder="1" applyAlignment="1">
      <alignment horizontal="center" vertical="top"/>
    </xf>
    <xf numFmtId="4" fontId="72" fillId="0" borderId="29" xfId="32" applyNumberFormat="1" applyFont="1" applyBorder="1" applyAlignment="1">
      <alignment vertical="top" wrapText="1"/>
    </xf>
    <xf numFmtId="3" fontId="72" fillId="0" borderId="2" xfId="32" applyNumberFormat="1" applyFont="1" applyBorder="1" applyAlignment="1">
      <alignment horizontal="center" vertical="top"/>
    </xf>
    <xf numFmtId="0" fontId="72" fillId="0" borderId="11" xfId="32" applyFont="1" applyBorder="1" applyAlignment="1">
      <alignment horizontal="center" vertical="top"/>
    </xf>
    <xf numFmtId="4" fontId="72" fillId="0" borderId="13" xfId="32" applyNumberFormat="1" applyFont="1" applyBorder="1" applyAlignment="1">
      <alignment vertical="top" wrapText="1"/>
    </xf>
    <xf numFmtId="4" fontId="33" fillId="0" borderId="0" xfId="32" applyNumberFormat="1" applyFont="1" applyAlignment="1">
      <alignment horizontal="center" vertical="top"/>
    </xf>
    <xf numFmtId="0" fontId="18" fillId="0" borderId="0" xfId="34" applyFont="1" applyAlignment="1">
      <alignment horizontal="center"/>
    </xf>
    <xf numFmtId="0" fontId="18" fillId="0" borderId="0" xfId="34" applyFont="1" applyAlignment="1">
      <alignment horizontal="center" wrapText="1"/>
    </xf>
    <xf numFmtId="0" fontId="18" fillId="0" borderId="0" xfId="34" applyFont="1" applyAlignment="1">
      <alignment horizontal="center" vertical="center" wrapText="1"/>
    </xf>
    <xf numFmtId="0" fontId="18" fillId="0" borderId="0" xfId="34" applyFont="1"/>
    <xf numFmtId="0" fontId="1" fillId="0" borderId="0" xfId="34" applyFont="1"/>
    <xf numFmtId="0" fontId="18" fillId="0" borderId="0" xfId="34" applyFont="1" applyAlignment="1">
      <alignment horizontal="left"/>
    </xf>
    <xf numFmtId="0" fontId="18" fillId="0" borderId="0" xfId="33" applyFont="1" applyAlignment="1">
      <alignment horizontal="center"/>
    </xf>
    <xf numFmtId="0" fontId="18" fillId="0" borderId="0" xfId="33" applyFont="1" applyAlignment="1">
      <alignment horizontal="center" wrapText="1"/>
    </xf>
    <xf numFmtId="0" fontId="18" fillId="0" borderId="0" xfId="33" applyFont="1" applyAlignment="1">
      <alignment horizontal="center" vertical="center" wrapText="1"/>
    </xf>
    <xf numFmtId="0" fontId="18" fillId="0" borderId="0" xfId="33" applyFont="1"/>
    <xf numFmtId="0" fontId="17" fillId="0" borderId="3" xfId="33" applyFont="1" applyBorder="1" applyAlignment="1">
      <alignment horizontal="center" vertical="top" wrapText="1"/>
    </xf>
    <xf numFmtId="0" fontId="18" fillId="0" borderId="0" xfId="33" applyFont="1" applyAlignment="1">
      <alignment horizontal="center" vertical="top" wrapText="1"/>
    </xf>
    <xf numFmtId="0" fontId="21" fillId="0" borderId="3" xfId="33" applyFont="1" applyBorder="1" applyAlignment="1">
      <alignment horizontal="center" wrapText="1"/>
    </xf>
    <xf numFmtId="0" fontId="21" fillId="0" borderId="0" xfId="33" applyFont="1" applyAlignment="1">
      <alignment horizontal="center"/>
    </xf>
    <xf numFmtId="0" fontId="46" fillId="0" borderId="4" xfId="33" applyFont="1" applyBorder="1" applyAlignment="1">
      <alignment horizontal="center" vertical="center" wrapText="1"/>
    </xf>
    <xf numFmtId="3" fontId="48" fillId="0" borderId="3" xfId="33" applyNumberFormat="1" applyFont="1" applyBorder="1" applyAlignment="1">
      <alignment vertical="center"/>
    </xf>
    <xf numFmtId="0" fontId="17" fillId="0" borderId="0" xfId="33" applyFont="1" applyAlignment="1">
      <alignment vertical="center"/>
    </xf>
    <xf numFmtId="0" fontId="48" fillId="0" borderId="8" xfId="33" applyFont="1" applyBorder="1" applyAlignment="1">
      <alignment horizontal="center" vertical="top"/>
    </xf>
    <xf numFmtId="0" fontId="48" fillId="0" borderId="1" xfId="33" applyFont="1" applyBorder="1" applyAlignment="1">
      <alignment horizontal="left" vertical="top" wrapText="1"/>
    </xf>
    <xf numFmtId="0" fontId="48" fillId="0" borderId="11" xfId="33" applyFont="1" applyBorder="1" applyAlignment="1">
      <alignment horizontal="center" vertical="top"/>
    </xf>
    <xf numFmtId="0" fontId="21" fillId="0" borderId="4" xfId="33" applyFont="1" applyBorder="1" applyAlignment="1">
      <alignment horizontal="center" vertical="center" wrapText="1"/>
    </xf>
    <xf numFmtId="3" fontId="21" fillId="0" borderId="3" xfId="33" applyNumberFormat="1" applyFont="1" applyBorder="1" applyAlignment="1">
      <alignment vertical="center"/>
    </xf>
    <xf numFmtId="0" fontId="24" fillId="0" borderId="0" xfId="33" applyFont="1" applyAlignment="1">
      <alignment vertical="center"/>
    </xf>
    <xf numFmtId="0" fontId="17" fillId="0" borderId="0" xfId="33" applyFont="1"/>
    <xf numFmtId="0" fontId="18" fillId="0" borderId="3" xfId="33" applyFont="1" applyBorder="1" applyAlignment="1">
      <alignment horizontal="center" vertical="center" wrapText="1"/>
    </xf>
    <xf numFmtId="0" fontId="18" fillId="0" borderId="8" xfId="33" applyFont="1" applyBorder="1" applyAlignment="1">
      <alignment horizontal="left" vertical="top" wrapText="1"/>
    </xf>
    <xf numFmtId="0" fontId="18" fillId="0" borderId="1" xfId="33" applyFont="1" applyBorder="1" applyAlignment="1">
      <alignment horizontal="left" vertical="top" wrapText="1"/>
    </xf>
    <xf numFmtId="0" fontId="20" fillId="0" borderId="4" xfId="33" applyFont="1" applyBorder="1" applyAlignment="1">
      <alignment horizontal="center" vertical="center" wrapText="1"/>
    </xf>
    <xf numFmtId="0" fontId="17" fillId="0" borderId="4" xfId="34" applyFont="1" applyBorder="1" applyAlignment="1">
      <alignment horizontal="center" vertical="center" wrapText="1"/>
    </xf>
    <xf numFmtId="3" fontId="23" fillId="0" borderId="3" xfId="34" applyNumberFormat="1" applyFont="1" applyBorder="1" applyAlignment="1">
      <alignment vertical="center"/>
    </xf>
    <xf numFmtId="0" fontId="23" fillId="0" borderId="0" xfId="34" applyFont="1" applyAlignment="1">
      <alignment vertical="center"/>
    </xf>
    <xf numFmtId="0" fontId="18" fillId="0" borderId="0" xfId="35" applyFont="1" applyAlignment="1">
      <alignment horizontal="center" vertical="center" wrapText="1"/>
    </xf>
    <xf numFmtId="0" fontId="18" fillId="0" borderId="0" xfId="36" applyFont="1" applyAlignment="1">
      <alignment horizontal="left" vertical="center"/>
    </xf>
    <xf numFmtId="0" fontId="18" fillId="0" borderId="0" xfId="35" applyFont="1" applyAlignment="1">
      <alignment wrapText="1"/>
    </xf>
    <xf numFmtId="0" fontId="18" fillId="0" borderId="0" xfId="34" applyFont="1" applyAlignment="1">
      <alignment horizontal="left" vertical="center" wrapText="1"/>
    </xf>
    <xf numFmtId="49" fontId="29" fillId="0" borderId="0" xfId="10" applyNumberFormat="1" applyFont="1" applyAlignment="1">
      <alignment horizontal="center" vertical="center"/>
    </xf>
    <xf numFmtId="49" fontId="17" fillId="0" borderId="7" xfId="10" applyNumberFormat="1" applyFont="1" applyBorder="1" applyAlignment="1">
      <alignment horizontal="center" vertical="center" wrapText="1"/>
    </xf>
    <xf numFmtId="49" fontId="17" fillId="0" borderId="8" xfId="10" applyNumberFormat="1" applyFont="1" applyBorder="1" applyAlignment="1">
      <alignment horizontal="center" vertical="center" wrapText="1"/>
    </xf>
    <xf numFmtId="49" fontId="17" fillId="0" borderId="11" xfId="10" applyNumberFormat="1" applyFont="1" applyBorder="1" applyAlignment="1">
      <alignment horizontal="center" vertical="center" wrapText="1"/>
    </xf>
    <xf numFmtId="49" fontId="17" fillId="0" borderId="14" xfId="10" applyNumberFormat="1" applyFont="1" applyBorder="1" applyAlignment="1">
      <alignment horizontal="center" vertical="center" wrapText="1"/>
    </xf>
    <xf numFmtId="49" fontId="17" fillId="0" borderId="1" xfId="10" applyNumberFormat="1" applyFont="1" applyBorder="1" applyAlignment="1">
      <alignment horizontal="center" vertical="center" wrapText="1"/>
    </xf>
    <xf numFmtId="49" fontId="17" fillId="0" borderId="2" xfId="10" applyNumberFormat="1" applyFont="1" applyBorder="1" applyAlignment="1">
      <alignment horizontal="center" vertical="center" wrapText="1"/>
    </xf>
    <xf numFmtId="2" fontId="17" fillId="0" borderId="7" xfId="10" applyNumberFormat="1" applyFont="1" applyBorder="1" applyAlignment="1">
      <alignment horizontal="center" vertical="center" wrapText="1"/>
    </xf>
    <xf numFmtId="2" fontId="17" fillId="0" borderId="8" xfId="10" applyNumberFormat="1" applyFont="1" applyBorder="1" applyAlignment="1">
      <alignment horizontal="center" vertical="center" wrapText="1"/>
    </xf>
    <xf numFmtId="2" fontId="17" fillId="0" borderId="11" xfId="10" applyNumberFormat="1" applyFont="1" applyBorder="1" applyAlignment="1">
      <alignment horizontal="center" vertical="center" wrapText="1"/>
    </xf>
    <xf numFmtId="2" fontId="17" fillId="0" borderId="14" xfId="10" applyNumberFormat="1" applyFont="1" applyBorder="1" applyAlignment="1">
      <alignment horizontal="center" vertical="center" wrapText="1"/>
    </xf>
    <xf numFmtId="2" fontId="17" fillId="0" borderId="1" xfId="10" applyNumberFormat="1" applyFont="1" applyBorder="1" applyAlignment="1">
      <alignment horizontal="center" vertical="center" wrapText="1"/>
    </xf>
    <xf numFmtId="2" fontId="17" fillId="0" borderId="2" xfId="10" applyNumberFormat="1" applyFont="1" applyBorder="1" applyAlignment="1">
      <alignment horizontal="center" vertical="center" wrapText="1"/>
    </xf>
    <xf numFmtId="2" fontId="17" fillId="0" borderId="6" xfId="10" applyNumberFormat="1" applyFont="1" applyBorder="1" applyAlignment="1">
      <alignment horizontal="center" vertical="center" wrapText="1"/>
    </xf>
    <xf numFmtId="2" fontId="17" fillId="0" borderId="15" xfId="10" applyNumberFormat="1" applyFont="1" applyBorder="1" applyAlignment="1">
      <alignment horizontal="center" vertical="center" wrapText="1"/>
    </xf>
    <xf numFmtId="2" fontId="17" fillId="0" borderId="5" xfId="10" applyNumberFormat="1" applyFont="1" applyBorder="1" applyAlignment="1">
      <alignment horizontal="center" vertical="center" wrapText="1"/>
    </xf>
    <xf numFmtId="2" fontId="17" fillId="0" borderId="10" xfId="10" applyNumberFormat="1" applyFont="1" applyBorder="1" applyAlignment="1">
      <alignment horizontal="center" vertical="center" wrapText="1"/>
    </xf>
    <xf numFmtId="2" fontId="17" fillId="0" borderId="4" xfId="10" applyNumberFormat="1" applyFont="1" applyBorder="1" applyAlignment="1">
      <alignment horizontal="center" vertical="center" wrapText="1"/>
    </xf>
    <xf numFmtId="49" fontId="18" fillId="0" borderId="7" xfId="10" applyNumberFormat="1" applyFont="1" applyBorder="1" applyAlignment="1">
      <alignment horizontal="center" vertical="center" wrapText="1"/>
    </xf>
    <xf numFmtId="49" fontId="18" fillId="0" borderId="8" xfId="10" applyNumberFormat="1" applyFont="1" applyBorder="1" applyAlignment="1">
      <alignment horizontal="center" vertical="center" wrapText="1"/>
    </xf>
    <xf numFmtId="49" fontId="18" fillId="0" borderId="11" xfId="10" applyNumberFormat="1" applyFont="1" applyBorder="1" applyAlignment="1">
      <alignment horizontal="center" vertical="center" wrapText="1"/>
    </xf>
    <xf numFmtId="3" fontId="18" fillId="0" borderId="7" xfId="10" applyNumberFormat="1" applyFont="1" applyBorder="1" applyAlignment="1">
      <alignment horizontal="left" vertical="center" wrapText="1"/>
    </xf>
    <xf numFmtId="3" fontId="18" fillId="0" borderId="8" xfId="10" applyNumberFormat="1" applyFont="1" applyBorder="1" applyAlignment="1">
      <alignment horizontal="left" vertical="center" wrapText="1"/>
    </xf>
    <xf numFmtId="3" fontId="18" fillId="0" borderId="11" xfId="10" applyNumberFormat="1" applyFont="1" applyBorder="1" applyAlignment="1">
      <alignment horizontal="left" vertical="center" wrapText="1"/>
    </xf>
    <xf numFmtId="3" fontId="23" fillId="3" borderId="14" xfId="10" applyNumberFormat="1" applyFont="1" applyFill="1" applyBorder="1" applyAlignment="1">
      <alignment horizontal="center" vertical="center" wrapText="1"/>
    </xf>
    <xf numFmtId="3" fontId="23" fillId="3" borderId="1" xfId="10" applyNumberFormat="1" applyFont="1" applyFill="1" applyBorder="1" applyAlignment="1">
      <alignment horizontal="center" vertical="center" wrapText="1"/>
    </xf>
    <xf numFmtId="3" fontId="23" fillId="3" borderId="2" xfId="10" applyNumberFormat="1" applyFont="1" applyFill="1" applyBorder="1" applyAlignment="1">
      <alignment horizontal="center" vertical="center" wrapText="1"/>
    </xf>
    <xf numFmtId="49" fontId="17" fillId="3" borderId="7" xfId="10" applyNumberFormat="1" applyFont="1" applyFill="1" applyBorder="1" applyAlignment="1">
      <alignment horizontal="center" vertical="center" wrapText="1"/>
    </xf>
    <xf numFmtId="49" fontId="17" fillId="3" borderId="8" xfId="10" applyNumberFormat="1" applyFont="1" applyFill="1" applyBorder="1" applyAlignment="1">
      <alignment horizontal="center" vertical="center" wrapText="1"/>
    </xf>
    <xf numFmtId="49" fontId="17" fillId="3" borderId="11" xfId="10" applyNumberFormat="1" applyFont="1" applyFill="1" applyBorder="1" applyAlignment="1">
      <alignment horizontal="center" vertical="center" wrapText="1"/>
    </xf>
    <xf numFmtId="49" fontId="18" fillId="0" borderId="7" xfId="10" applyNumberFormat="1" applyFont="1" applyBorder="1" applyAlignment="1">
      <alignment horizontal="center" vertical="center"/>
    </xf>
    <xf numFmtId="49" fontId="18" fillId="0" borderId="8" xfId="10" applyNumberFormat="1" applyFont="1" applyBorder="1" applyAlignment="1">
      <alignment horizontal="center" vertical="center"/>
    </xf>
    <xf numFmtId="49" fontId="18" fillId="0" borderId="11" xfId="10" applyNumberFormat="1" applyFont="1" applyBorder="1" applyAlignment="1">
      <alignment horizontal="center" vertical="center"/>
    </xf>
    <xf numFmtId="49" fontId="18" fillId="0" borderId="7" xfId="10" applyNumberFormat="1" applyFont="1" applyBorder="1" applyAlignment="1">
      <alignment horizontal="left" vertical="center" wrapText="1"/>
    </xf>
    <xf numFmtId="49" fontId="18" fillId="0" borderId="8" xfId="10" applyNumberFormat="1" applyFont="1" applyBorder="1" applyAlignment="1">
      <alignment horizontal="left" vertical="center" wrapText="1"/>
    </xf>
    <xf numFmtId="49" fontId="18" fillId="0" borderId="11" xfId="10" applyNumberFormat="1" applyFont="1" applyBorder="1" applyAlignment="1">
      <alignment horizontal="left" vertical="center" wrapText="1"/>
    </xf>
    <xf numFmtId="49" fontId="25" fillId="3" borderId="14" xfId="10" applyNumberFormat="1" applyFont="1" applyFill="1" applyBorder="1" applyAlignment="1">
      <alignment horizontal="center" vertical="center"/>
    </xf>
    <xf numFmtId="49" fontId="25" fillId="3" borderId="15" xfId="10" applyNumberFormat="1" applyFont="1" applyFill="1" applyBorder="1" applyAlignment="1">
      <alignment horizontal="center" vertical="center"/>
    </xf>
    <xf numFmtId="49" fontId="25" fillId="3" borderId="1" xfId="10" applyNumberFormat="1" applyFont="1" applyFill="1" applyBorder="1" applyAlignment="1">
      <alignment horizontal="center" vertical="center"/>
    </xf>
    <xf numFmtId="49" fontId="25" fillId="3" borderId="9" xfId="10" applyNumberFormat="1" applyFont="1" applyFill="1" applyBorder="1" applyAlignment="1">
      <alignment horizontal="center" vertical="center"/>
    </xf>
    <xf numFmtId="49" fontId="25" fillId="3" borderId="2" xfId="10" applyNumberFormat="1" applyFont="1" applyFill="1" applyBorder="1" applyAlignment="1">
      <alignment horizontal="center" vertical="center"/>
    </xf>
    <xf numFmtId="49" fontId="25" fillId="3" borderId="13" xfId="10" applyNumberFormat="1" applyFont="1" applyFill="1" applyBorder="1" applyAlignment="1">
      <alignment horizontal="center" vertical="center"/>
    </xf>
    <xf numFmtId="49" fontId="18" fillId="0" borderId="3" xfId="10" applyNumberFormat="1" applyFont="1" applyBorder="1" applyAlignment="1">
      <alignment horizontal="center" vertical="center" wrapText="1"/>
    </xf>
    <xf numFmtId="49" fontId="17" fillId="3" borderId="14" xfId="10" applyNumberFormat="1" applyFont="1" applyFill="1" applyBorder="1" applyAlignment="1">
      <alignment horizontal="center" vertical="center" wrapText="1"/>
    </xf>
    <xf numFmtId="49" fontId="17" fillId="3" borderId="1" xfId="10" applyNumberFormat="1" applyFont="1" applyFill="1" applyBorder="1" applyAlignment="1">
      <alignment horizontal="center" vertical="center" wrapText="1"/>
    </xf>
    <xf numFmtId="49" fontId="17" fillId="3" borderId="2" xfId="10" applyNumberFormat="1" applyFont="1" applyFill="1" applyBorder="1" applyAlignment="1">
      <alignment horizontal="center" vertical="center" wrapText="1"/>
    </xf>
    <xf numFmtId="3" fontId="23" fillId="3" borderId="15" xfId="10" applyNumberFormat="1" applyFont="1" applyFill="1" applyBorder="1" applyAlignment="1">
      <alignment horizontal="left" vertical="center" wrapText="1"/>
    </xf>
    <xf numFmtId="3" fontId="23" fillId="3" borderId="9" xfId="10" applyNumberFormat="1" applyFont="1" applyFill="1" applyBorder="1" applyAlignment="1">
      <alignment horizontal="left" vertical="center" wrapText="1"/>
    </xf>
    <xf numFmtId="3" fontId="23" fillId="3" borderId="13" xfId="10" applyNumberFormat="1" applyFont="1" applyFill="1" applyBorder="1" applyAlignment="1">
      <alignment horizontal="left" vertical="center" wrapText="1"/>
    </xf>
    <xf numFmtId="3" fontId="18" fillId="0" borderId="3" xfId="10" applyNumberFormat="1" applyFont="1" applyBorder="1" applyAlignment="1">
      <alignment horizontal="left" vertical="center" wrapText="1"/>
    </xf>
    <xf numFmtId="0" fontId="18" fillId="0" borderId="0" xfId="1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49" fontId="37" fillId="0" borderId="7" xfId="0" applyNumberFormat="1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" fontId="37" fillId="0" borderId="7" xfId="0" applyNumberFormat="1" applyFont="1" applyBorder="1" applyAlignment="1">
      <alignment vertical="center" wrapText="1"/>
    </xf>
    <xf numFmtId="4" fontId="37" fillId="0" borderId="8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vertical="center" wrapText="1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" fontId="27" fillId="0" borderId="7" xfId="0" applyNumberFormat="1" applyFont="1" applyBorder="1" applyAlignment="1">
      <alignment vertical="center" wrapText="1"/>
    </xf>
    <xf numFmtId="4" fontId="27" fillId="0" borderId="8" xfId="0" applyNumberFormat="1" applyFont="1" applyBorder="1" applyAlignment="1">
      <alignment vertical="center" wrapText="1"/>
    </xf>
    <xf numFmtId="4" fontId="27" fillId="0" borderId="11" xfId="0" applyNumberFormat="1" applyFont="1" applyBorder="1" applyAlignment="1">
      <alignment vertical="center" wrapText="1"/>
    </xf>
    <xf numFmtId="49" fontId="36" fillId="4" borderId="7" xfId="0" applyNumberFormat="1" applyFont="1" applyFill="1" applyBorder="1" applyAlignment="1">
      <alignment horizontal="center" vertical="center"/>
    </xf>
    <xf numFmtId="49" fontId="36" fillId="4" borderId="8" xfId="0" applyNumberFormat="1" applyFont="1" applyFill="1" applyBorder="1" applyAlignment="1">
      <alignment horizontal="center" vertical="center"/>
    </xf>
    <xf numFmtId="49" fontId="36" fillId="4" borderId="11" xfId="0" applyNumberFormat="1" applyFont="1" applyFill="1" applyBorder="1" applyAlignment="1">
      <alignment horizontal="center" vertical="center"/>
    </xf>
    <xf numFmtId="4" fontId="36" fillId="4" borderId="7" xfId="0" applyNumberFormat="1" applyFont="1" applyFill="1" applyBorder="1" applyAlignment="1">
      <alignment horizontal="center" vertical="center"/>
    </xf>
    <xf numFmtId="4" fontId="36" fillId="4" borderId="8" xfId="0" applyNumberFormat="1" applyFont="1" applyFill="1" applyBorder="1" applyAlignment="1">
      <alignment horizontal="center" vertical="center"/>
    </xf>
    <xf numFmtId="4" fontId="36" fillId="4" borderId="11" xfId="0" applyNumberFormat="1" applyFont="1" applyFill="1" applyBorder="1" applyAlignment="1">
      <alignment horizontal="center" vertical="center"/>
    </xf>
    <xf numFmtId="4" fontId="37" fillId="0" borderId="7" xfId="0" applyNumberFormat="1" applyFont="1" applyBorder="1" applyAlignment="1">
      <alignment vertical="top" wrapText="1"/>
    </xf>
    <xf numFmtId="4" fontId="37" fillId="0" borderId="8" xfId="0" applyNumberFormat="1" applyFont="1" applyBorder="1" applyAlignment="1">
      <alignment vertical="top" wrapText="1"/>
    </xf>
    <xf numFmtId="4" fontId="37" fillId="0" borderId="11" xfId="0" applyNumberFormat="1" applyFont="1" applyBorder="1" applyAlignment="1">
      <alignment vertical="top" wrapText="1"/>
    </xf>
    <xf numFmtId="4" fontId="27" fillId="0" borderId="7" xfId="0" applyNumberFormat="1" applyFont="1" applyBorder="1" applyAlignment="1">
      <alignment vertical="top" wrapText="1"/>
    </xf>
    <xf numFmtId="4" fontId="27" fillId="0" borderId="8" xfId="0" applyNumberFormat="1" applyFont="1" applyBorder="1" applyAlignment="1">
      <alignment vertical="top" wrapText="1"/>
    </xf>
    <xf numFmtId="4" fontId="27" fillId="0" borderId="11" xfId="0" applyNumberFormat="1" applyFont="1" applyBorder="1" applyAlignment="1">
      <alignment vertical="top" wrapText="1"/>
    </xf>
    <xf numFmtId="4" fontId="27" fillId="0" borderId="7" xfId="0" applyNumberFormat="1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7" fillId="0" borderId="11" xfId="0" applyNumberFormat="1" applyFont="1" applyBorder="1" applyAlignment="1">
      <alignment horizontal="left" vertical="center" wrapText="1"/>
    </xf>
    <xf numFmtId="49" fontId="27" fillId="0" borderId="7" xfId="0" applyNumberFormat="1" applyFont="1" applyBorder="1" applyAlignment="1">
      <alignment horizontal="center" vertical="top"/>
    </xf>
    <xf numFmtId="49" fontId="27" fillId="0" borderId="8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4" fontId="27" fillId="0" borderId="7" xfId="0" applyNumberFormat="1" applyFont="1" applyBorder="1" applyAlignment="1" applyProtection="1">
      <alignment vertical="top" wrapText="1"/>
      <protection locked="0"/>
    </xf>
    <xf numFmtId="4" fontId="27" fillId="0" borderId="8" xfId="0" applyNumberFormat="1" applyFont="1" applyBorder="1" applyAlignment="1" applyProtection="1">
      <alignment vertical="top" wrapText="1"/>
      <protection locked="0"/>
    </xf>
    <xf numFmtId="4" fontId="27" fillId="0" borderId="11" xfId="0" applyNumberFormat="1" applyFont="1" applyBorder="1" applyAlignment="1" applyProtection="1">
      <alignment vertical="top" wrapText="1"/>
      <protection locked="0"/>
    </xf>
    <xf numFmtId="3" fontId="26" fillId="0" borderId="3" xfId="0" applyNumberFormat="1" applyFont="1" applyBorder="1" applyAlignment="1">
      <alignment horizontal="center" vertical="center" wrapText="1"/>
    </xf>
    <xf numFmtId="4" fontId="36" fillId="4" borderId="7" xfId="0" applyNumberFormat="1" applyFont="1" applyFill="1" applyBorder="1" applyAlignment="1">
      <alignment horizontal="center" vertical="center" wrapText="1"/>
    </xf>
    <xf numFmtId="4" fontId="36" fillId="4" borderId="8" xfId="0" applyNumberFormat="1" applyFont="1" applyFill="1" applyBorder="1" applyAlignment="1">
      <alignment horizontal="center" vertical="center" wrapText="1"/>
    </xf>
    <xf numFmtId="4" fontId="36" fillId="4" borderId="11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49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7" fillId="0" borderId="7" xfId="0" applyNumberFormat="1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3" fontId="17" fillId="0" borderId="12" xfId="0" applyNumberFormat="1" applyFont="1" applyBorder="1" applyAlignment="1">
      <alignment horizontal="center" vertical="top" wrapText="1"/>
    </xf>
    <xf numFmtId="0" fontId="18" fillId="0" borderId="8" xfId="25" applyFont="1" applyBorder="1" applyAlignment="1">
      <alignment horizontal="center" wrapText="1"/>
    </xf>
    <xf numFmtId="0" fontId="17" fillId="0" borderId="11" xfId="25" applyFont="1" applyBorder="1" applyAlignment="1">
      <alignment horizontal="center" wrapText="1"/>
    </xf>
    <xf numFmtId="0" fontId="17" fillId="0" borderId="8" xfId="25" applyFont="1" applyBorder="1" applyAlignment="1">
      <alignment horizontal="center" wrapText="1"/>
    </xf>
    <xf numFmtId="0" fontId="63" fillId="0" borderId="8" xfId="25" applyFont="1" applyBorder="1" applyAlignment="1">
      <alignment horizontal="left" wrapText="1"/>
    </xf>
    <xf numFmtId="0" fontId="24" fillId="0" borderId="8" xfId="25" applyFont="1" applyBorder="1" applyAlignment="1">
      <alignment horizontal="center" wrapText="1"/>
    </xf>
    <xf numFmtId="0" fontId="18" fillId="0" borderId="0" xfId="28" applyFont="1" applyAlignment="1">
      <alignment horizontal="left" vertical="center" wrapText="1"/>
    </xf>
    <xf numFmtId="0" fontId="18" fillId="0" borderId="0" xfId="26" applyFont="1" applyAlignment="1">
      <alignment horizontal="left" wrapText="1"/>
    </xf>
    <xf numFmtId="0" fontId="17" fillId="0" borderId="3" xfId="25" applyFont="1" applyBorder="1" applyAlignment="1">
      <alignment horizontal="center" vertical="center" wrapText="1"/>
    </xf>
    <xf numFmtId="0" fontId="17" fillId="0" borderId="5" xfId="25" applyFont="1" applyBorder="1" applyAlignment="1">
      <alignment horizontal="center" vertical="center" wrapText="1"/>
    </xf>
    <xf numFmtId="3" fontId="37" fillId="0" borderId="7" xfId="22" applyNumberFormat="1" applyFont="1" applyBorder="1" applyAlignment="1">
      <alignment horizontal="right" vertical="center"/>
    </xf>
    <xf numFmtId="3" fontId="37" fillId="0" borderId="11" xfId="22" applyNumberFormat="1" applyFont="1" applyBorder="1" applyAlignment="1">
      <alignment horizontal="right" vertical="center"/>
    </xf>
    <xf numFmtId="3" fontId="17" fillId="0" borderId="7" xfId="21" applyNumberFormat="1" applyFont="1" applyBorder="1" applyAlignment="1">
      <alignment horizontal="center" vertical="center" wrapText="1"/>
    </xf>
    <xf numFmtId="3" fontId="17" fillId="0" borderId="11" xfId="21" applyNumberFormat="1" applyFont="1" applyBorder="1" applyAlignment="1">
      <alignment horizontal="center" vertical="center" wrapText="1"/>
    </xf>
    <xf numFmtId="3" fontId="37" fillId="6" borderId="7" xfId="22" applyNumberFormat="1" applyFont="1" applyFill="1" applyBorder="1" applyAlignment="1">
      <alignment horizontal="right" vertical="center"/>
    </xf>
    <xf numFmtId="3" fontId="37" fillId="6" borderId="11" xfId="22" applyNumberFormat="1" applyFont="1" applyFill="1" applyBorder="1" applyAlignment="1">
      <alignment horizontal="right" vertical="center"/>
    </xf>
    <xf numFmtId="0" fontId="47" fillId="0" borderId="3" xfId="21" applyFont="1" applyBorder="1" applyAlignment="1">
      <alignment horizontal="center" vertical="center" wrapText="1"/>
    </xf>
    <xf numFmtId="0" fontId="25" fillId="0" borderId="3" xfId="21" applyFont="1" applyBorder="1" applyAlignment="1">
      <alignment horizontal="center" vertical="center" wrapText="1"/>
    </xf>
    <xf numFmtId="3" fontId="44" fillId="6" borderId="7" xfId="22" applyNumberFormat="1" applyFont="1" applyFill="1" applyBorder="1" applyAlignment="1">
      <alignment horizontal="right" vertical="center"/>
    </xf>
    <xf numFmtId="3" fontId="44" fillId="6" borderId="11" xfId="22" applyNumberFormat="1" applyFont="1" applyFill="1" applyBorder="1" applyAlignment="1">
      <alignment horizontal="right" vertical="center"/>
    </xf>
    <xf numFmtId="3" fontId="44" fillId="0" borderId="7" xfId="22" applyNumberFormat="1" applyFont="1" applyBorder="1" applyAlignment="1">
      <alignment horizontal="right" vertical="center"/>
    </xf>
    <xf numFmtId="3" fontId="44" fillId="0" borderId="11" xfId="22" applyNumberFormat="1" applyFont="1" applyBorder="1" applyAlignment="1">
      <alignment horizontal="right" vertical="center"/>
    </xf>
    <xf numFmtId="3" fontId="18" fillId="0" borderId="7" xfId="21" applyNumberFormat="1" applyFont="1" applyBorder="1" applyAlignment="1">
      <alignment horizontal="center" vertical="center" wrapText="1"/>
    </xf>
    <xf numFmtId="3" fontId="18" fillId="0" borderId="11" xfId="21" applyNumberFormat="1" applyFont="1" applyBorder="1" applyAlignment="1">
      <alignment horizontal="center" vertical="center" wrapText="1"/>
    </xf>
    <xf numFmtId="0" fontId="18" fillId="0" borderId="3" xfId="21" applyFont="1" applyBorder="1" applyAlignment="1">
      <alignment horizontal="center" vertical="center"/>
    </xf>
    <xf numFmtId="0" fontId="46" fillId="0" borderId="3" xfId="21" applyFont="1" applyBorder="1" applyAlignment="1">
      <alignment horizontal="center" vertical="center"/>
    </xf>
    <xf numFmtId="49" fontId="18" fillId="0" borderId="3" xfId="21" applyNumberFormat="1" applyFont="1" applyBorder="1" applyAlignment="1">
      <alignment horizontal="center" vertical="center"/>
    </xf>
    <xf numFmtId="0" fontId="46" fillId="0" borderId="3" xfId="21" applyFont="1" applyBorder="1" applyAlignment="1">
      <alignment horizontal="left" vertical="center" wrapText="1"/>
    </xf>
    <xf numFmtId="0" fontId="18" fillId="0" borderId="3" xfId="21" applyFont="1" applyBorder="1" applyAlignment="1">
      <alignment horizontal="center" vertical="center" wrapText="1"/>
    </xf>
    <xf numFmtId="0" fontId="18" fillId="0" borderId="7" xfId="21" applyFont="1" applyBorder="1" applyAlignment="1">
      <alignment horizontal="center" vertical="center"/>
    </xf>
    <xf numFmtId="0" fontId="18" fillId="0" borderId="8" xfId="21" applyFont="1" applyBorder="1" applyAlignment="1">
      <alignment horizontal="center" vertical="center"/>
    </xf>
    <xf numFmtId="0" fontId="18" fillId="0" borderId="11" xfId="21" applyFont="1" applyBorder="1" applyAlignment="1">
      <alignment horizontal="center" vertical="center"/>
    </xf>
    <xf numFmtId="0" fontId="46" fillId="0" borderId="7" xfId="21" applyFont="1" applyBorder="1" applyAlignment="1">
      <alignment horizontal="center" vertical="center"/>
    </xf>
    <xf numFmtId="0" fontId="46" fillId="0" borderId="8" xfId="21" applyFont="1" applyBorder="1" applyAlignment="1">
      <alignment horizontal="center" vertical="center"/>
    </xf>
    <xf numFmtId="0" fontId="46" fillId="0" borderId="11" xfId="21" applyFont="1" applyBorder="1" applyAlignment="1">
      <alignment horizontal="center" vertical="center"/>
    </xf>
    <xf numFmtId="49" fontId="18" fillId="0" borderId="7" xfId="21" applyNumberFormat="1" applyFont="1" applyBorder="1" applyAlignment="1">
      <alignment horizontal="center" vertical="center"/>
    </xf>
    <xf numFmtId="49" fontId="18" fillId="0" borderId="8" xfId="21" applyNumberFormat="1" applyFont="1" applyBorder="1" applyAlignment="1">
      <alignment horizontal="center" vertical="center"/>
    </xf>
    <xf numFmtId="49" fontId="18" fillId="0" borderId="11" xfId="21" applyNumberFormat="1" applyFont="1" applyBorder="1" applyAlignment="1">
      <alignment horizontal="center" vertical="center"/>
    </xf>
    <xf numFmtId="0" fontId="46" fillId="0" borderId="7" xfId="21" applyFont="1" applyBorder="1" applyAlignment="1">
      <alignment horizontal="left" vertical="center" wrapText="1"/>
    </xf>
    <xf numFmtId="0" fontId="46" fillId="0" borderId="8" xfId="21" applyFont="1" applyBorder="1" applyAlignment="1">
      <alignment horizontal="left" vertical="center" wrapText="1"/>
    </xf>
    <xf numFmtId="0" fontId="46" fillId="0" borderId="11" xfId="21" applyFont="1" applyBorder="1" applyAlignment="1">
      <alignment horizontal="left" vertical="center" wrapText="1"/>
    </xf>
    <xf numFmtId="0" fontId="18" fillId="0" borderId="7" xfId="21" applyFont="1" applyBorder="1" applyAlignment="1">
      <alignment horizontal="center" vertical="center" wrapText="1"/>
    </xf>
    <xf numFmtId="0" fontId="18" fillId="0" borderId="8" xfId="21" applyFont="1" applyBorder="1" applyAlignment="1">
      <alignment horizontal="center" vertical="center" wrapText="1"/>
    </xf>
    <xf numFmtId="0" fontId="18" fillId="0" borderId="11" xfId="21" applyFont="1" applyBorder="1" applyAlignment="1">
      <alignment horizontal="center" vertical="center" wrapText="1"/>
    </xf>
    <xf numFmtId="49" fontId="46" fillId="0" borderId="3" xfId="21" applyNumberFormat="1" applyFont="1" applyBorder="1" applyAlignment="1">
      <alignment horizontal="center" vertical="center"/>
    </xf>
    <xf numFmtId="49" fontId="18" fillId="0" borderId="7" xfId="21" applyNumberFormat="1" applyFont="1" applyBorder="1" applyAlignment="1">
      <alignment horizontal="center" vertical="center" wrapText="1"/>
    </xf>
    <xf numFmtId="49" fontId="18" fillId="0" borderId="8" xfId="21" applyNumberFormat="1" applyFont="1" applyBorder="1" applyAlignment="1">
      <alignment horizontal="center" vertical="center" wrapText="1"/>
    </xf>
    <xf numFmtId="49" fontId="18" fillId="0" borderId="11" xfId="21" applyNumberFormat="1" applyFont="1" applyBorder="1" applyAlignment="1">
      <alignment horizontal="center" vertical="center" wrapText="1"/>
    </xf>
    <xf numFmtId="0" fontId="29" fillId="6" borderId="5" xfId="21" applyFont="1" applyFill="1" applyBorder="1" applyAlignment="1">
      <alignment horizontal="center" vertical="center"/>
    </xf>
    <xf numFmtId="0" fontId="29" fillId="6" borderId="10" xfId="21" applyFont="1" applyFill="1" applyBorder="1" applyAlignment="1">
      <alignment horizontal="center" vertical="center"/>
    </xf>
    <xf numFmtId="0" fontId="29" fillId="6" borderId="4" xfId="21" applyFont="1" applyFill="1" applyBorder="1" applyAlignment="1">
      <alignment horizontal="center" vertical="center"/>
    </xf>
    <xf numFmtId="0" fontId="18" fillId="0" borderId="7" xfId="21" applyFont="1" applyBorder="1" applyAlignment="1">
      <alignment horizontal="left" vertical="center" wrapText="1"/>
    </xf>
    <xf numFmtId="0" fontId="18" fillId="0" borderId="8" xfId="21" applyFont="1" applyBorder="1" applyAlignment="1">
      <alignment horizontal="left" vertical="center" wrapText="1"/>
    </xf>
    <xf numFmtId="0" fontId="18" fillId="0" borderId="11" xfId="21" applyFont="1" applyBorder="1" applyAlignment="1">
      <alignment horizontal="left" vertical="center" wrapText="1"/>
    </xf>
    <xf numFmtId="0" fontId="18" fillId="0" borderId="3" xfId="21" applyFont="1" applyBorder="1" applyAlignment="1">
      <alignment horizontal="left" vertical="center" wrapText="1"/>
    </xf>
    <xf numFmtId="0" fontId="29" fillId="0" borderId="3" xfId="21" applyFont="1" applyBorder="1" applyAlignment="1">
      <alignment horizontal="center"/>
    </xf>
    <xf numFmtId="0" fontId="17" fillId="0" borderId="3" xfId="21" applyFont="1" applyBorder="1" applyAlignment="1">
      <alignment horizontal="center" vertical="center"/>
    </xf>
    <xf numFmtId="0" fontId="42" fillId="0" borderId="3" xfId="21" applyFont="1" applyBorder="1" applyAlignment="1">
      <alignment horizontal="center" vertical="center"/>
    </xf>
    <xf numFmtId="0" fontId="17" fillId="0" borderId="3" xfId="21" applyFont="1" applyBorder="1" applyAlignment="1">
      <alignment horizontal="center" vertical="center" wrapText="1"/>
    </xf>
    <xf numFmtId="0" fontId="17" fillId="0" borderId="7" xfId="21" applyFont="1" applyBorder="1" applyAlignment="1">
      <alignment horizontal="center" vertical="center" wrapText="1"/>
    </xf>
    <xf numFmtId="0" fontId="17" fillId="0" borderId="11" xfId="21" applyFont="1" applyBorder="1" applyAlignment="1">
      <alignment horizontal="center" vertical="center" wrapText="1"/>
    </xf>
    <xf numFmtId="0" fontId="25" fillId="0" borderId="3" xfId="21" applyFont="1" applyBorder="1" applyAlignment="1">
      <alignment horizontal="center" vertical="center"/>
    </xf>
    <xf numFmtId="0" fontId="17" fillId="0" borderId="0" xfId="21" applyFont="1" applyAlignment="1">
      <alignment horizontal="left" vertical="center" wrapText="1"/>
    </xf>
    <xf numFmtId="0" fontId="17" fillId="0" borderId="7" xfId="21" applyFont="1" applyBorder="1" applyAlignment="1">
      <alignment horizontal="center" vertical="center"/>
    </xf>
    <xf numFmtId="0" fontId="17" fillId="0" borderId="8" xfId="21" applyFont="1" applyBorder="1" applyAlignment="1">
      <alignment horizontal="center" vertical="center"/>
    </xf>
    <xf numFmtId="0" fontId="17" fillId="0" borderId="11" xfId="21" applyFont="1" applyBorder="1" applyAlignment="1">
      <alignment horizontal="center" vertical="center"/>
    </xf>
    <xf numFmtId="0" fontId="41" fillId="0" borderId="7" xfId="21" applyFont="1" applyBorder="1" applyAlignment="1">
      <alignment horizontal="center" vertical="center" wrapText="1"/>
    </xf>
    <xf numFmtId="0" fontId="41" fillId="0" borderId="8" xfId="21" applyFont="1" applyBorder="1" applyAlignment="1">
      <alignment horizontal="center" vertical="center" wrapText="1"/>
    </xf>
    <xf numFmtId="0" fontId="41" fillId="0" borderId="11" xfId="21" applyFont="1" applyBorder="1" applyAlignment="1">
      <alignment horizontal="center" vertical="center" wrapText="1"/>
    </xf>
    <xf numFmtId="0" fontId="42" fillId="0" borderId="7" xfId="21" applyFont="1" applyBorder="1" applyAlignment="1">
      <alignment horizontal="center" vertical="center" wrapText="1"/>
    </xf>
    <xf numFmtId="0" fontId="42" fillId="0" borderId="8" xfId="21" applyFont="1" applyBorder="1" applyAlignment="1">
      <alignment horizontal="center" vertical="center" wrapText="1"/>
    </xf>
    <xf numFmtId="0" fontId="42" fillId="0" borderId="11" xfId="21" applyFont="1" applyBorder="1" applyAlignment="1">
      <alignment horizontal="center" vertical="center" wrapText="1"/>
    </xf>
    <xf numFmtId="0" fontId="42" fillId="0" borderId="3" xfId="21" applyFont="1" applyBorder="1" applyAlignment="1">
      <alignment horizontal="center" vertical="center" wrapText="1"/>
    </xf>
    <xf numFmtId="0" fontId="41" fillId="0" borderId="3" xfId="21" applyFont="1" applyBorder="1" applyAlignment="1">
      <alignment horizontal="center" vertical="center" wrapText="1"/>
    </xf>
    <xf numFmtId="3" fontId="37" fillId="8" borderId="3" xfId="24" applyNumberFormat="1" applyFont="1" applyFill="1" applyBorder="1" applyAlignment="1">
      <alignment horizontal="right" vertical="center"/>
    </xf>
    <xf numFmtId="3" fontId="37" fillId="0" borderId="7" xfId="24" applyNumberFormat="1" applyFont="1" applyBorder="1" applyAlignment="1">
      <alignment horizontal="right" vertical="center"/>
    </xf>
    <xf numFmtId="3" fontId="37" fillId="0" borderId="11" xfId="24" applyNumberFormat="1" applyFont="1" applyBorder="1" applyAlignment="1">
      <alignment horizontal="right" vertical="center"/>
    </xf>
    <xf numFmtId="0" fontId="29" fillId="0" borderId="14" xfId="21" applyFont="1" applyBorder="1" applyAlignment="1">
      <alignment horizontal="center" vertical="center" wrapText="1"/>
    </xf>
    <xf numFmtId="0" fontId="29" fillId="0" borderId="6" xfId="21" applyFont="1" applyBorder="1" applyAlignment="1">
      <alignment horizontal="center" vertical="center" wrapText="1"/>
    </xf>
    <xf numFmtId="0" fontId="29" fillId="0" borderId="15" xfId="21" applyFont="1" applyBorder="1" applyAlignment="1">
      <alignment horizontal="center" vertical="center" wrapText="1"/>
    </xf>
    <xf numFmtId="0" fontId="29" fillId="0" borderId="1" xfId="21" applyFont="1" applyBorder="1" applyAlignment="1">
      <alignment horizontal="center" vertical="center" wrapText="1"/>
    </xf>
    <xf numFmtId="0" fontId="29" fillId="0" borderId="0" xfId="21" applyFont="1" applyAlignment="1">
      <alignment horizontal="center" vertical="center" wrapText="1"/>
    </xf>
    <xf numFmtId="0" fontId="29" fillId="0" borderId="9" xfId="21" applyFont="1" applyBorder="1" applyAlignment="1">
      <alignment horizontal="center" vertical="center" wrapText="1"/>
    </xf>
    <xf numFmtId="0" fontId="29" fillId="0" borderId="2" xfId="21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</xf>
    <xf numFmtId="0" fontId="29" fillId="0" borderId="13" xfId="21" applyFont="1" applyBorder="1" applyAlignment="1">
      <alignment horizontal="center" vertical="center" wrapText="1"/>
    </xf>
    <xf numFmtId="3" fontId="25" fillId="0" borderId="7" xfId="21" applyNumberFormat="1" applyFont="1" applyBorder="1" applyAlignment="1">
      <alignment horizontal="center" vertical="center" wrapText="1"/>
    </xf>
    <xf numFmtId="3" fontId="25" fillId="0" borderId="11" xfId="21" applyNumberFormat="1" applyFont="1" applyBorder="1" applyAlignment="1">
      <alignment horizontal="center" vertical="center" wrapText="1"/>
    </xf>
    <xf numFmtId="3" fontId="44" fillId="0" borderId="3" xfId="24" applyNumberFormat="1" applyFont="1" applyBorder="1" applyAlignment="1">
      <alignment horizontal="right" vertical="center"/>
    </xf>
    <xf numFmtId="0" fontId="25" fillId="0" borderId="14" xfId="21" applyFont="1" applyBorder="1" applyAlignment="1">
      <alignment horizontal="center" vertical="center" wrapText="1"/>
    </xf>
    <xf numFmtId="0" fontId="25" fillId="0" borderId="6" xfId="21" applyFont="1" applyBorder="1" applyAlignment="1">
      <alignment horizontal="center" vertical="center" wrapText="1"/>
    </xf>
    <xf numFmtId="0" fontId="25" fillId="0" borderId="15" xfId="21" applyFont="1" applyBorder="1" applyAlignment="1">
      <alignment horizontal="center" vertical="center" wrapText="1"/>
    </xf>
    <xf numFmtId="0" fontId="25" fillId="0" borderId="1" xfId="21" applyFont="1" applyBorder="1" applyAlignment="1">
      <alignment horizontal="center" vertical="center" wrapText="1"/>
    </xf>
    <xf numFmtId="0" fontId="25" fillId="0" borderId="0" xfId="21" applyFont="1" applyAlignment="1">
      <alignment horizontal="center" vertical="center" wrapText="1"/>
    </xf>
    <xf numFmtId="0" fontId="25" fillId="0" borderId="9" xfId="21" applyFont="1" applyBorder="1" applyAlignment="1">
      <alignment horizontal="center" vertical="center" wrapText="1"/>
    </xf>
    <xf numFmtId="0" fontId="25" fillId="0" borderId="2" xfId="21" applyFont="1" applyBorder="1" applyAlignment="1">
      <alignment horizontal="center" vertical="center" wrapText="1"/>
    </xf>
    <xf numFmtId="0" fontId="25" fillId="0" borderId="12" xfId="21" applyFont="1" applyBorder="1" applyAlignment="1">
      <alignment horizontal="center" vertical="center" wrapText="1"/>
    </xf>
    <xf numFmtId="0" fontId="25" fillId="0" borderId="13" xfId="21" applyFont="1" applyBorder="1" applyAlignment="1">
      <alignment horizontal="center" vertical="center" wrapText="1"/>
    </xf>
    <xf numFmtId="3" fontId="44" fillId="8" borderId="3" xfId="24" applyNumberFormat="1" applyFont="1" applyFill="1" applyBorder="1" applyAlignment="1">
      <alignment horizontal="right" vertical="center"/>
    </xf>
    <xf numFmtId="0" fontId="18" fillId="0" borderId="7" xfId="23" applyFont="1" applyBorder="1" applyAlignment="1">
      <alignment horizontal="left" vertical="center" wrapText="1"/>
    </xf>
    <xf numFmtId="0" fontId="18" fillId="0" borderId="8" xfId="23" applyFont="1" applyBorder="1" applyAlignment="1">
      <alignment horizontal="left" vertical="center" wrapText="1"/>
    </xf>
    <xf numFmtId="0" fontId="18" fillId="0" borderId="11" xfId="23" applyFont="1" applyBorder="1" applyAlignment="1">
      <alignment horizontal="left" vertical="center" wrapText="1"/>
    </xf>
    <xf numFmtId="49" fontId="18" fillId="0" borderId="3" xfId="21" applyNumberFormat="1" applyFont="1" applyBorder="1" applyAlignment="1">
      <alignment horizontal="center" vertical="center" wrapText="1"/>
    </xf>
    <xf numFmtId="3" fontId="37" fillId="0" borderId="3" xfId="24" applyNumberFormat="1" applyFont="1" applyBorder="1" applyAlignment="1">
      <alignment horizontal="right" vertical="center"/>
    </xf>
    <xf numFmtId="0" fontId="29" fillId="0" borderId="5" xfId="23" applyFont="1" applyBorder="1" applyAlignment="1">
      <alignment horizontal="center" vertical="center" wrapText="1"/>
    </xf>
    <xf numFmtId="0" fontId="29" fillId="0" borderId="10" xfId="23" applyFont="1" applyBorder="1" applyAlignment="1">
      <alignment horizontal="center" vertical="center" wrapText="1"/>
    </xf>
    <xf numFmtId="0" fontId="29" fillId="0" borderId="4" xfId="23" applyFont="1" applyBorder="1" applyAlignment="1">
      <alignment horizontal="center" vertical="center" wrapText="1"/>
    </xf>
    <xf numFmtId="0" fontId="29" fillId="7" borderId="5" xfId="21" applyFont="1" applyFill="1" applyBorder="1" applyAlignment="1">
      <alignment horizontal="center" vertical="center"/>
    </xf>
    <xf numFmtId="0" fontId="29" fillId="7" borderId="10" xfId="21" applyFont="1" applyFill="1" applyBorder="1" applyAlignment="1">
      <alignment horizontal="center" vertical="center"/>
    </xf>
    <xf numFmtId="0" fontId="29" fillId="7" borderId="4" xfId="21" applyFont="1" applyFill="1" applyBorder="1" applyAlignment="1">
      <alignment horizontal="center" vertical="center"/>
    </xf>
    <xf numFmtId="0" fontId="22" fillId="0" borderId="5" xfId="21" applyFont="1" applyBorder="1" applyAlignment="1">
      <alignment horizontal="center"/>
    </xf>
    <xf numFmtId="0" fontId="22" fillId="0" borderId="10" xfId="21" applyFont="1" applyBorder="1" applyAlignment="1">
      <alignment horizontal="center"/>
    </xf>
    <xf numFmtId="0" fontId="22" fillId="0" borderId="4" xfId="21" applyFont="1" applyBorder="1" applyAlignment="1">
      <alignment horizontal="center"/>
    </xf>
    <xf numFmtId="0" fontId="29" fillId="7" borderId="1" xfId="21" applyFont="1" applyFill="1" applyBorder="1" applyAlignment="1">
      <alignment horizontal="center" vertical="center"/>
    </xf>
    <xf numFmtId="0" fontId="29" fillId="7" borderId="0" xfId="21" applyFont="1" applyFill="1" applyAlignment="1">
      <alignment horizontal="center" vertical="center"/>
    </xf>
    <xf numFmtId="0" fontId="25" fillId="0" borderId="14" xfId="23" applyFont="1" applyBorder="1" applyAlignment="1">
      <alignment horizontal="center" vertical="center" wrapText="1"/>
    </xf>
    <xf numFmtId="0" fontId="25" fillId="0" borderId="6" xfId="23" applyFont="1" applyBorder="1" applyAlignment="1">
      <alignment horizontal="center" vertical="center" wrapText="1"/>
    </xf>
    <xf numFmtId="0" fontId="25" fillId="0" borderId="15" xfId="23" applyFont="1" applyBorder="1" applyAlignment="1">
      <alignment horizontal="center" vertical="center" wrapText="1"/>
    </xf>
    <xf numFmtId="0" fontId="25" fillId="0" borderId="1" xfId="23" applyFont="1" applyBorder="1" applyAlignment="1">
      <alignment horizontal="center" vertical="center" wrapText="1"/>
    </xf>
    <xf numFmtId="0" fontId="25" fillId="0" borderId="0" xfId="23" applyFont="1" applyAlignment="1">
      <alignment horizontal="center" vertical="center" wrapText="1"/>
    </xf>
    <xf numFmtId="0" fontId="25" fillId="0" borderId="9" xfId="23" applyFont="1" applyBorder="1" applyAlignment="1">
      <alignment horizontal="center" vertical="center" wrapText="1"/>
    </xf>
    <xf numFmtId="0" fontId="25" fillId="0" borderId="2" xfId="23" applyFont="1" applyBorder="1" applyAlignment="1">
      <alignment horizontal="center" vertical="center" wrapText="1"/>
    </xf>
    <xf numFmtId="0" fontId="25" fillId="0" borderId="12" xfId="23" applyFont="1" applyBorder="1" applyAlignment="1">
      <alignment horizontal="center" vertical="center" wrapText="1"/>
    </xf>
    <xf numFmtId="0" fontId="25" fillId="0" borderId="13" xfId="23" applyFont="1" applyBorder="1" applyAlignment="1">
      <alignment horizontal="center" vertical="center" wrapText="1"/>
    </xf>
    <xf numFmtId="0" fontId="18" fillId="0" borderId="0" xfId="21" applyFont="1" applyAlignment="1">
      <alignment horizontal="left"/>
    </xf>
    <xf numFmtId="0" fontId="18" fillId="0" borderId="0" xfId="21" applyFont="1" applyAlignment="1">
      <alignment horizontal="left" vertical="center" wrapText="1"/>
    </xf>
    <xf numFmtId="0" fontId="18" fillId="0" borderId="3" xfId="23" applyFont="1" applyBorder="1" applyAlignment="1">
      <alignment horizontal="left" vertical="center" wrapText="1"/>
    </xf>
    <xf numFmtId="0" fontId="22" fillId="0" borderId="3" xfId="21" applyFont="1" applyBorder="1" applyAlignment="1">
      <alignment horizontal="center"/>
    </xf>
    <xf numFmtId="0" fontId="29" fillId="9" borderId="3" xfId="21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vertical="center"/>
    </xf>
    <xf numFmtId="0" fontId="39" fillId="0" borderId="14" xfId="29" applyFont="1" applyBorder="1" applyAlignment="1">
      <alignment horizontal="left" vertical="center" wrapText="1"/>
    </xf>
    <xf numFmtId="0" fontId="39" fillId="0" borderId="6" xfId="29" applyFont="1" applyBorder="1" applyAlignment="1">
      <alignment horizontal="left" vertical="center" wrapText="1"/>
    </xf>
    <xf numFmtId="0" fontId="39" fillId="0" borderId="15" xfId="2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7" fillId="0" borderId="1" xfId="29" applyNumberFormat="1" applyFont="1" applyBorder="1" applyAlignment="1">
      <alignment horizontal="center" vertical="top"/>
    </xf>
    <xf numFmtId="49" fontId="27" fillId="0" borderId="9" xfId="29" applyNumberFormat="1" applyFont="1" applyBorder="1" applyAlignment="1">
      <alignment horizontal="center" vertical="top"/>
    </xf>
    <xf numFmtId="0" fontId="27" fillId="0" borderId="14" xfId="29" applyFont="1" applyBorder="1" applyAlignment="1">
      <alignment horizontal="left" vertical="top" wrapText="1"/>
    </xf>
    <xf numFmtId="0" fontId="27" fillId="0" borderId="15" xfId="29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49" fontId="27" fillId="0" borderId="2" xfId="29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49" fontId="27" fillId="0" borderId="1" xfId="29" applyNumberFormat="1" applyFont="1" applyBorder="1" applyAlignment="1">
      <alignment horizontal="center" vertical="center"/>
    </xf>
    <xf numFmtId="49" fontId="27" fillId="0" borderId="9" xfId="29" applyNumberFormat="1" applyFont="1" applyBorder="1" applyAlignment="1">
      <alignment horizontal="center" vertical="center"/>
    </xf>
    <xf numFmtId="49" fontId="27" fillId="0" borderId="14" xfId="29" applyNumberFormat="1" applyFont="1" applyBorder="1" applyAlignment="1">
      <alignment horizontal="center" vertical="center"/>
    </xf>
    <xf numFmtId="49" fontId="27" fillId="0" borderId="15" xfId="29" applyNumberFormat="1" applyFont="1" applyBorder="1" applyAlignment="1">
      <alignment horizontal="center" vertical="center"/>
    </xf>
    <xf numFmtId="49" fontId="27" fillId="0" borderId="14" xfId="29" applyNumberFormat="1" applyFont="1" applyBorder="1" applyAlignment="1">
      <alignment horizontal="center" vertical="top"/>
    </xf>
    <xf numFmtId="49" fontId="27" fillId="0" borderId="15" xfId="29" applyNumberFormat="1" applyFont="1" applyBorder="1" applyAlignment="1">
      <alignment horizontal="center" vertical="top"/>
    </xf>
    <xf numFmtId="49" fontId="27" fillId="0" borderId="2" xfId="29" applyNumberFormat="1" applyFont="1" applyBorder="1" applyAlignment="1">
      <alignment horizontal="center" vertical="center"/>
    </xf>
    <xf numFmtId="0" fontId="27" fillId="0" borderId="1" xfId="29" applyFont="1" applyBorder="1" applyAlignment="1">
      <alignment horizontal="left" vertical="top" wrapText="1"/>
    </xf>
    <xf numFmtId="0" fontId="27" fillId="0" borderId="9" xfId="29" applyFont="1" applyBorder="1" applyAlignment="1">
      <alignment horizontal="left" vertical="top" wrapText="1"/>
    </xf>
    <xf numFmtId="3" fontId="27" fillId="0" borderId="1" xfId="29" applyNumberFormat="1" applyFont="1" applyBorder="1" applyAlignment="1">
      <alignment horizontal="center" vertical="center"/>
    </xf>
    <xf numFmtId="3" fontId="27" fillId="0" borderId="9" xfId="29" applyNumberFormat="1" applyFont="1" applyBorder="1" applyAlignment="1">
      <alignment horizontal="center" vertical="center"/>
    </xf>
    <xf numFmtId="3" fontId="27" fillId="0" borderId="14" xfId="29" applyNumberFormat="1" applyFont="1" applyBorder="1" applyAlignment="1">
      <alignment horizontal="left" vertical="top" wrapText="1"/>
    </xf>
    <xf numFmtId="3" fontId="27" fillId="0" borderId="15" xfId="29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3" fontId="0" fillId="0" borderId="9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left" vertical="top" wrapText="1"/>
    </xf>
    <xf numFmtId="3" fontId="0" fillId="0" borderId="13" xfId="0" applyNumberFormat="1" applyBorder="1" applyAlignment="1">
      <alignment horizontal="left" vertical="top" wrapText="1"/>
    </xf>
    <xf numFmtId="3" fontId="0" fillId="0" borderId="9" xfId="0" applyNumberFormat="1" applyBorder="1" applyAlignment="1">
      <alignment horizontal="center"/>
    </xf>
    <xf numFmtId="3" fontId="27" fillId="0" borderId="2" xfId="29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7" fillId="0" borderId="2" xfId="29" applyFont="1" applyBorder="1" applyAlignment="1">
      <alignment horizontal="left" vertical="top" wrapText="1"/>
    </xf>
    <xf numFmtId="0" fontId="27" fillId="0" borderId="13" xfId="29" applyFont="1" applyBorder="1" applyAlignment="1">
      <alignment horizontal="left" vertical="top" wrapText="1"/>
    </xf>
    <xf numFmtId="0" fontId="28" fillId="0" borderId="1" xfId="29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8" fillId="0" borderId="14" xfId="29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14" xfId="29" applyFont="1" applyBorder="1" applyAlignment="1">
      <alignment horizontal="left" vertical="top" wrapText="1"/>
    </xf>
    <xf numFmtId="49" fontId="65" fillId="0" borderId="14" xfId="29" applyNumberFormat="1" applyFont="1" applyBorder="1" applyAlignment="1">
      <alignment horizontal="left" vertical="center"/>
    </xf>
    <xf numFmtId="49" fontId="65" fillId="0" borderId="6" xfId="29" applyNumberFormat="1" applyFont="1" applyBorder="1" applyAlignment="1">
      <alignment horizontal="left" vertical="center"/>
    </xf>
    <xf numFmtId="49" fontId="65" fillId="0" borderId="15" xfId="29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7" fillId="0" borderId="7" xfId="29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27" fillId="0" borderId="8" xfId="29" applyFont="1" applyBorder="1" applyAlignment="1">
      <alignment vertical="top" wrapText="1"/>
    </xf>
    <xf numFmtId="49" fontId="66" fillId="0" borderId="14" xfId="29" applyNumberFormat="1" applyFont="1" applyBorder="1" applyAlignment="1">
      <alignment horizontal="left" vertical="center" wrapText="1"/>
    </xf>
    <xf numFmtId="49" fontId="66" fillId="0" borderId="6" xfId="29" applyNumberFormat="1" applyFont="1" applyBorder="1" applyAlignment="1">
      <alignment horizontal="left" vertical="center" wrapText="1"/>
    </xf>
    <xf numFmtId="49" fontId="66" fillId="0" borderId="15" xfId="29" applyNumberFormat="1" applyFont="1" applyBorder="1" applyAlignment="1">
      <alignment horizontal="left" vertical="center" wrapText="1"/>
    </xf>
    <xf numFmtId="0" fontId="39" fillId="0" borderId="14" xfId="29" applyFont="1" applyBorder="1" applyAlignment="1">
      <alignment horizontal="left" vertical="center"/>
    </xf>
    <xf numFmtId="0" fontId="39" fillId="0" borderId="6" xfId="29" applyFont="1" applyBorder="1" applyAlignment="1">
      <alignment horizontal="left" vertical="center"/>
    </xf>
    <xf numFmtId="49" fontId="66" fillId="0" borderId="14" xfId="29" applyNumberFormat="1" applyFont="1" applyBorder="1" applyAlignment="1">
      <alignment horizontal="left" vertical="center"/>
    </xf>
    <xf numFmtId="49" fontId="66" fillId="0" borderId="6" xfId="29" applyNumberFormat="1" applyFont="1" applyBorder="1" applyAlignment="1">
      <alignment horizontal="left" vertical="center"/>
    </xf>
    <xf numFmtId="49" fontId="66" fillId="0" borderId="15" xfId="29" applyNumberFormat="1" applyFont="1" applyBorder="1" applyAlignment="1">
      <alignment horizontal="left" vertical="center"/>
    </xf>
    <xf numFmtId="49" fontId="27" fillId="0" borderId="0" xfId="29" applyNumberFormat="1" applyFont="1" applyAlignment="1">
      <alignment horizontal="center" vertical="center"/>
    </xf>
    <xf numFmtId="49" fontId="28" fillId="0" borderId="1" xfId="29" applyNumberFormat="1" applyFont="1" applyBorder="1" applyAlignment="1">
      <alignment horizontal="center" vertical="center"/>
    </xf>
    <xf numFmtId="49" fontId="28" fillId="0" borderId="9" xfId="29" applyNumberFormat="1" applyFont="1" applyBorder="1" applyAlignment="1">
      <alignment horizontal="center" vertical="center"/>
    </xf>
    <xf numFmtId="0" fontId="28" fillId="0" borderId="15" xfId="29" applyFont="1" applyBorder="1" applyAlignment="1">
      <alignment horizontal="left" vertical="top" wrapText="1"/>
    </xf>
    <xf numFmtId="49" fontId="28" fillId="0" borderId="2" xfId="29" applyNumberFormat="1" applyFont="1" applyBorder="1" applyAlignment="1">
      <alignment horizontal="center" vertical="center"/>
    </xf>
    <xf numFmtId="0" fontId="28" fillId="0" borderId="9" xfId="29" applyFont="1" applyBorder="1" applyAlignment="1">
      <alignment horizontal="left" vertical="top" wrapText="1"/>
    </xf>
    <xf numFmtId="49" fontId="27" fillId="0" borderId="0" xfId="29" applyNumberFormat="1" applyFont="1" applyAlignment="1">
      <alignment horizontal="center" vertical="top"/>
    </xf>
    <xf numFmtId="4" fontId="23" fillId="0" borderId="7" xfId="29" applyNumberFormat="1" applyFont="1" applyBorder="1" applyAlignment="1">
      <alignment horizontal="center" vertical="top" wrapText="1"/>
    </xf>
    <xf numFmtId="4" fontId="23" fillId="0" borderId="11" xfId="29" applyNumberFormat="1" applyFont="1" applyBorder="1" applyAlignment="1">
      <alignment horizontal="center" vertical="top" wrapText="1"/>
    </xf>
    <xf numFmtId="0" fontId="19" fillId="0" borderId="5" xfId="29" applyFont="1" applyBorder="1" applyAlignment="1">
      <alignment horizontal="center" vertical="center"/>
    </xf>
    <xf numFmtId="0" fontId="19" fillId="0" borderId="4" xfId="30" applyFont="1" applyBorder="1" applyAlignment="1">
      <alignment horizontal="center" vertical="center"/>
    </xf>
    <xf numFmtId="3" fontId="18" fillId="0" borderId="0" xfId="29" applyNumberFormat="1" applyFont="1" applyAlignment="1">
      <alignment horizontal="left" vertical="center"/>
    </xf>
    <xf numFmtId="0" fontId="18" fillId="0" borderId="0" xfId="29" applyFont="1" applyAlignment="1">
      <alignment horizontal="left" vertical="center" wrapText="1"/>
    </xf>
    <xf numFmtId="0" fontId="17" fillId="0" borderId="0" xfId="29" applyFont="1" applyAlignment="1">
      <alignment horizontal="left" vertical="center" wrapText="1"/>
    </xf>
    <xf numFmtId="0" fontId="23" fillId="0" borderId="14" xfId="29" applyFont="1" applyBorder="1" applyAlignment="1">
      <alignment horizontal="center" vertical="top" wrapText="1"/>
    </xf>
    <xf numFmtId="0" fontId="23" fillId="0" borderId="15" xfId="29" applyFont="1" applyBorder="1" applyAlignment="1">
      <alignment horizontal="center" vertical="top" wrapText="1"/>
    </xf>
    <xf numFmtId="0" fontId="23" fillId="0" borderId="1" xfId="29" applyFont="1" applyBorder="1" applyAlignment="1">
      <alignment horizontal="center" vertical="top" wrapText="1"/>
    </xf>
    <xf numFmtId="0" fontId="23" fillId="0" borderId="9" xfId="29" applyFont="1" applyBorder="1" applyAlignment="1">
      <alignment horizontal="center" vertical="top" wrapText="1"/>
    </xf>
    <xf numFmtId="0" fontId="23" fillId="0" borderId="2" xfId="29" applyFont="1" applyBorder="1" applyAlignment="1">
      <alignment horizontal="center" vertical="top" wrapText="1"/>
    </xf>
    <xf numFmtId="0" fontId="23" fillId="0" borderId="13" xfId="29" applyFont="1" applyBorder="1" applyAlignment="1">
      <alignment horizontal="center" vertical="top" wrapText="1"/>
    </xf>
    <xf numFmtId="0" fontId="18" fillId="0" borderId="15" xfId="30" applyFont="1" applyBorder="1" applyAlignment="1">
      <alignment vertical="top"/>
    </xf>
    <xf numFmtId="0" fontId="18" fillId="0" borderId="1" xfId="30" applyFont="1" applyBorder="1" applyAlignment="1">
      <alignment vertical="top"/>
    </xf>
    <xf numFmtId="0" fontId="18" fillId="0" borderId="9" xfId="30" applyFont="1" applyBorder="1" applyAlignment="1">
      <alignment vertical="top"/>
    </xf>
    <xf numFmtId="0" fontId="48" fillId="0" borderId="7" xfId="30" applyFont="1" applyBorder="1" applyAlignment="1">
      <alignment vertical="top"/>
    </xf>
    <xf numFmtId="0" fontId="35" fillId="0" borderId="8" xfId="0" applyFont="1" applyBorder="1" applyAlignment="1">
      <alignment vertical="top"/>
    </xf>
    <xf numFmtId="0" fontId="35" fillId="0" borderId="11" xfId="0" applyFont="1" applyBorder="1" applyAlignment="1">
      <alignment vertical="top"/>
    </xf>
    <xf numFmtId="4" fontId="23" fillId="0" borderId="7" xfId="30" applyNumberFormat="1" applyFont="1" applyBorder="1" applyAlignment="1">
      <alignment horizontal="center" vertical="top"/>
    </xf>
    <xf numFmtId="4" fontId="23" fillId="0" borderId="8" xfId="30" applyNumberFormat="1" applyFont="1" applyBorder="1" applyAlignment="1">
      <alignment horizontal="center" vertical="top"/>
    </xf>
    <xf numFmtId="4" fontId="23" fillId="0" borderId="11" xfId="30" applyNumberFormat="1" applyFont="1" applyBorder="1" applyAlignment="1">
      <alignment horizontal="center" vertical="top"/>
    </xf>
    <xf numFmtId="4" fontId="23" fillId="0" borderId="5" xfId="29" applyNumberFormat="1" applyFont="1" applyBorder="1" applyAlignment="1">
      <alignment horizontal="center" vertical="top" wrapText="1"/>
    </xf>
    <xf numFmtId="4" fontId="23" fillId="0" borderId="10" xfId="29" applyNumberFormat="1" applyFont="1" applyBorder="1" applyAlignment="1">
      <alignment horizontal="center" vertical="top" wrapText="1"/>
    </xf>
    <xf numFmtId="4" fontId="23" fillId="0" borderId="4" xfId="29" applyNumberFormat="1" applyFont="1" applyBorder="1" applyAlignment="1">
      <alignment horizontal="center" vertical="top" wrapText="1"/>
    </xf>
    <xf numFmtId="4" fontId="34" fillId="0" borderId="5" xfId="32" applyNumberFormat="1" applyFont="1" applyBorder="1" applyAlignment="1">
      <alignment horizontal="center" vertical="top"/>
    </xf>
    <xf numFmtId="4" fontId="34" fillId="0" borderId="10" xfId="32" applyNumberFormat="1" applyFont="1" applyBorder="1" applyAlignment="1">
      <alignment horizontal="center" vertical="top"/>
    </xf>
    <xf numFmtId="4" fontId="34" fillId="0" borderId="4" xfId="32" applyNumberFormat="1" applyFont="1" applyBorder="1" applyAlignment="1">
      <alignment horizontal="center" vertical="top"/>
    </xf>
    <xf numFmtId="0" fontId="33" fillId="0" borderId="0" xfId="32" applyFont="1" applyAlignment="1">
      <alignment horizontal="center" vertical="top"/>
    </xf>
    <xf numFmtId="3" fontId="34" fillId="0" borderId="7" xfId="32" applyNumberFormat="1" applyFont="1" applyBorder="1" applyAlignment="1">
      <alignment horizontal="center" vertical="center"/>
    </xf>
    <xf numFmtId="3" fontId="34" fillId="0" borderId="11" xfId="32" applyNumberFormat="1" applyFont="1" applyBorder="1" applyAlignment="1">
      <alignment horizontal="center" vertical="center"/>
    </xf>
    <xf numFmtId="0" fontId="34" fillId="0" borderId="7" xfId="32" applyFont="1" applyBorder="1" applyAlignment="1">
      <alignment horizontal="center" vertical="center" wrapText="1"/>
    </xf>
    <xf numFmtId="0" fontId="34" fillId="0" borderId="11" xfId="32" applyFont="1" applyBorder="1" applyAlignment="1">
      <alignment horizontal="center" vertical="center" wrapText="1"/>
    </xf>
    <xf numFmtId="0" fontId="34" fillId="0" borderId="15" xfId="32" applyFont="1" applyBorder="1" applyAlignment="1">
      <alignment horizontal="center" vertical="center"/>
    </xf>
    <xf numFmtId="0" fontId="34" fillId="0" borderId="13" xfId="32" applyFont="1" applyBorder="1" applyAlignment="1">
      <alignment horizontal="center" vertical="center"/>
    </xf>
    <xf numFmtId="0" fontId="34" fillId="0" borderId="5" xfId="32" applyFont="1" applyBorder="1" applyAlignment="1">
      <alignment horizontal="center"/>
    </xf>
    <xf numFmtId="0" fontId="34" fillId="0" borderId="10" xfId="32" applyFont="1" applyBorder="1" applyAlignment="1">
      <alignment horizontal="center"/>
    </xf>
    <xf numFmtId="0" fontId="34" fillId="0" borderId="4" xfId="32" applyFont="1" applyBorder="1" applyAlignment="1">
      <alignment horizontal="center"/>
    </xf>
    <xf numFmtId="0" fontId="17" fillId="0" borderId="10" xfId="33" applyFont="1" applyBorder="1" applyAlignment="1">
      <alignment horizontal="center"/>
    </xf>
    <xf numFmtId="0" fontId="17" fillId="0" borderId="4" xfId="33" applyFont="1" applyBorder="1" applyAlignment="1">
      <alignment horizontal="center"/>
    </xf>
    <xf numFmtId="0" fontId="18" fillId="0" borderId="7" xfId="29" applyFont="1" applyBorder="1" applyAlignment="1">
      <alignment vertical="top" wrapText="1"/>
    </xf>
    <xf numFmtId="0" fontId="18" fillId="0" borderId="3" xfId="29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18" fillId="0" borderId="7" xfId="29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25" fillId="0" borderId="14" xfId="29" applyFont="1" applyBorder="1" applyAlignment="1">
      <alignment horizontal="center" vertical="center" wrapText="1"/>
    </xf>
    <xf numFmtId="0" fontId="25" fillId="0" borderId="6" xfId="29" applyFont="1" applyBorder="1" applyAlignment="1">
      <alignment horizontal="center" vertical="center" wrapText="1"/>
    </xf>
    <xf numFmtId="0" fontId="25" fillId="0" borderId="15" xfId="2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8" fillId="0" borderId="0" xfId="29" applyNumberFormat="1" applyFont="1" applyAlignment="1">
      <alignment horizontal="left"/>
    </xf>
    <xf numFmtId="3" fontId="18" fillId="0" borderId="0" xfId="29" applyNumberFormat="1" applyFont="1" applyAlignment="1">
      <alignment horizontal="left" wrapText="1"/>
    </xf>
    <xf numFmtId="0" fontId="18" fillId="0" borderId="0" xfId="29" applyFont="1" applyAlignment="1">
      <alignment horizontal="justify" wrapText="1"/>
    </xf>
    <xf numFmtId="0" fontId="17" fillId="0" borderId="7" xfId="29" applyFont="1" applyBorder="1" applyAlignment="1">
      <alignment horizontal="center" vertical="top"/>
    </xf>
    <xf numFmtId="0" fontId="17" fillId="0" borderId="11" xfId="29" applyFont="1" applyBorder="1" applyAlignment="1">
      <alignment horizontal="center" vertical="top"/>
    </xf>
    <xf numFmtId="0" fontId="17" fillId="0" borderId="5" xfId="29" applyFont="1" applyBorder="1" applyAlignment="1">
      <alignment horizontal="center" vertical="top" wrapText="1"/>
    </xf>
    <xf numFmtId="0" fontId="17" fillId="0" borderId="4" xfId="29" applyFont="1" applyBorder="1" applyAlignment="1">
      <alignment horizontal="center" vertical="top" wrapText="1"/>
    </xf>
    <xf numFmtId="0" fontId="17" fillId="0" borderId="7" xfId="29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17" fillId="0" borderId="7" xfId="29" applyNumberFormat="1" applyFont="1" applyBorder="1" applyAlignment="1">
      <alignment horizontal="center" vertical="top" wrapText="1"/>
    </xf>
    <xf numFmtId="3" fontId="17" fillId="0" borderId="11" xfId="29" applyNumberFormat="1" applyFont="1" applyBorder="1" applyAlignment="1">
      <alignment horizontal="center" vertical="top" wrapText="1"/>
    </xf>
    <xf numFmtId="0" fontId="17" fillId="0" borderId="11" xfId="29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8" fillId="0" borderId="11" xfId="29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8" fillId="0" borderId="11" xfId="29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8" fillId="0" borderId="7" xfId="29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9" fontId="18" fillId="0" borderId="7" xfId="31" applyFont="1" applyFill="1" applyBorder="1" applyAlignment="1">
      <alignment vertical="top" wrapText="1"/>
    </xf>
    <xf numFmtId="9" fontId="18" fillId="0" borderId="7" xfId="31" applyFont="1" applyFill="1" applyBorder="1" applyAlignment="1">
      <alignment horizontal="justify" vertical="top" wrapText="1"/>
    </xf>
    <xf numFmtId="49" fontId="18" fillId="0" borderId="8" xfId="29" applyNumberFormat="1" applyFont="1" applyBorder="1" applyAlignment="1">
      <alignment horizontal="center" vertical="top"/>
    </xf>
    <xf numFmtId="9" fontId="18" fillId="0" borderId="8" xfId="31" applyFont="1" applyFill="1" applyBorder="1" applyAlignment="1">
      <alignment vertical="top" wrapText="1"/>
    </xf>
    <xf numFmtId="9" fontId="18" fillId="0" borderId="11" xfId="31" applyFont="1" applyFill="1" applyBorder="1" applyAlignment="1">
      <alignment vertical="top" wrapText="1"/>
    </xf>
    <xf numFmtId="9" fontId="18" fillId="0" borderId="8" xfId="31" applyFont="1" applyFill="1" applyBorder="1" applyAlignment="1">
      <alignment horizontal="justify" vertical="top" wrapText="1"/>
    </xf>
    <xf numFmtId="9" fontId="18" fillId="0" borderId="11" xfId="31" applyFont="1" applyFill="1" applyBorder="1" applyAlignment="1">
      <alignment horizontal="justify" vertical="top" wrapText="1"/>
    </xf>
    <xf numFmtId="0" fontId="25" fillId="0" borderId="5" xfId="29" applyFont="1" applyBorder="1" applyAlignment="1">
      <alignment horizontal="center" vertical="center" wrapText="1"/>
    </xf>
    <xf numFmtId="0" fontId="25" fillId="0" borderId="10" xfId="29" applyFont="1" applyBorder="1" applyAlignment="1">
      <alignment horizontal="center" vertical="center" wrapText="1"/>
    </xf>
    <xf numFmtId="0" fontId="25" fillId="0" borderId="4" xfId="29" applyFont="1" applyBorder="1" applyAlignment="1">
      <alignment horizontal="center" vertical="center" wrapText="1"/>
    </xf>
    <xf numFmtId="0" fontId="17" fillId="0" borderId="10" xfId="29" applyFont="1" applyBorder="1" applyAlignment="1">
      <alignment horizontal="center" vertical="top" wrapText="1"/>
    </xf>
    <xf numFmtId="0" fontId="23" fillId="0" borderId="3" xfId="34" applyFont="1" applyBorder="1" applyAlignment="1">
      <alignment horizontal="center" vertical="center"/>
    </xf>
    <xf numFmtId="0" fontId="23" fillId="0" borderId="3" xfId="34" applyFont="1" applyBorder="1" applyAlignment="1">
      <alignment horizontal="left" vertical="center" wrapText="1"/>
    </xf>
    <xf numFmtId="0" fontId="23" fillId="0" borderId="3" xfId="34" applyFont="1" applyBorder="1" applyAlignment="1">
      <alignment horizontal="center" vertical="center" wrapText="1"/>
    </xf>
    <xf numFmtId="0" fontId="20" fillId="0" borderId="7" xfId="33" applyFont="1" applyBorder="1" applyAlignment="1">
      <alignment horizontal="center" vertical="center" wrapText="1"/>
    </xf>
    <xf numFmtId="0" fontId="20" fillId="0" borderId="8" xfId="33" applyFont="1" applyBorder="1" applyAlignment="1">
      <alignment horizontal="center" vertical="center" wrapText="1"/>
    </xf>
    <xf numFmtId="0" fontId="20" fillId="0" borderId="11" xfId="33" applyFont="1" applyBorder="1" applyAlignment="1">
      <alignment horizontal="center" vertical="center" wrapText="1"/>
    </xf>
    <xf numFmtId="0" fontId="48" fillId="0" borderId="7" xfId="33" applyFont="1" applyBorder="1" applyAlignment="1">
      <alignment horizontal="center" vertical="top"/>
    </xf>
    <xf numFmtId="0" fontId="48" fillId="0" borderId="8" xfId="33" applyFont="1" applyBorder="1" applyAlignment="1">
      <alignment horizontal="center" vertical="top"/>
    </xf>
    <xf numFmtId="0" fontId="48" fillId="0" borderId="11" xfId="33" applyFont="1" applyBorder="1" applyAlignment="1">
      <alignment horizontal="center" vertical="top"/>
    </xf>
    <xf numFmtId="0" fontId="48" fillId="0" borderId="14" xfId="33" applyFont="1" applyBorder="1" applyAlignment="1">
      <alignment horizontal="left" vertical="top" wrapText="1"/>
    </xf>
    <xf numFmtId="0" fontId="48" fillId="0" borderId="1" xfId="33" applyFont="1" applyBorder="1" applyAlignment="1">
      <alignment horizontal="left" vertical="top" wrapText="1"/>
    </xf>
    <xf numFmtId="0" fontId="48" fillId="0" borderId="2" xfId="33" applyFont="1" applyBorder="1" applyAlignment="1">
      <alignment horizontal="left" vertical="top" wrapText="1"/>
    </xf>
    <xf numFmtId="0" fontId="46" fillId="0" borderId="7" xfId="33" applyFont="1" applyBorder="1" applyAlignment="1">
      <alignment horizontal="center" vertical="center" wrapText="1"/>
    </xf>
    <xf numFmtId="0" fontId="46" fillId="0" borderId="8" xfId="33" applyFont="1" applyBorder="1" applyAlignment="1">
      <alignment horizontal="center" vertical="center" wrapText="1"/>
    </xf>
    <xf numFmtId="0" fontId="46" fillId="0" borderId="11" xfId="33" applyFont="1" applyBorder="1" applyAlignment="1">
      <alignment horizontal="center" vertical="center" wrapText="1"/>
    </xf>
    <xf numFmtId="0" fontId="48" fillId="0" borderId="7" xfId="33" applyFont="1" applyBorder="1" applyAlignment="1">
      <alignment horizontal="left" vertical="top" wrapText="1"/>
    </xf>
    <xf numFmtId="0" fontId="48" fillId="0" borderId="8" xfId="33" applyFont="1" applyBorder="1" applyAlignment="1">
      <alignment horizontal="left" vertical="top" wrapText="1"/>
    </xf>
    <xf numFmtId="0" fontId="21" fillId="0" borderId="8" xfId="33" applyFont="1" applyBorder="1" applyAlignment="1">
      <alignment horizontal="center" vertical="top"/>
    </xf>
    <xf numFmtId="0" fontId="21" fillId="0" borderId="8" xfId="33" applyFont="1" applyBorder="1" applyAlignment="1">
      <alignment horizontal="left" vertical="top" wrapText="1"/>
    </xf>
    <xf numFmtId="0" fontId="21" fillId="0" borderId="11" xfId="33" applyFont="1" applyBorder="1" applyAlignment="1">
      <alignment horizontal="center" vertical="top"/>
    </xf>
    <xf numFmtId="0" fontId="21" fillId="0" borderId="11" xfId="33" applyFont="1" applyBorder="1" applyAlignment="1">
      <alignment horizontal="left" vertical="top" wrapText="1"/>
    </xf>
    <xf numFmtId="0" fontId="18" fillId="0" borderId="0" xfId="34" applyFont="1" applyAlignment="1">
      <alignment horizontal="justify" vertical="center" wrapText="1"/>
    </xf>
  </cellXfs>
  <cellStyles count="37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18" xr:uid="{D6B50568-20DA-4E7C-8203-E52DA44B1AC3}"/>
    <cellStyle name="Normalny 10 2" xfId="20" xr:uid="{36D7B9EC-63C9-4858-A681-7891241967EE}"/>
    <cellStyle name="Normalny 11" xfId="19" xr:uid="{80FC80D0-5886-4F60-81C9-8357F0A28CA3}"/>
    <cellStyle name="Normalny 12" xfId="27" xr:uid="{70F24E8A-3DA0-4F80-8A99-FB4B3AAB0F07}"/>
    <cellStyle name="Normalny 2" xfId="5" xr:uid="{00000000-0005-0000-0000-000005000000}"/>
    <cellStyle name="Normalny 2 2" xfId="6" xr:uid="{00000000-0005-0000-0000-000006000000}"/>
    <cellStyle name="Normalny 2 2 2" xfId="35" xr:uid="{FD32781E-486D-4387-8DD7-BB6A67F4A066}"/>
    <cellStyle name="Normalny 2 3" xfId="34" xr:uid="{EA9BC0C0-09BB-4B4D-95E9-BF9A3C884C10}"/>
    <cellStyle name="Normalny 2_RDW" xfId="7" xr:uid="{00000000-0005-0000-0000-000007000000}"/>
    <cellStyle name="Normalny 3" xfId="8" xr:uid="{00000000-0005-0000-0000-000008000000}"/>
    <cellStyle name="Normalny 4" xfId="12" xr:uid="{764539A9-5376-40AF-B5CB-2E6B3C63DAFD}"/>
    <cellStyle name="Normalny 5" xfId="13" xr:uid="{9A76DD86-7879-43A0-B3A3-00A576907749}"/>
    <cellStyle name="Normalny 6" xfId="14" xr:uid="{8D9E2741-E8D4-483C-BDA7-D97173839506}"/>
    <cellStyle name="Normalny 7" xfId="15" xr:uid="{99841534-EF92-43C0-A15C-810E1ACA566B}"/>
    <cellStyle name="Normalny 7 2 2" xfId="9" xr:uid="{00000000-0005-0000-0000-000009000000}"/>
    <cellStyle name="Normalny 7 2 2 2" xfId="32" xr:uid="{42A065A4-9574-4374-B1C7-974D51F67E79}"/>
    <cellStyle name="Normalny 8" xfId="16" xr:uid="{264AB10C-8C16-4709-B70F-8674C0DB2806}"/>
    <cellStyle name="Normalny 9" xfId="17" xr:uid="{A4BBAE06-97B2-414A-A7C3-EA40CAB670E4}"/>
    <cellStyle name="Normalny_IZ 2011" xfId="24" xr:uid="{3F55528A-9F52-4E9B-B4B4-7BDA4F13D4DC}"/>
    <cellStyle name="Normalny_rachunek doch wł 2006" xfId="36" xr:uid="{B27CE8BE-C821-4DF5-942A-8C9275B35D18}"/>
    <cellStyle name="Normalny_RDW 2014" xfId="33" xr:uid="{21658936-4BEF-4CD9-8031-20511F5F3F46}"/>
    <cellStyle name="Normalny_RPO 2011" xfId="22" xr:uid="{27C652EE-2709-42A2-B4AC-623D06C8AF0C}"/>
    <cellStyle name="Normalny_Załącznik  nr 7  RPO na 2010" xfId="21" xr:uid="{662DF334-E9D4-463D-B5B0-0E9996D1BC9D}"/>
    <cellStyle name="Normalny_załącznik nr 1" xfId="10" xr:uid="{00000000-0005-0000-0000-00000A000000}"/>
    <cellStyle name="Normalny_Załącznik nr 3  do proj. budżetu na 2006r._Zał. Nr 3 i Nr 21 do proj.budż.po Autopoprawce" xfId="26" xr:uid="{E024B693-94D1-4176-A77F-C30A46A84F53}"/>
    <cellStyle name="Normalny_Załącznik nr 3  do proj. budżetu na 2006r._Załączniki Nr 3 do US z dnia 22.12.2008 r." xfId="28" xr:uid="{64034E08-CBCF-4CB5-A1D0-F8A1B15D4247}"/>
    <cellStyle name="Normalny_Załącznik nr 9  PROW na 2010" xfId="23" xr:uid="{36480B00-DF8D-47A3-857D-C973A9B2EDDD}"/>
    <cellStyle name="Normalny_Załączniki do  budżetu na 2005 r" xfId="29" xr:uid="{4B94B796-E289-419D-AB77-184AE70A8AC2}"/>
    <cellStyle name="Normalny_Załączniki do budżetu na 2006 r._Zał. Nr 3 i Nr 21 do proj.budż.po Autopoprawce" xfId="25" xr:uid="{B6D28436-9308-496B-A6D9-FF1F850EE509}"/>
    <cellStyle name="Normalny_Załączniki do projektu budżetu na 2009 r." xfId="30" xr:uid="{A7DDDF27-0A65-4B4A-A8D0-67DC58853A94}"/>
    <cellStyle name="Procentowy 2" xfId="31" xr:uid="{FE3D5771-3089-4ACB-B3C0-A33EADBA1918}"/>
    <cellStyle name="Styl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7"/>
  <sheetViews>
    <sheetView view="pageBreakPreview" topLeftCell="A89" zoomScaleNormal="100" zoomScaleSheetLayoutView="100" workbookViewId="0">
      <selection activeCell="B137" sqref="B137:B139"/>
    </sheetView>
  </sheetViews>
  <sheetFormatPr defaultColWidth="8" defaultRowHeight="12.75"/>
  <cols>
    <col min="1" max="1" width="5" style="1" customWidth="1"/>
    <col min="2" max="2" width="26.875" style="2" customWidth="1"/>
    <col min="3" max="3" width="3.125" style="2" customWidth="1"/>
    <col min="4" max="4" width="13.5" style="38" customWidth="1"/>
    <col min="5" max="5" width="13.375" style="4" customWidth="1"/>
    <col min="6" max="6" width="11.375" style="4" customWidth="1"/>
    <col min="7" max="7" width="12.5" style="4" customWidth="1"/>
    <col min="8" max="9" width="11.125" style="4" customWidth="1"/>
    <col min="10" max="11" width="10.875" style="4" customWidth="1"/>
    <col min="12" max="14" width="11.375" style="4" customWidth="1"/>
    <col min="15" max="15" width="11.125" style="4" customWidth="1"/>
    <col min="16" max="17" width="11.375" style="4" customWidth="1"/>
    <col min="18" max="18" width="12.625" style="4" customWidth="1"/>
    <col min="19" max="19" width="10.875" style="4" customWidth="1"/>
    <col min="20" max="16384" width="8" style="4"/>
  </cols>
  <sheetData>
    <row r="1" spans="1:20">
      <c r="D1" s="3"/>
      <c r="N1" s="4" t="s">
        <v>156</v>
      </c>
    </row>
    <row r="2" spans="1:20">
      <c r="D2" s="3"/>
      <c r="N2" s="4" t="s">
        <v>155</v>
      </c>
    </row>
    <row r="3" spans="1:20">
      <c r="D3" s="3"/>
      <c r="N3" s="4" t="s">
        <v>157</v>
      </c>
    </row>
    <row r="4" spans="1:20" ht="6.75" customHeight="1">
      <c r="A4" s="783"/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</row>
    <row r="5" spans="1:20" ht="35.25" customHeight="1">
      <c r="A5" s="833" t="s">
        <v>106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</row>
    <row r="6" spans="1:20">
      <c r="D6" s="3"/>
      <c r="G6" s="5"/>
      <c r="H6" s="5"/>
      <c r="I6" s="5"/>
      <c r="J6" s="5"/>
      <c r="K6" s="5"/>
      <c r="L6" s="5"/>
      <c r="M6" s="5"/>
      <c r="P6" s="6"/>
      <c r="Q6" s="6" t="s">
        <v>35</v>
      </c>
    </row>
    <row r="7" spans="1:20" s="7" customFormat="1" ht="21" customHeight="1">
      <c r="A7" s="784" t="s">
        <v>36</v>
      </c>
      <c r="B7" s="787" t="s">
        <v>37</v>
      </c>
      <c r="C7" s="784" t="s">
        <v>99</v>
      </c>
      <c r="D7" s="790" t="s">
        <v>38</v>
      </c>
      <c r="E7" s="793" t="s">
        <v>3</v>
      </c>
      <c r="F7" s="790" t="s">
        <v>4</v>
      </c>
      <c r="G7" s="793" t="s">
        <v>5</v>
      </c>
      <c r="H7" s="796"/>
      <c r="I7" s="796"/>
      <c r="J7" s="796"/>
      <c r="K7" s="796"/>
      <c r="L7" s="796"/>
      <c r="M7" s="796"/>
      <c r="N7" s="796"/>
      <c r="O7" s="796"/>
      <c r="P7" s="796"/>
      <c r="Q7" s="797"/>
    </row>
    <row r="8" spans="1:20" s="7" customFormat="1" ht="21" customHeight="1">
      <c r="A8" s="785"/>
      <c r="B8" s="788"/>
      <c r="C8" s="785"/>
      <c r="D8" s="791"/>
      <c r="E8" s="794"/>
      <c r="F8" s="791"/>
      <c r="G8" s="798" t="s">
        <v>93</v>
      </c>
      <c r="H8" s="799"/>
      <c r="I8" s="799"/>
      <c r="J8" s="799"/>
      <c r="K8" s="799"/>
      <c r="L8" s="799"/>
      <c r="M8" s="800"/>
      <c r="N8" s="798" t="s">
        <v>6</v>
      </c>
      <c r="O8" s="799"/>
      <c r="P8" s="799"/>
      <c r="Q8" s="800"/>
    </row>
    <row r="9" spans="1:20" s="7" customFormat="1" ht="29.25" customHeight="1">
      <c r="A9" s="785"/>
      <c r="B9" s="788"/>
      <c r="C9" s="785"/>
      <c r="D9" s="791"/>
      <c r="E9" s="794"/>
      <c r="F9" s="791"/>
      <c r="G9" s="790" t="s">
        <v>96</v>
      </c>
      <c r="H9" s="793" t="s">
        <v>97</v>
      </c>
      <c r="I9" s="797"/>
      <c r="J9" s="790" t="s">
        <v>7</v>
      </c>
      <c r="K9" s="790" t="s">
        <v>8</v>
      </c>
      <c r="L9" s="790" t="s">
        <v>9</v>
      </c>
      <c r="M9" s="793" t="s">
        <v>98</v>
      </c>
      <c r="N9" s="790" t="s">
        <v>10</v>
      </c>
      <c r="O9" s="790" t="s">
        <v>7</v>
      </c>
      <c r="P9" s="793" t="s">
        <v>8</v>
      </c>
      <c r="Q9" s="790" t="s">
        <v>98</v>
      </c>
    </row>
    <row r="10" spans="1:20" s="7" customFormat="1" ht="42" customHeight="1">
      <c r="A10" s="786"/>
      <c r="B10" s="789"/>
      <c r="C10" s="786"/>
      <c r="D10" s="792"/>
      <c r="E10" s="795"/>
      <c r="F10" s="792"/>
      <c r="G10" s="795"/>
      <c r="H10" s="8" t="s">
        <v>11</v>
      </c>
      <c r="I10" s="9" t="s">
        <v>12</v>
      </c>
      <c r="J10" s="792"/>
      <c r="K10" s="792"/>
      <c r="L10" s="792"/>
      <c r="M10" s="795"/>
      <c r="N10" s="792"/>
      <c r="O10" s="792"/>
      <c r="P10" s="795"/>
      <c r="Q10" s="792"/>
    </row>
    <row r="11" spans="1:20" s="14" customFormat="1" ht="12" customHeight="1">
      <c r="A11" s="11" t="s">
        <v>39</v>
      </c>
      <c r="B11" s="10" t="s">
        <v>40</v>
      </c>
      <c r="C11" s="10"/>
      <c r="D11" s="11" t="s">
        <v>41</v>
      </c>
      <c r="E11" s="11" t="s">
        <v>24</v>
      </c>
      <c r="F11" s="11" t="s">
        <v>29</v>
      </c>
      <c r="G11" s="12" t="s">
        <v>30</v>
      </c>
      <c r="H11" s="11" t="s">
        <v>31</v>
      </c>
      <c r="I11" s="13" t="s">
        <v>32</v>
      </c>
      <c r="J11" s="11" t="s">
        <v>33</v>
      </c>
      <c r="K11" s="11" t="s">
        <v>34</v>
      </c>
      <c r="L11" s="11" t="s">
        <v>13</v>
      </c>
      <c r="M11" s="11" t="s">
        <v>14</v>
      </c>
      <c r="N11" s="11" t="s">
        <v>15</v>
      </c>
      <c r="O11" s="11" t="s">
        <v>16</v>
      </c>
      <c r="P11" s="12" t="s">
        <v>94</v>
      </c>
      <c r="Q11" s="11" t="s">
        <v>95</v>
      </c>
    </row>
    <row r="12" spans="1:20" s="14" customFormat="1" ht="5.0999999999999996" customHeight="1">
      <c r="A12" s="54"/>
      <c r="B12" s="15"/>
      <c r="C12" s="15"/>
      <c r="D12" s="16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8"/>
    </row>
    <row r="13" spans="1:20" s="19" customFormat="1" ht="20.100000000000001" customHeight="1">
      <c r="A13" s="810"/>
      <c r="B13" s="807" t="s">
        <v>17</v>
      </c>
      <c r="C13" s="65" t="s">
        <v>0</v>
      </c>
      <c r="D13" s="67">
        <f>SUM(E13:Q13)</f>
        <v>1678470676.1099999</v>
      </c>
      <c r="E13" s="68">
        <f t="shared" ref="E13:Q13" si="0">E17+E21+E29+E33+E41+E45+E49+E53+E61+E69+E73+E77+E81+E85+E89+E93+E101+E105+E109+E25+E97+E37+E57+E65</f>
        <v>1354832671</v>
      </c>
      <c r="F13" s="68">
        <f t="shared" si="0"/>
        <v>22529367</v>
      </c>
      <c r="G13" s="68">
        <f t="shared" si="0"/>
        <v>93308789</v>
      </c>
      <c r="H13" s="68">
        <f t="shared" si="0"/>
        <v>65288001</v>
      </c>
      <c r="I13" s="68">
        <f t="shared" si="0"/>
        <v>16432421</v>
      </c>
      <c r="J13" s="68">
        <f t="shared" si="0"/>
        <v>0</v>
      </c>
      <c r="K13" s="68">
        <f t="shared" si="0"/>
        <v>0</v>
      </c>
      <c r="L13" s="68">
        <f t="shared" si="0"/>
        <v>1835370</v>
      </c>
      <c r="M13" s="68">
        <f t="shared" si="0"/>
        <v>0</v>
      </c>
      <c r="N13" s="68">
        <f t="shared" si="0"/>
        <v>80112101.109999999</v>
      </c>
      <c r="O13" s="68">
        <f t="shared" si="0"/>
        <v>8092161</v>
      </c>
      <c r="P13" s="68">
        <f t="shared" si="0"/>
        <v>27134793</v>
      </c>
      <c r="Q13" s="68">
        <f t="shared" si="0"/>
        <v>8905002</v>
      </c>
      <c r="T13" s="20"/>
    </row>
    <row r="14" spans="1:20" s="19" customFormat="1" ht="20.100000000000001" customHeight="1">
      <c r="A14" s="811"/>
      <c r="B14" s="808"/>
      <c r="C14" s="65" t="s">
        <v>1</v>
      </c>
      <c r="D14" s="68">
        <f>SUM(E14:Q14)</f>
        <v>-7361253</v>
      </c>
      <c r="E14" s="68">
        <f t="shared" ref="E14:Q14" si="1">E18+E22+E30+E34+E42+E46+E50+E54+E62+E70+E74+E78+E82+E86+E90+E94+E102+E106+E110+E26+E98+E38+E58+E66</f>
        <v>0</v>
      </c>
      <c r="F14" s="68">
        <f t="shared" si="1"/>
        <v>437295</v>
      </c>
      <c r="G14" s="68">
        <f t="shared" si="1"/>
        <v>188902</v>
      </c>
      <c r="H14" s="68">
        <f t="shared" si="1"/>
        <v>326727</v>
      </c>
      <c r="I14" s="68">
        <f t="shared" si="1"/>
        <v>181155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100000</v>
      </c>
      <c r="O14" s="68">
        <f t="shared" si="1"/>
        <v>0</v>
      </c>
      <c r="P14" s="68">
        <f t="shared" si="1"/>
        <v>309670</v>
      </c>
      <c r="Q14" s="68">
        <f t="shared" si="1"/>
        <v>-8905002</v>
      </c>
      <c r="T14" s="20"/>
    </row>
    <row r="15" spans="1:20" s="19" customFormat="1" ht="20.100000000000001" customHeight="1">
      <c r="A15" s="812"/>
      <c r="B15" s="809"/>
      <c r="C15" s="65" t="s">
        <v>2</v>
      </c>
      <c r="D15" s="68">
        <f>SUM(E15:Q15)</f>
        <v>1671109423.1099999</v>
      </c>
      <c r="E15" s="68">
        <f t="shared" ref="E15:Q15" si="2">E19+E23+E31+E35+E43+E47+E51+E55+E63+E71+E75+E79+E83+E87+E91+E95+E103+E107+E111+E27+E99+E39+E59+E67</f>
        <v>1354832671</v>
      </c>
      <c r="F15" s="68">
        <f t="shared" si="2"/>
        <v>22966662</v>
      </c>
      <c r="G15" s="68">
        <f t="shared" si="2"/>
        <v>93497691</v>
      </c>
      <c r="H15" s="68">
        <f t="shared" si="2"/>
        <v>65614728</v>
      </c>
      <c r="I15" s="68">
        <f t="shared" si="2"/>
        <v>16613576</v>
      </c>
      <c r="J15" s="68">
        <f t="shared" si="2"/>
        <v>0</v>
      </c>
      <c r="K15" s="68">
        <f t="shared" si="2"/>
        <v>0</v>
      </c>
      <c r="L15" s="68">
        <f t="shared" si="2"/>
        <v>1835370</v>
      </c>
      <c r="M15" s="68">
        <f t="shared" si="2"/>
        <v>0</v>
      </c>
      <c r="N15" s="68">
        <f t="shared" si="2"/>
        <v>80212101.109999999</v>
      </c>
      <c r="O15" s="68">
        <f t="shared" si="2"/>
        <v>8092161</v>
      </c>
      <c r="P15" s="68">
        <f t="shared" si="2"/>
        <v>27444463</v>
      </c>
      <c r="Q15" s="68">
        <f t="shared" si="2"/>
        <v>0</v>
      </c>
      <c r="T15" s="20"/>
    </row>
    <row r="16" spans="1:20" s="21" customFormat="1" ht="6.75" hidden="1" customHeight="1">
      <c r="A16" s="59"/>
      <c r="B16" s="32"/>
      <c r="C16" s="32"/>
      <c r="D16" s="69"/>
      <c r="E16" s="70"/>
      <c r="F16" s="71"/>
      <c r="G16" s="71"/>
      <c r="H16" s="72"/>
      <c r="I16" s="71"/>
      <c r="J16" s="71"/>
      <c r="K16" s="73"/>
      <c r="L16" s="71"/>
      <c r="M16" s="71"/>
      <c r="N16" s="71"/>
      <c r="O16" s="71"/>
      <c r="P16" s="71"/>
      <c r="Q16" s="72"/>
      <c r="T16" s="22"/>
    </row>
    <row r="17" spans="1:20" s="19" customFormat="1" ht="20.25" hidden="1" customHeight="1">
      <c r="A17" s="801" t="s">
        <v>42</v>
      </c>
      <c r="B17" s="804" t="s">
        <v>18</v>
      </c>
      <c r="C17" s="23" t="s">
        <v>0</v>
      </c>
      <c r="D17" s="74">
        <f>SUM(E17:Q17)</f>
        <v>16237514.109999999</v>
      </c>
      <c r="E17" s="75">
        <v>0</v>
      </c>
      <c r="F17" s="75">
        <v>8000000</v>
      </c>
      <c r="G17" s="76">
        <v>0</v>
      </c>
      <c r="H17" s="75">
        <v>5199000</v>
      </c>
      <c r="I17" s="77">
        <v>2971000</v>
      </c>
      <c r="J17" s="75">
        <v>0</v>
      </c>
      <c r="K17" s="78">
        <v>0</v>
      </c>
      <c r="L17" s="76">
        <v>0</v>
      </c>
      <c r="M17" s="76">
        <v>0</v>
      </c>
      <c r="N17" s="75">
        <v>67514.11</v>
      </c>
      <c r="O17" s="75">
        <v>0</v>
      </c>
      <c r="P17" s="77">
        <v>0</v>
      </c>
      <c r="Q17" s="75">
        <v>0</v>
      </c>
      <c r="T17" s="20"/>
    </row>
    <row r="18" spans="1:20" s="19" customFormat="1" ht="20.25" hidden="1" customHeight="1">
      <c r="A18" s="802"/>
      <c r="B18" s="805"/>
      <c r="C18" s="23" t="s">
        <v>1</v>
      </c>
      <c r="D18" s="74">
        <f>SUM(E18:Q18)</f>
        <v>0</v>
      </c>
      <c r="E18" s="79">
        <v>0</v>
      </c>
      <c r="F18" s="79">
        <v>0</v>
      </c>
      <c r="G18" s="80">
        <v>0</v>
      </c>
      <c r="H18" s="79">
        <v>0</v>
      </c>
      <c r="I18" s="80">
        <v>0</v>
      </c>
      <c r="J18" s="79">
        <v>0</v>
      </c>
      <c r="K18" s="81">
        <v>0</v>
      </c>
      <c r="L18" s="82">
        <v>0</v>
      </c>
      <c r="M18" s="82">
        <v>0</v>
      </c>
      <c r="N18" s="79">
        <v>0</v>
      </c>
      <c r="O18" s="79">
        <v>0</v>
      </c>
      <c r="P18" s="80">
        <v>0</v>
      </c>
      <c r="Q18" s="79">
        <v>0</v>
      </c>
      <c r="T18" s="20"/>
    </row>
    <row r="19" spans="1:20" s="19" customFormat="1" ht="20.25" hidden="1" customHeight="1">
      <c r="A19" s="803"/>
      <c r="B19" s="806"/>
      <c r="C19" s="23" t="s">
        <v>2</v>
      </c>
      <c r="D19" s="74">
        <f>SUM(E19:Q19)</f>
        <v>16237514.109999999</v>
      </c>
      <c r="E19" s="79">
        <f>E17+E18</f>
        <v>0</v>
      </c>
      <c r="F19" s="79">
        <f t="shared" ref="F19:P19" si="3">F17+F18</f>
        <v>8000000</v>
      </c>
      <c r="G19" s="79">
        <f t="shared" si="3"/>
        <v>0</v>
      </c>
      <c r="H19" s="79">
        <f t="shared" si="3"/>
        <v>5199000</v>
      </c>
      <c r="I19" s="79">
        <f t="shared" si="3"/>
        <v>2971000</v>
      </c>
      <c r="J19" s="79">
        <f t="shared" si="3"/>
        <v>0</v>
      </c>
      <c r="K19" s="79">
        <f t="shared" si="3"/>
        <v>0</v>
      </c>
      <c r="L19" s="79">
        <f t="shared" si="3"/>
        <v>0</v>
      </c>
      <c r="M19" s="79">
        <f>M17+M18</f>
        <v>0</v>
      </c>
      <c r="N19" s="79">
        <f t="shared" si="3"/>
        <v>67514.11</v>
      </c>
      <c r="O19" s="79">
        <f t="shared" si="3"/>
        <v>0</v>
      </c>
      <c r="P19" s="82">
        <f t="shared" si="3"/>
        <v>0</v>
      </c>
      <c r="Q19" s="79">
        <f>Q17+Q18</f>
        <v>0</v>
      </c>
      <c r="T19" s="20"/>
    </row>
    <row r="20" spans="1:20" s="19" customFormat="1" ht="6.75" hidden="1" customHeight="1">
      <c r="A20" s="55"/>
      <c r="B20" s="24"/>
      <c r="C20" s="25"/>
      <c r="D20" s="8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5"/>
      <c r="T20" s="20"/>
    </row>
    <row r="21" spans="1:20" s="19" customFormat="1" ht="18.75" hidden="1" customHeight="1">
      <c r="A21" s="801" t="s">
        <v>43</v>
      </c>
      <c r="B21" s="804" t="s">
        <v>44</v>
      </c>
      <c r="C21" s="23" t="s">
        <v>0</v>
      </c>
      <c r="D21" s="74">
        <f>SUM(E21:Q21)</f>
        <v>155000</v>
      </c>
      <c r="E21" s="79">
        <v>0</v>
      </c>
      <c r="F21" s="79">
        <v>0</v>
      </c>
      <c r="G21" s="80">
        <v>0</v>
      </c>
      <c r="H21" s="79">
        <v>42000</v>
      </c>
      <c r="I21" s="80">
        <v>18000</v>
      </c>
      <c r="J21" s="79">
        <v>0</v>
      </c>
      <c r="K21" s="81">
        <v>0</v>
      </c>
      <c r="L21" s="82">
        <v>0</v>
      </c>
      <c r="M21" s="82">
        <v>0</v>
      </c>
      <c r="N21" s="79">
        <v>95000</v>
      </c>
      <c r="O21" s="79">
        <v>0</v>
      </c>
      <c r="P21" s="80">
        <v>0</v>
      </c>
      <c r="Q21" s="79">
        <v>0</v>
      </c>
      <c r="T21" s="20"/>
    </row>
    <row r="22" spans="1:20" s="19" customFormat="1" ht="18.75" hidden="1" customHeight="1">
      <c r="A22" s="802"/>
      <c r="B22" s="805"/>
      <c r="C22" s="23" t="s">
        <v>1</v>
      </c>
      <c r="D22" s="74">
        <f>SUM(E22:Q22)</f>
        <v>0</v>
      </c>
      <c r="E22" s="79">
        <v>0</v>
      </c>
      <c r="F22" s="79">
        <v>0</v>
      </c>
      <c r="G22" s="80">
        <v>0</v>
      </c>
      <c r="H22" s="79">
        <v>0</v>
      </c>
      <c r="I22" s="80">
        <v>0</v>
      </c>
      <c r="J22" s="79">
        <v>0</v>
      </c>
      <c r="K22" s="81">
        <v>0</v>
      </c>
      <c r="L22" s="82">
        <v>0</v>
      </c>
      <c r="M22" s="82">
        <v>0</v>
      </c>
      <c r="N22" s="79">
        <v>0</v>
      </c>
      <c r="O22" s="79">
        <v>0</v>
      </c>
      <c r="P22" s="80">
        <v>0</v>
      </c>
      <c r="Q22" s="79">
        <v>0</v>
      </c>
      <c r="T22" s="20"/>
    </row>
    <row r="23" spans="1:20" s="19" customFormat="1" ht="18.75" hidden="1" customHeight="1">
      <c r="A23" s="803"/>
      <c r="B23" s="806"/>
      <c r="C23" s="23" t="s">
        <v>2</v>
      </c>
      <c r="D23" s="74">
        <f>SUM(E23:Q23)</f>
        <v>155000</v>
      </c>
      <c r="E23" s="79">
        <f t="shared" ref="E23:P23" si="4">E21+E22</f>
        <v>0</v>
      </c>
      <c r="F23" s="79">
        <f t="shared" si="4"/>
        <v>0</v>
      </c>
      <c r="G23" s="79">
        <f t="shared" si="4"/>
        <v>0</v>
      </c>
      <c r="H23" s="79">
        <f t="shared" si="4"/>
        <v>42000</v>
      </c>
      <c r="I23" s="79">
        <f t="shared" si="4"/>
        <v>18000</v>
      </c>
      <c r="J23" s="79">
        <f t="shared" si="4"/>
        <v>0</v>
      </c>
      <c r="K23" s="79">
        <f t="shared" si="4"/>
        <v>0</v>
      </c>
      <c r="L23" s="79">
        <f t="shared" si="4"/>
        <v>0</v>
      </c>
      <c r="M23" s="79">
        <f>M21+M22</f>
        <v>0</v>
      </c>
      <c r="N23" s="79">
        <f t="shared" si="4"/>
        <v>95000</v>
      </c>
      <c r="O23" s="79">
        <f t="shared" si="4"/>
        <v>0</v>
      </c>
      <c r="P23" s="82">
        <f t="shared" si="4"/>
        <v>0</v>
      </c>
      <c r="Q23" s="79">
        <f>Q21+Q22</f>
        <v>0</v>
      </c>
      <c r="T23" s="20"/>
    </row>
    <row r="24" spans="1:20" s="19" customFormat="1" ht="5.25" hidden="1" customHeight="1">
      <c r="A24" s="55"/>
      <c r="B24" s="24"/>
      <c r="C24" s="24"/>
      <c r="D24" s="83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5"/>
      <c r="T24" s="20"/>
    </row>
    <row r="25" spans="1:20" s="19" customFormat="1" ht="18" hidden="1" customHeight="1">
      <c r="A25" s="801" t="s">
        <v>87</v>
      </c>
      <c r="B25" s="804" t="s">
        <v>88</v>
      </c>
      <c r="C25" s="23" t="s">
        <v>0</v>
      </c>
      <c r="D25" s="74">
        <f>SUM(E25:Q25)</f>
        <v>0</v>
      </c>
      <c r="E25" s="75">
        <v>0</v>
      </c>
      <c r="F25" s="75">
        <v>0</v>
      </c>
      <c r="G25" s="77">
        <v>0</v>
      </c>
      <c r="H25" s="75">
        <v>0</v>
      </c>
      <c r="I25" s="77">
        <v>0</v>
      </c>
      <c r="J25" s="75">
        <v>0</v>
      </c>
      <c r="K25" s="78">
        <v>0</v>
      </c>
      <c r="L25" s="76">
        <v>0</v>
      </c>
      <c r="M25" s="75">
        <v>0</v>
      </c>
      <c r="N25" s="75">
        <v>0</v>
      </c>
      <c r="O25" s="75">
        <v>0</v>
      </c>
      <c r="P25" s="77">
        <v>0</v>
      </c>
      <c r="Q25" s="75">
        <v>0</v>
      </c>
      <c r="T25" s="20"/>
    </row>
    <row r="26" spans="1:20" s="19" customFormat="1" ht="18" hidden="1" customHeight="1">
      <c r="A26" s="802"/>
      <c r="B26" s="805"/>
      <c r="C26" s="23" t="s">
        <v>1</v>
      </c>
      <c r="D26" s="74">
        <f>SUM(E26:Q26)</f>
        <v>0</v>
      </c>
      <c r="E26" s="79">
        <v>0</v>
      </c>
      <c r="F26" s="79">
        <v>0</v>
      </c>
      <c r="G26" s="80">
        <v>0</v>
      </c>
      <c r="H26" s="79">
        <v>0</v>
      </c>
      <c r="I26" s="80">
        <v>0</v>
      </c>
      <c r="J26" s="79">
        <v>0</v>
      </c>
      <c r="K26" s="81">
        <v>0</v>
      </c>
      <c r="L26" s="82">
        <v>0</v>
      </c>
      <c r="M26" s="79">
        <v>0</v>
      </c>
      <c r="N26" s="79">
        <v>0</v>
      </c>
      <c r="O26" s="79">
        <v>0</v>
      </c>
      <c r="P26" s="80">
        <v>0</v>
      </c>
      <c r="Q26" s="79">
        <v>0</v>
      </c>
      <c r="T26" s="20"/>
    </row>
    <row r="27" spans="1:20" s="19" customFormat="1" ht="18" hidden="1" customHeight="1">
      <c r="A27" s="803"/>
      <c r="B27" s="806"/>
      <c r="C27" s="23" t="s">
        <v>2</v>
      </c>
      <c r="D27" s="74">
        <f>SUM(E27:Q27)</f>
        <v>0</v>
      </c>
      <c r="E27" s="79">
        <f t="shared" ref="E27:P27" si="5">E25+E26</f>
        <v>0</v>
      </c>
      <c r="F27" s="79">
        <f t="shared" si="5"/>
        <v>0</v>
      </c>
      <c r="G27" s="79">
        <f t="shared" si="5"/>
        <v>0</v>
      </c>
      <c r="H27" s="79">
        <f t="shared" si="5"/>
        <v>0</v>
      </c>
      <c r="I27" s="79">
        <f t="shared" si="5"/>
        <v>0</v>
      </c>
      <c r="J27" s="79">
        <f t="shared" si="5"/>
        <v>0</v>
      </c>
      <c r="K27" s="79">
        <f t="shared" si="5"/>
        <v>0</v>
      </c>
      <c r="L27" s="79">
        <f t="shared" si="5"/>
        <v>0</v>
      </c>
      <c r="M27" s="79">
        <f>M25+M26</f>
        <v>0</v>
      </c>
      <c r="N27" s="79">
        <f t="shared" si="5"/>
        <v>0</v>
      </c>
      <c r="O27" s="79">
        <f t="shared" si="5"/>
        <v>0</v>
      </c>
      <c r="P27" s="82">
        <f t="shared" si="5"/>
        <v>0</v>
      </c>
      <c r="Q27" s="79">
        <f>Q25+Q26</f>
        <v>0</v>
      </c>
      <c r="T27" s="20"/>
    </row>
    <row r="28" spans="1:20" s="19" customFormat="1" ht="6" hidden="1" customHeight="1">
      <c r="A28" s="56"/>
      <c r="B28" s="25"/>
      <c r="C28" s="24"/>
      <c r="D28" s="83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5"/>
      <c r="T28" s="20"/>
    </row>
    <row r="29" spans="1:20" s="3" customFormat="1" ht="18" hidden="1" customHeight="1">
      <c r="A29" s="813" t="s">
        <v>70</v>
      </c>
      <c r="B29" s="816" t="s">
        <v>71</v>
      </c>
      <c r="C29" s="23" t="s">
        <v>0</v>
      </c>
      <c r="D29" s="74">
        <f>SUM(E29:Q29)</f>
        <v>0</v>
      </c>
      <c r="E29" s="84">
        <v>0</v>
      </c>
      <c r="F29" s="84">
        <v>0</v>
      </c>
      <c r="G29" s="85">
        <v>0</v>
      </c>
      <c r="H29" s="84">
        <v>0</v>
      </c>
      <c r="I29" s="86">
        <v>0</v>
      </c>
      <c r="J29" s="84">
        <v>0</v>
      </c>
      <c r="K29" s="86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4">
        <v>0</v>
      </c>
      <c r="T29" s="26"/>
    </row>
    <row r="30" spans="1:20" s="3" customFormat="1" ht="18" hidden="1" customHeight="1">
      <c r="A30" s="814"/>
      <c r="B30" s="817"/>
      <c r="C30" s="23" t="s">
        <v>1</v>
      </c>
      <c r="D30" s="74">
        <f>SUM(E30:Q30)</f>
        <v>0</v>
      </c>
      <c r="E30" s="79">
        <v>0</v>
      </c>
      <c r="F30" s="79">
        <v>0</v>
      </c>
      <c r="G30" s="80">
        <v>0</v>
      </c>
      <c r="H30" s="79">
        <v>0</v>
      </c>
      <c r="I30" s="80">
        <v>0</v>
      </c>
      <c r="J30" s="79">
        <v>0</v>
      </c>
      <c r="K30" s="81">
        <v>0</v>
      </c>
      <c r="L30" s="82">
        <v>0</v>
      </c>
      <c r="M30" s="82">
        <v>0</v>
      </c>
      <c r="N30" s="79">
        <v>0</v>
      </c>
      <c r="O30" s="79">
        <v>0</v>
      </c>
      <c r="P30" s="80">
        <v>0</v>
      </c>
      <c r="Q30" s="79">
        <v>0</v>
      </c>
      <c r="T30" s="26"/>
    </row>
    <row r="31" spans="1:20" s="3" customFormat="1" ht="18" hidden="1" customHeight="1">
      <c r="A31" s="815"/>
      <c r="B31" s="818"/>
      <c r="C31" s="23" t="s">
        <v>2</v>
      </c>
      <c r="D31" s="74">
        <f>SUM(E31:Q31)</f>
        <v>0</v>
      </c>
      <c r="E31" s="79">
        <f t="shared" ref="E31:P31" si="6">E29+E30</f>
        <v>0</v>
      </c>
      <c r="F31" s="79">
        <f t="shared" si="6"/>
        <v>0</v>
      </c>
      <c r="G31" s="79">
        <f t="shared" si="6"/>
        <v>0</v>
      </c>
      <c r="H31" s="79">
        <f t="shared" si="6"/>
        <v>0</v>
      </c>
      <c r="I31" s="79">
        <f t="shared" si="6"/>
        <v>0</v>
      </c>
      <c r="J31" s="79">
        <f t="shared" si="6"/>
        <v>0</v>
      </c>
      <c r="K31" s="79">
        <f t="shared" si="6"/>
        <v>0</v>
      </c>
      <c r="L31" s="79">
        <f t="shared" si="6"/>
        <v>0</v>
      </c>
      <c r="M31" s="79">
        <f>M29+M30</f>
        <v>0</v>
      </c>
      <c r="N31" s="79">
        <f t="shared" si="6"/>
        <v>0</v>
      </c>
      <c r="O31" s="79">
        <f t="shared" si="6"/>
        <v>0</v>
      </c>
      <c r="P31" s="82">
        <f t="shared" si="6"/>
        <v>0</v>
      </c>
      <c r="Q31" s="79">
        <f>Q29+Q30</f>
        <v>0</v>
      </c>
      <c r="T31" s="26"/>
    </row>
    <row r="32" spans="1:20" s="3" customFormat="1" ht="5.0999999999999996" customHeight="1">
      <c r="A32" s="33"/>
      <c r="B32" s="27"/>
      <c r="C32" s="27"/>
      <c r="D32" s="83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4"/>
      <c r="T32" s="26"/>
    </row>
    <row r="33" spans="1:20" s="3" customFormat="1" ht="18" customHeight="1">
      <c r="A33" s="813" t="s">
        <v>45</v>
      </c>
      <c r="B33" s="816" t="s">
        <v>46</v>
      </c>
      <c r="C33" s="23" t="s">
        <v>0</v>
      </c>
      <c r="D33" s="74">
        <f>SUM(E33:Q33)</f>
        <v>73337118</v>
      </c>
      <c r="E33" s="84">
        <v>0</v>
      </c>
      <c r="F33" s="84">
        <v>7709053</v>
      </c>
      <c r="G33" s="85">
        <v>0</v>
      </c>
      <c r="H33" s="84">
        <v>0</v>
      </c>
      <c r="I33" s="86">
        <v>0</v>
      </c>
      <c r="J33" s="84">
        <v>0</v>
      </c>
      <c r="K33" s="86">
        <v>0</v>
      </c>
      <c r="L33" s="84">
        <v>0</v>
      </c>
      <c r="M33" s="84">
        <v>0</v>
      </c>
      <c r="N33" s="84">
        <v>43565000</v>
      </c>
      <c r="O33" s="84">
        <v>1771615</v>
      </c>
      <c r="P33" s="85">
        <v>20291450</v>
      </c>
      <c r="Q33" s="84">
        <v>0</v>
      </c>
      <c r="T33" s="26"/>
    </row>
    <row r="34" spans="1:20" s="3" customFormat="1" ht="18" customHeight="1">
      <c r="A34" s="814"/>
      <c r="B34" s="817"/>
      <c r="C34" s="23" t="s">
        <v>1</v>
      </c>
      <c r="D34" s="74">
        <f t="shared" ref="D34:D51" si="7">SUM(E34:Q34)</f>
        <v>160426</v>
      </c>
      <c r="E34" s="79">
        <v>0</v>
      </c>
      <c r="F34" s="79">
        <f>206456+130000+5000+4965000-5100000-96030+50000</f>
        <v>160426</v>
      </c>
      <c r="G34" s="80">
        <v>0</v>
      </c>
      <c r="H34" s="79">
        <v>0</v>
      </c>
      <c r="I34" s="80">
        <v>0</v>
      </c>
      <c r="J34" s="79">
        <v>0</v>
      </c>
      <c r="K34" s="81">
        <v>0</v>
      </c>
      <c r="L34" s="82">
        <v>0</v>
      </c>
      <c r="M34" s="82">
        <v>0</v>
      </c>
      <c r="N34" s="79">
        <v>0</v>
      </c>
      <c r="O34" s="79">
        <v>0</v>
      </c>
      <c r="P34" s="80">
        <v>0</v>
      </c>
      <c r="Q34" s="79">
        <v>0</v>
      </c>
      <c r="T34" s="26"/>
    </row>
    <row r="35" spans="1:20" s="3" customFormat="1" ht="18" customHeight="1">
      <c r="A35" s="815"/>
      <c r="B35" s="818"/>
      <c r="C35" s="23" t="s">
        <v>2</v>
      </c>
      <c r="D35" s="74">
        <f t="shared" si="7"/>
        <v>73497544</v>
      </c>
      <c r="E35" s="79">
        <f t="shared" ref="E35:P35" si="8">E33+E34</f>
        <v>0</v>
      </c>
      <c r="F35" s="79">
        <f t="shared" si="8"/>
        <v>7869479</v>
      </c>
      <c r="G35" s="79">
        <f t="shared" si="8"/>
        <v>0</v>
      </c>
      <c r="H35" s="79">
        <f t="shared" si="8"/>
        <v>0</v>
      </c>
      <c r="I35" s="79">
        <f t="shared" si="8"/>
        <v>0</v>
      </c>
      <c r="J35" s="79">
        <f t="shared" si="8"/>
        <v>0</v>
      </c>
      <c r="K35" s="79">
        <f t="shared" si="8"/>
        <v>0</v>
      </c>
      <c r="L35" s="79">
        <f t="shared" si="8"/>
        <v>0</v>
      </c>
      <c r="M35" s="79">
        <f t="shared" si="8"/>
        <v>0</v>
      </c>
      <c r="N35" s="79">
        <f t="shared" si="8"/>
        <v>43565000</v>
      </c>
      <c r="O35" s="79">
        <f t="shared" si="8"/>
        <v>1771615</v>
      </c>
      <c r="P35" s="82">
        <f t="shared" si="8"/>
        <v>20291450</v>
      </c>
      <c r="Q35" s="79">
        <f>Q33+Q34</f>
        <v>0</v>
      </c>
      <c r="T35" s="26"/>
    </row>
    <row r="36" spans="1:20" s="3" customFormat="1" ht="5.0999999999999996" customHeight="1">
      <c r="A36" s="57"/>
      <c r="B36" s="28"/>
      <c r="C36" s="28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87"/>
      <c r="T36" s="26"/>
    </row>
    <row r="37" spans="1:20" s="3" customFormat="1" ht="20.25" hidden="1" customHeight="1">
      <c r="A37" s="813" t="s">
        <v>91</v>
      </c>
      <c r="B37" s="816" t="s">
        <v>92</v>
      </c>
      <c r="C37" s="23" t="s">
        <v>0</v>
      </c>
      <c r="D37" s="74">
        <f>SUM(E37:Q37)</f>
        <v>225400</v>
      </c>
      <c r="E37" s="84">
        <v>0</v>
      </c>
      <c r="F37" s="84">
        <v>400</v>
      </c>
      <c r="G37" s="85">
        <v>0</v>
      </c>
      <c r="H37" s="84">
        <v>0</v>
      </c>
      <c r="I37" s="86">
        <v>0</v>
      </c>
      <c r="J37" s="84">
        <v>0</v>
      </c>
      <c r="K37" s="86">
        <v>0</v>
      </c>
      <c r="L37" s="84">
        <v>0</v>
      </c>
      <c r="M37" s="84">
        <v>0</v>
      </c>
      <c r="N37" s="84">
        <v>225000</v>
      </c>
      <c r="O37" s="84">
        <v>0</v>
      </c>
      <c r="P37" s="85">
        <v>0</v>
      </c>
      <c r="Q37" s="84">
        <v>0</v>
      </c>
      <c r="T37" s="26"/>
    </row>
    <row r="38" spans="1:20" s="3" customFormat="1" ht="20.25" hidden="1" customHeight="1">
      <c r="A38" s="814"/>
      <c r="B38" s="817"/>
      <c r="C38" s="23" t="s">
        <v>1</v>
      </c>
      <c r="D38" s="74">
        <f t="shared" si="7"/>
        <v>0</v>
      </c>
      <c r="E38" s="79">
        <v>0</v>
      </c>
      <c r="F38" s="79">
        <v>0</v>
      </c>
      <c r="G38" s="80">
        <v>0</v>
      </c>
      <c r="H38" s="79">
        <v>0</v>
      </c>
      <c r="I38" s="80">
        <v>0</v>
      </c>
      <c r="J38" s="79">
        <v>0</v>
      </c>
      <c r="K38" s="81">
        <v>0</v>
      </c>
      <c r="L38" s="82">
        <v>0</v>
      </c>
      <c r="M38" s="82">
        <v>0</v>
      </c>
      <c r="N38" s="79">
        <v>0</v>
      </c>
      <c r="O38" s="79">
        <v>0</v>
      </c>
      <c r="P38" s="80">
        <v>0</v>
      </c>
      <c r="Q38" s="79">
        <v>0</v>
      </c>
      <c r="T38" s="26"/>
    </row>
    <row r="39" spans="1:20" s="3" customFormat="1" ht="20.25" hidden="1" customHeight="1">
      <c r="A39" s="815"/>
      <c r="B39" s="818"/>
      <c r="C39" s="23" t="s">
        <v>2</v>
      </c>
      <c r="D39" s="74">
        <f t="shared" si="7"/>
        <v>225400</v>
      </c>
      <c r="E39" s="79">
        <f t="shared" ref="E39:P39" si="9">E37+E38</f>
        <v>0</v>
      </c>
      <c r="F39" s="79">
        <f t="shared" si="9"/>
        <v>400</v>
      </c>
      <c r="G39" s="79">
        <f t="shared" si="9"/>
        <v>0</v>
      </c>
      <c r="H39" s="79">
        <f t="shared" si="9"/>
        <v>0</v>
      </c>
      <c r="I39" s="79">
        <f t="shared" si="9"/>
        <v>0</v>
      </c>
      <c r="J39" s="79">
        <f t="shared" si="9"/>
        <v>0</v>
      </c>
      <c r="K39" s="79">
        <f t="shared" si="9"/>
        <v>0</v>
      </c>
      <c r="L39" s="79">
        <f t="shared" si="9"/>
        <v>0</v>
      </c>
      <c r="M39" s="79">
        <f t="shared" si="9"/>
        <v>0</v>
      </c>
      <c r="N39" s="79">
        <f t="shared" si="9"/>
        <v>225000</v>
      </c>
      <c r="O39" s="79">
        <f t="shared" si="9"/>
        <v>0</v>
      </c>
      <c r="P39" s="82">
        <f t="shared" si="9"/>
        <v>0</v>
      </c>
      <c r="Q39" s="79">
        <f>Q37+Q38</f>
        <v>0</v>
      </c>
      <c r="T39" s="26"/>
    </row>
    <row r="40" spans="1:20" s="3" customFormat="1" ht="4.5" hidden="1" customHeight="1">
      <c r="A40" s="58"/>
      <c r="B40" s="29"/>
      <c r="C40" s="30"/>
      <c r="D40" s="85"/>
      <c r="E40" s="88"/>
      <c r="F40" s="88"/>
      <c r="G40" s="88"/>
      <c r="H40" s="88"/>
      <c r="I40" s="88"/>
      <c r="J40" s="88"/>
      <c r="K40" s="88"/>
      <c r="L40" s="88"/>
      <c r="M40" s="85"/>
      <c r="N40" s="88"/>
      <c r="O40" s="88"/>
      <c r="P40" s="88"/>
      <c r="Q40" s="89"/>
      <c r="T40" s="26"/>
    </row>
    <row r="41" spans="1:20" s="3" customFormat="1" ht="20.25" hidden="1" customHeight="1">
      <c r="A41" s="813" t="s">
        <v>47</v>
      </c>
      <c r="B41" s="816" t="s">
        <v>48</v>
      </c>
      <c r="C41" s="23" t="s">
        <v>0</v>
      </c>
      <c r="D41" s="74">
        <f>SUM(E41:Q41)</f>
        <v>1170000</v>
      </c>
      <c r="E41" s="84">
        <v>0</v>
      </c>
      <c r="F41" s="84">
        <v>1170000</v>
      </c>
      <c r="G41" s="85">
        <v>0</v>
      </c>
      <c r="H41" s="84">
        <v>0</v>
      </c>
      <c r="I41" s="86">
        <v>0</v>
      </c>
      <c r="J41" s="84">
        <v>0</v>
      </c>
      <c r="K41" s="86">
        <v>0</v>
      </c>
      <c r="L41" s="84">
        <v>0</v>
      </c>
      <c r="M41" s="84">
        <v>0</v>
      </c>
      <c r="N41" s="84">
        <v>0</v>
      </c>
      <c r="O41" s="84">
        <v>0</v>
      </c>
      <c r="P41" s="85">
        <v>0</v>
      </c>
      <c r="Q41" s="84">
        <v>0</v>
      </c>
      <c r="T41" s="26"/>
    </row>
    <row r="42" spans="1:20" s="3" customFormat="1" ht="20.25" hidden="1" customHeight="1">
      <c r="A42" s="814"/>
      <c r="B42" s="817"/>
      <c r="C42" s="23" t="s">
        <v>1</v>
      </c>
      <c r="D42" s="74">
        <f t="shared" si="7"/>
        <v>0</v>
      </c>
      <c r="E42" s="79">
        <v>0</v>
      </c>
      <c r="F42" s="79">
        <v>0</v>
      </c>
      <c r="G42" s="80">
        <v>0</v>
      </c>
      <c r="H42" s="79">
        <v>0</v>
      </c>
      <c r="I42" s="80">
        <v>0</v>
      </c>
      <c r="J42" s="79">
        <v>0</v>
      </c>
      <c r="K42" s="81">
        <v>0</v>
      </c>
      <c r="L42" s="82">
        <v>0</v>
      </c>
      <c r="M42" s="82">
        <v>0</v>
      </c>
      <c r="N42" s="79">
        <v>0</v>
      </c>
      <c r="O42" s="79">
        <v>0</v>
      </c>
      <c r="P42" s="80">
        <v>0</v>
      </c>
      <c r="Q42" s="79">
        <v>0</v>
      </c>
      <c r="T42" s="26"/>
    </row>
    <row r="43" spans="1:20" s="3" customFormat="1" ht="20.25" hidden="1" customHeight="1">
      <c r="A43" s="815"/>
      <c r="B43" s="818"/>
      <c r="C43" s="23" t="s">
        <v>2</v>
      </c>
      <c r="D43" s="74">
        <f t="shared" si="7"/>
        <v>1170000</v>
      </c>
      <c r="E43" s="79">
        <f t="shared" ref="E43:P43" si="10">E41+E42</f>
        <v>0</v>
      </c>
      <c r="F43" s="79">
        <f t="shared" si="10"/>
        <v>1170000</v>
      </c>
      <c r="G43" s="79">
        <f t="shared" si="10"/>
        <v>0</v>
      </c>
      <c r="H43" s="79">
        <f t="shared" si="10"/>
        <v>0</v>
      </c>
      <c r="I43" s="79">
        <f t="shared" si="10"/>
        <v>0</v>
      </c>
      <c r="J43" s="79">
        <f t="shared" si="10"/>
        <v>0</v>
      </c>
      <c r="K43" s="79">
        <f t="shared" si="10"/>
        <v>0</v>
      </c>
      <c r="L43" s="79">
        <f t="shared" si="10"/>
        <v>0</v>
      </c>
      <c r="M43" s="79">
        <f t="shared" si="10"/>
        <v>0</v>
      </c>
      <c r="N43" s="79">
        <f t="shared" si="10"/>
        <v>0</v>
      </c>
      <c r="O43" s="79">
        <f t="shared" si="10"/>
        <v>0</v>
      </c>
      <c r="P43" s="82">
        <f t="shared" si="10"/>
        <v>0</v>
      </c>
      <c r="Q43" s="79">
        <f>Q41+Q42</f>
        <v>0</v>
      </c>
      <c r="T43" s="26"/>
    </row>
    <row r="44" spans="1:20" s="3" customFormat="1" ht="20.25" hidden="1" customHeight="1">
      <c r="A44" s="57"/>
      <c r="B44" s="28"/>
      <c r="C44" s="28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4"/>
      <c r="T44" s="26"/>
    </row>
    <row r="45" spans="1:20" s="3" customFormat="1" ht="20.25" hidden="1" customHeight="1">
      <c r="A45" s="813" t="s">
        <v>49</v>
      </c>
      <c r="B45" s="816" t="s">
        <v>50</v>
      </c>
      <c r="C45" s="23" t="s">
        <v>0</v>
      </c>
      <c r="D45" s="74">
        <f>SUM(E45:Q45)</f>
        <v>481600</v>
      </c>
      <c r="E45" s="84">
        <v>0</v>
      </c>
      <c r="F45" s="84">
        <v>25600</v>
      </c>
      <c r="G45" s="85">
        <v>0</v>
      </c>
      <c r="H45" s="84">
        <v>0</v>
      </c>
      <c r="I45" s="86">
        <v>0</v>
      </c>
      <c r="J45" s="84">
        <v>0</v>
      </c>
      <c r="K45" s="86">
        <v>0</v>
      </c>
      <c r="L45" s="84">
        <v>0</v>
      </c>
      <c r="M45" s="84">
        <v>0</v>
      </c>
      <c r="N45" s="84">
        <v>456000</v>
      </c>
      <c r="O45" s="84">
        <v>0</v>
      </c>
      <c r="P45" s="85">
        <v>0</v>
      </c>
      <c r="Q45" s="84">
        <v>0</v>
      </c>
      <c r="T45" s="26"/>
    </row>
    <row r="46" spans="1:20" s="3" customFormat="1" ht="20.25" hidden="1" customHeight="1">
      <c r="A46" s="814"/>
      <c r="B46" s="817"/>
      <c r="C46" s="23" t="s">
        <v>1</v>
      </c>
      <c r="D46" s="74">
        <f t="shared" si="7"/>
        <v>0</v>
      </c>
      <c r="E46" s="79">
        <v>0</v>
      </c>
      <c r="F46" s="79">
        <v>0</v>
      </c>
      <c r="G46" s="80">
        <v>0</v>
      </c>
      <c r="H46" s="79">
        <v>0</v>
      </c>
      <c r="I46" s="80">
        <v>0</v>
      </c>
      <c r="J46" s="79">
        <v>0</v>
      </c>
      <c r="K46" s="81">
        <v>0</v>
      </c>
      <c r="L46" s="82">
        <v>0</v>
      </c>
      <c r="M46" s="82">
        <v>0</v>
      </c>
      <c r="N46" s="79">
        <v>0</v>
      </c>
      <c r="O46" s="79">
        <v>0</v>
      </c>
      <c r="P46" s="80">
        <v>0</v>
      </c>
      <c r="Q46" s="79">
        <v>0</v>
      </c>
      <c r="T46" s="26"/>
    </row>
    <row r="47" spans="1:20" s="3" customFormat="1" ht="20.25" hidden="1" customHeight="1">
      <c r="A47" s="815"/>
      <c r="B47" s="818"/>
      <c r="C47" s="23" t="s">
        <v>2</v>
      </c>
      <c r="D47" s="74">
        <f t="shared" si="7"/>
        <v>481600</v>
      </c>
      <c r="E47" s="79">
        <f t="shared" ref="E47:P47" si="11">E45+E46</f>
        <v>0</v>
      </c>
      <c r="F47" s="79">
        <f t="shared" si="11"/>
        <v>25600</v>
      </c>
      <c r="G47" s="79">
        <f t="shared" si="11"/>
        <v>0</v>
      </c>
      <c r="H47" s="79">
        <f t="shared" si="11"/>
        <v>0</v>
      </c>
      <c r="I47" s="79">
        <f t="shared" si="11"/>
        <v>0</v>
      </c>
      <c r="J47" s="79">
        <f t="shared" si="11"/>
        <v>0</v>
      </c>
      <c r="K47" s="79">
        <f t="shared" si="11"/>
        <v>0</v>
      </c>
      <c r="L47" s="79">
        <f t="shared" si="11"/>
        <v>0</v>
      </c>
      <c r="M47" s="79">
        <f t="shared" si="11"/>
        <v>0</v>
      </c>
      <c r="N47" s="79">
        <f t="shared" si="11"/>
        <v>456000</v>
      </c>
      <c r="O47" s="79">
        <f t="shared" si="11"/>
        <v>0</v>
      </c>
      <c r="P47" s="82">
        <f t="shared" si="11"/>
        <v>0</v>
      </c>
      <c r="Q47" s="79">
        <f>Q45+Q46</f>
        <v>0</v>
      </c>
      <c r="T47" s="26"/>
    </row>
    <row r="48" spans="1:20" s="3" customFormat="1" ht="20.25" hidden="1" customHeight="1">
      <c r="A48" s="57"/>
      <c r="B48" s="28"/>
      <c r="C48" s="28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4"/>
      <c r="T48" s="26"/>
    </row>
    <row r="49" spans="1:20" s="3" customFormat="1" ht="18.75" hidden="1" customHeight="1">
      <c r="A49" s="813" t="s">
        <v>51</v>
      </c>
      <c r="B49" s="816" t="s">
        <v>52</v>
      </c>
      <c r="C49" s="23" t="s">
        <v>0</v>
      </c>
      <c r="D49" s="74">
        <f>SUM(E49:Q49)</f>
        <v>0</v>
      </c>
      <c r="E49" s="84">
        <v>0</v>
      </c>
      <c r="F49" s="84">
        <v>0</v>
      </c>
      <c r="G49" s="85">
        <v>0</v>
      </c>
      <c r="H49" s="84">
        <v>0</v>
      </c>
      <c r="I49" s="86">
        <v>0</v>
      </c>
      <c r="J49" s="84">
        <v>0</v>
      </c>
      <c r="K49" s="86">
        <v>0</v>
      </c>
      <c r="L49" s="84">
        <v>0</v>
      </c>
      <c r="M49" s="84">
        <v>0</v>
      </c>
      <c r="N49" s="84">
        <v>0</v>
      </c>
      <c r="O49" s="84">
        <v>0</v>
      </c>
      <c r="P49" s="85">
        <v>0</v>
      </c>
      <c r="Q49" s="84">
        <v>0</v>
      </c>
      <c r="T49" s="26"/>
    </row>
    <row r="50" spans="1:20" s="3" customFormat="1" ht="18.75" hidden="1" customHeight="1">
      <c r="A50" s="814"/>
      <c r="B50" s="817"/>
      <c r="C50" s="23" t="s">
        <v>1</v>
      </c>
      <c r="D50" s="74">
        <f t="shared" si="7"/>
        <v>0</v>
      </c>
      <c r="E50" s="79">
        <v>0</v>
      </c>
      <c r="F50" s="79">
        <v>0</v>
      </c>
      <c r="G50" s="80">
        <v>0</v>
      </c>
      <c r="H50" s="79">
        <v>0</v>
      </c>
      <c r="I50" s="80">
        <v>0</v>
      </c>
      <c r="J50" s="79">
        <v>0</v>
      </c>
      <c r="K50" s="81">
        <v>0</v>
      </c>
      <c r="L50" s="82">
        <v>0</v>
      </c>
      <c r="M50" s="82">
        <v>0</v>
      </c>
      <c r="N50" s="79">
        <v>0</v>
      </c>
      <c r="O50" s="79">
        <v>0</v>
      </c>
      <c r="P50" s="80">
        <v>0</v>
      </c>
      <c r="Q50" s="79">
        <v>0</v>
      </c>
      <c r="T50" s="26"/>
    </row>
    <row r="51" spans="1:20" s="3" customFormat="1" ht="18.75" hidden="1" customHeight="1">
      <c r="A51" s="815"/>
      <c r="B51" s="818"/>
      <c r="C51" s="23" t="s">
        <v>2</v>
      </c>
      <c r="D51" s="74">
        <f t="shared" si="7"/>
        <v>0</v>
      </c>
      <c r="E51" s="79">
        <f t="shared" ref="E51:P51" si="12">E49+E50</f>
        <v>0</v>
      </c>
      <c r="F51" s="79">
        <f t="shared" si="12"/>
        <v>0</v>
      </c>
      <c r="G51" s="79">
        <f t="shared" si="12"/>
        <v>0</v>
      </c>
      <c r="H51" s="79">
        <f t="shared" si="12"/>
        <v>0</v>
      </c>
      <c r="I51" s="79">
        <f t="shared" si="12"/>
        <v>0</v>
      </c>
      <c r="J51" s="79">
        <f t="shared" si="12"/>
        <v>0</v>
      </c>
      <c r="K51" s="79">
        <f t="shared" si="12"/>
        <v>0</v>
      </c>
      <c r="L51" s="79">
        <f t="shared" si="12"/>
        <v>0</v>
      </c>
      <c r="M51" s="79">
        <f t="shared" si="12"/>
        <v>0</v>
      </c>
      <c r="N51" s="79">
        <f t="shared" si="12"/>
        <v>0</v>
      </c>
      <c r="O51" s="79">
        <f t="shared" si="12"/>
        <v>0</v>
      </c>
      <c r="P51" s="82">
        <f t="shared" si="12"/>
        <v>0</v>
      </c>
      <c r="Q51" s="79">
        <f>Q49+Q50</f>
        <v>0</v>
      </c>
      <c r="T51" s="26"/>
    </row>
    <row r="52" spans="1:20" s="3" customFormat="1" ht="7.5" hidden="1" customHeight="1">
      <c r="A52" s="33"/>
      <c r="B52" s="27"/>
      <c r="C52" s="27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T52" s="26"/>
    </row>
    <row r="53" spans="1:20" s="3" customFormat="1" ht="18" customHeight="1">
      <c r="A53" s="813" t="s">
        <v>53</v>
      </c>
      <c r="B53" s="816" t="s">
        <v>54</v>
      </c>
      <c r="C53" s="23" t="s">
        <v>0</v>
      </c>
      <c r="D53" s="74">
        <f t="shared" ref="D53:D111" si="13">SUM(E53:Q53)</f>
        <v>2051670</v>
      </c>
      <c r="E53" s="84">
        <v>0</v>
      </c>
      <c r="F53" s="84">
        <v>202670</v>
      </c>
      <c r="G53" s="90">
        <v>0</v>
      </c>
      <c r="H53" s="84">
        <v>1243476</v>
      </c>
      <c r="I53" s="86">
        <v>316524</v>
      </c>
      <c r="J53" s="84">
        <v>0</v>
      </c>
      <c r="K53" s="86">
        <v>0</v>
      </c>
      <c r="L53" s="84">
        <v>0</v>
      </c>
      <c r="M53" s="84">
        <v>0</v>
      </c>
      <c r="N53" s="84">
        <v>289000</v>
      </c>
      <c r="O53" s="84">
        <v>0</v>
      </c>
      <c r="P53" s="85">
        <v>0</v>
      </c>
      <c r="Q53" s="84">
        <v>0</v>
      </c>
      <c r="T53" s="26"/>
    </row>
    <row r="54" spans="1:20" s="3" customFormat="1" ht="18" customHeight="1">
      <c r="A54" s="814"/>
      <c r="B54" s="817"/>
      <c r="C54" s="23" t="s">
        <v>1</v>
      </c>
      <c r="D54" s="74">
        <f t="shared" si="13"/>
        <v>409895</v>
      </c>
      <c r="E54" s="79">
        <v>0</v>
      </c>
      <c r="F54" s="79">
        <v>0</v>
      </c>
      <c r="G54" s="80">
        <v>0</v>
      </c>
      <c r="H54" s="79">
        <f>47742+278985</f>
        <v>326727</v>
      </c>
      <c r="I54" s="80">
        <f>71015+12153</f>
        <v>83168</v>
      </c>
      <c r="J54" s="79">
        <v>0</v>
      </c>
      <c r="K54" s="81">
        <v>0</v>
      </c>
      <c r="L54" s="82">
        <v>0</v>
      </c>
      <c r="M54" s="82">
        <v>0</v>
      </c>
      <c r="N54" s="79">
        <v>0</v>
      </c>
      <c r="O54" s="79">
        <v>0</v>
      </c>
      <c r="P54" s="80">
        <v>0</v>
      </c>
      <c r="Q54" s="79">
        <v>0</v>
      </c>
      <c r="T54" s="26"/>
    </row>
    <row r="55" spans="1:20" s="3" customFormat="1" ht="18" customHeight="1">
      <c r="A55" s="815"/>
      <c r="B55" s="818"/>
      <c r="C55" s="23" t="s">
        <v>2</v>
      </c>
      <c r="D55" s="74">
        <f t="shared" si="13"/>
        <v>2461565</v>
      </c>
      <c r="E55" s="79">
        <f t="shared" ref="E55:P55" si="14">E53+E54</f>
        <v>0</v>
      </c>
      <c r="F55" s="79">
        <f t="shared" si="14"/>
        <v>202670</v>
      </c>
      <c r="G55" s="79">
        <f t="shared" si="14"/>
        <v>0</v>
      </c>
      <c r="H55" s="79">
        <f t="shared" si="14"/>
        <v>1570203</v>
      </c>
      <c r="I55" s="79">
        <f t="shared" si="14"/>
        <v>399692</v>
      </c>
      <c r="J55" s="79">
        <f t="shared" si="14"/>
        <v>0</v>
      </c>
      <c r="K55" s="79">
        <f t="shared" si="14"/>
        <v>0</v>
      </c>
      <c r="L55" s="79">
        <f t="shared" si="14"/>
        <v>0</v>
      </c>
      <c r="M55" s="79">
        <f t="shared" si="14"/>
        <v>0</v>
      </c>
      <c r="N55" s="79">
        <f t="shared" si="14"/>
        <v>289000</v>
      </c>
      <c r="O55" s="79">
        <f t="shared" si="14"/>
        <v>0</v>
      </c>
      <c r="P55" s="82">
        <f t="shared" si="14"/>
        <v>0</v>
      </c>
      <c r="Q55" s="79">
        <f>Q53+Q54</f>
        <v>0</v>
      </c>
      <c r="T55" s="26"/>
    </row>
    <row r="56" spans="1:20" s="3" customFormat="1" ht="5.0999999999999996" customHeight="1">
      <c r="A56" s="33"/>
      <c r="B56" s="27"/>
      <c r="C56" s="27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4"/>
      <c r="T56" s="26"/>
    </row>
    <row r="57" spans="1:20" s="3" customFormat="1" ht="18" hidden="1" customHeight="1">
      <c r="A57" s="813" t="s">
        <v>101</v>
      </c>
      <c r="B57" s="816" t="s">
        <v>104</v>
      </c>
      <c r="C57" s="23" t="s">
        <v>0</v>
      </c>
      <c r="D57" s="74">
        <f t="shared" ref="D57:D59" si="15">SUM(E57:Q57)</f>
        <v>2023253</v>
      </c>
      <c r="E57" s="84">
        <v>0</v>
      </c>
      <c r="F57" s="84">
        <v>0</v>
      </c>
      <c r="G57" s="90">
        <v>0</v>
      </c>
      <c r="H57" s="84">
        <v>0</v>
      </c>
      <c r="I57" s="86">
        <v>0</v>
      </c>
      <c r="J57" s="84">
        <v>0</v>
      </c>
      <c r="K57" s="86">
        <v>0</v>
      </c>
      <c r="L57" s="84">
        <v>0</v>
      </c>
      <c r="M57" s="84">
        <v>0</v>
      </c>
      <c r="N57" s="84">
        <v>2023253</v>
      </c>
      <c r="O57" s="84">
        <v>0</v>
      </c>
      <c r="P57" s="85">
        <v>0</v>
      </c>
      <c r="Q57" s="84">
        <v>0</v>
      </c>
      <c r="T57" s="26"/>
    </row>
    <row r="58" spans="1:20" s="3" customFormat="1" ht="18" hidden="1" customHeight="1">
      <c r="A58" s="814"/>
      <c r="B58" s="817"/>
      <c r="C58" s="23" t="s">
        <v>1</v>
      </c>
      <c r="D58" s="74">
        <f t="shared" si="15"/>
        <v>0</v>
      </c>
      <c r="E58" s="79">
        <v>0</v>
      </c>
      <c r="F58" s="79">
        <v>0</v>
      </c>
      <c r="G58" s="80">
        <v>0</v>
      </c>
      <c r="H58" s="79">
        <v>0</v>
      </c>
      <c r="I58" s="80">
        <v>0</v>
      </c>
      <c r="J58" s="79">
        <v>0</v>
      </c>
      <c r="K58" s="81">
        <v>0</v>
      </c>
      <c r="L58" s="82">
        <v>0</v>
      </c>
      <c r="M58" s="82">
        <v>0</v>
      </c>
      <c r="N58" s="79">
        <v>0</v>
      </c>
      <c r="O58" s="79">
        <v>0</v>
      </c>
      <c r="P58" s="80">
        <v>0</v>
      </c>
      <c r="Q58" s="79">
        <v>0</v>
      </c>
      <c r="T58" s="26"/>
    </row>
    <row r="59" spans="1:20" s="3" customFormat="1" ht="18" hidden="1" customHeight="1">
      <c r="A59" s="815"/>
      <c r="B59" s="818"/>
      <c r="C59" s="23" t="s">
        <v>2</v>
      </c>
      <c r="D59" s="74">
        <f t="shared" si="15"/>
        <v>2023253</v>
      </c>
      <c r="E59" s="79">
        <f t="shared" ref="E59:P59" si="16">E57+E58</f>
        <v>0</v>
      </c>
      <c r="F59" s="79">
        <f t="shared" si="16"/>
        <v>0</v>
      </c>
      <c r="G59" s="79">
        <f t="shared" si="16"/>
        <v>0</v>
      </c>
      <c r="H59" s="79">
        <f t="shared" si="16"/>
        <v>0</v>
      </c>
      <c r="I59" s="79">
        <f t="shared" si="16"/>
        <v>0</v>
      </c>
      <c r="J59" s="79">
        <f t="shared" si="16"/>
        <v>0</v>
      </c>
      <c r="K59" s="79">
        <f t="shared" si="16"/>
        <v>0</v>
      </c>
      <c r="L59" s="79">
        <f t="shared" si="16"/>
        <v>0</v>
      </c>
      <c r="M59" s="79">
        <f t="shared" si="16"/>
        <v>0</v>
      </c>
      <c r="N59" s="79">
        <f t="shared" si="16"/>
        <v>2023253</v>
      </c>
      <c r="O59" s="79">
        <f t="shared" si="16"/>
        <v>0</v>
      </c>
      <c r="P59" s="82">
        <f t="shared" si="16"/>
        <v>0</v>
      </c>
      <c r="Q59" s="79">
        <f>Q57+Q58</f>
        <v>0</v>
      </c>
      <c r="T59" s="26"/>
    </row>
    <row r="60" spans="1:20" s="3" customFormat="1" ht="6.75" hidden="1" customHeight="1">
      <c r="A60" s="58"/>
      <c r="B60" s="31"/>
      <c r="C60" s="27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4"/>
      <c r="T60" s="26"/>
    </row>
    <row r="61" spans="1:20" s="3" customFormat="1" ht="20.25" hidden="1" customHeight="1">
      <c r="A61" s="813" t="s">
        <v>55</v>
      </c>
      <c r="B61" s="816" t="s">
        <v>56</v>
      </c>
      <c r="C61" s="23" t="s">
        <v>0</v>
      </c>
      <c r="D61" s="74">
        <f>SUM(E61:Q61)</f>
        <v>5000</v>
      </c>
      <c r="E61" s="84">
        <v>0</v>
      </c>
      <c r="F61" s="84">
        <v>0</v>
      </c>
      <c r="G61" s="90">
        <v>0</v>
      </c>
      <c r="H61" s="84">
        <v>0</v>
      </c>
      <c r="I61" s="86">
        <v>0</v>
      </c>
      <c r="J61" s="84">
        <v>0</v>
      </c>
      <c r="K61" s="86">
        <v>0</v>
      </c>
      <c r="L61" s="84">
        <v>0</v>
      </c>
      <c r="M61" s="84">
        <v>0</v>
      </c>
      <c r="N61" s="84">
        <v>5000</v>
      </c>
      <c r="O61" s="84">
        <v>0</v>
      </c>
      <c r="P61" s="85">
        <v>0</v>
      </c>
      <c r="Q61" s="84">
        <v>0</v>
      </c>
      <c r="T61" s="26"/>
    </row>
    <row r="62" spans="1:20" s="3" customFormat="1" ht="20.25" hidden="1" customHeight="1">
      <c r="A62" s="814"/>
      <c r="B62" s="817"/>
      <c r="C62" s="23" t="s">
        <v>1</v>
      </c>
      <c r="D62" s="74">
        <f t="shared" si="13"/>
        <v>0</v>
      </c>
      <c r="E62" s="79">
        <v>0</v>
      </c>
      <c r="F62" s="79">
        <v>0</v>
      </c>
      <c r="G62" s="80">
        <v>0</v>
      </c>
      <c r="H62" s="79">
        <v>0</v>
      </c>
      <c r="I62" s="80">
        <v>0</v>
      </c>
      <c r="J62" s="79">
        <v>0</v>
      </c>
      <c r="K62" s="81">
        <v>0</v>
      </c>
      <c r="L62" s="82">
        <v>0</v>
      </c>
      <c r="M62" s="82">
        <v>0</v>
      </c>
      <c r="N62" s="79">
        <v>0</v>
      </c>
      <c r="O62" s="79">
        <v>0</v>
      </c>
      <c r="P62" s="80">
        <v>0</v>
      </c>
      <c r="Q62" s="79">
        <v>0</v>
      </c>
      <c r="T62" s="26"/>
    </row>
    <row r="63" spans="1:20" s="3" customFormat="1" ht="20.25" hidden="1" customHeight="1">
      <c r="A63" s="815"/>
      <c r="B63" s="818"/>
      <c r="C63" s="23" t="s">
        <v>2</v>
      </c>
      <c r="D63" s="74">
        <f t="shared" si="13"/>
        <v>5000</v>
      </c>
      <c r="E63" s="79">
        <f t="shared" ref="E63:P63" si="17">E61+E62</f>
        <v>0</v>
      </c>
      <c r="F63" s="79">
        <f t="shared" si="17"/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0</v>
      </c>
      <c r="K63" s="79">
        <f t="shared" si="17"/>
        <v>0</v>
      </c>
      <c r="L63" s="79">
        <f t="shared" si="17"/>
        <v>0</v>
      </c>
      <c r="M63" s="79">
        <f t="shared" si="17"/>
        <v>0</v>
      </c>
      <c r="N63" s="79">
        <f t="shared" si="17"/>
        <v>5000</v>
      </c>
      <c r="O63" s="79">
        <f t="shared" si="17"/>
        <v>0</v>
      </c>
      <c r="P63" s="82">
        <f t="shared" si="17"/>
        <v>0</v>
      </c>
      <c r="Q63" s="79">
        <f>Q61+Q62</f>
        <v>0</v>
      </c>
      <c r="T63" s="26"/>
    </row>
    <row r="64" spans="1:20" s="3" customFormat="1" ht="5.25" hidden="1" customHeight="1">
      <c r="A64" s="33"/>
      <c r="B64" s="27"/>
      <c r="C64" s="27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4"/>
      <c r="T64" s="26"/>
    </row>
    <row r="65" spans="1:20" s="3" customFormat="1" ht="20.25" customHeight="1">
      <c r="A65" s="813" t="s">
        <v>102</v>
      </c>
      <c r="B65" s="816" t="s">
        <v>103</v>
      </c>
      <c r="C65" s="23" t="s">
        <v>0</v>
      </c>
      <c r="D65" s="74">
        <f>SUM(E65:Q65)</f>
        <v>616700</v>
      </c>
      <c r="E65" s="84">
        <v>0</v>
      </c>
      <c r="F65" s="84">
        <v>0</v>
      </c>
      <c r="G65" s="90">
        <v>0</v>
      </c>
      <c r="H65" s="84">
        <v>0</v>
      </c>
      <c r="I65" s="86">
        <v>0</v>
      </c>
      <c r="J65" s="84">
        <v>0</v>
      </c>
      <c r="K65" s="86">
        <v>0</v>
      </c>
      <c r="L65" s="84">
        <v>0</v>
      </c>
      <c r="M65" s="84">
        <v>0</v>
      </c>
      <c r="N65" s="84">
        <v>0</v>
      </c>
      <c r="O65" s="84">
        <v>0</v>
      </c>
      <c r="P65" s="85">
        <v>616700</v>
      </c>
      <c r="Q65" s="84">
        <v>0</v>
      </c>
      <c r="T65" s="26"/>
    </row>
    <row r="66" spans="1:20" s="3" customFormat="1" ht="20.25" customHeight="1">
      <c r="A66" s="814"/>
      <c r="B66" s="817"/>
      <c r="C66" s="23" t="s">
        <v>1</v>
      </c>
      <c r="D66" s="74">
        <f t="shared" ref="D66:D67" si="18">SUM(E66:Q66)</f>
        <v>173670</v>
      </c>
      <c r="E66" s="79">
        <v>0</v>
      </c>
      <c r="F66" s="79">
        <v>0</v>
      </c>
      <c r="G66" s="80">
        <v>0</v>
      </c>
      <c r="H66" s="79">
        <v>0</v>
      </c>
      <c r="I66" s="80">
        <v>0</v>
      </c>
      <c r="J66" s="79">
        <v>0</v>
      </c>
      <c r="K66" s="81">
        <v>0</v>
      </c>
      <c r="L66" s="82">
        <v>0</v>
      </c>
      <c r="M66" s="82">
        <v>0</v>
      </c>
      <c r="N66" s="79">
        <v>0</v>
      </c>
      <c r="O66" s="79">
        <v>0</v>
      </c>
      <c r="P66" s="80">
        <v>173670</v>
      </c>
      <c r="Q66" s="79">
        <v>0</v>
      </c>
      <c r="T66" s="26"/>
    </row>
    <row r="67" spans="1:20" s="3" customFormat="1" ht="20.25" customHeight="1">
      <c r="A67" s="815"/>
      <c r="B67" s="818"/>
      <c r="C67" s="23" t="s">
        <v>2</v>
      </c>
      <c r="D67" s="74">
        <f t="shared" si="18"/>
        <v>790370</v>
      </c>
      <c r="E67" s="79">
        <f t="shared" ref="E67:P67" si="19">E65+E66</f>
        <v>0</v>
      </c>
      <c r="F67" s="79">
        <f t="shared" si="19"/>
        <v>0</v>
      </c>
      <c r="G67" s="79">
        <f t="shared" si="19"/>
        <v>0</v>
      </c>
      <c r="H67" s="79">
        <f t="shared" si="19"/>
        <v>0</v>
      </c>
      <c r="I67" s="79">
        <f t="shared" si="19"/>
        <v>0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0</v>
      </c>
      <c r="N67" s="79">
        <f t="shared" si="19"/>
        <v>0</v>
      </c>
      <c r="O67" s="79">
        <f t="shared" si="19"/>
        <v>0</v>
      </c>
      <c r="P67" s="82">
        <f t="shared" si="19"/>
        <v>790370</v>
      </c>
      <c r="Q67" s="79">
        <f>Q65+Q66</f>
        <v>0</v>
      </c>
      <c r="T67" s="26"/>
    </row>
    <row r="68" spans="1:20" s="3" customFormat="1" ht="5.0999999999999996" customHeight="1">
      <c r="A68" s="58"/>
      <c r="B68" s="31"/>
      <c r="C68" s="27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4"/>
      <c r="T68" s="26"/>
    </row>
    <row r="69" spans="1:20" s="3" customFormat="1" ht="26.25" hidden="1" customHeight="1">
      <c r="A69" s="813" t="s">
        <v>19</v>
      </c>
      <c r="B69" s="816" t="s">
        <v>20</v>
      </c>
      <c r="C69" s="23" t="s">
        <v>0</v>
      </c>
      <c r="D69" s="74">
        <f>SUM(E69:Q69)</f>
        <v>799507011</v>
      </c>
      <c r="E69" s="84">
        <v>798545931</v>
      </c>
      <c r="F69" s="84">
        <v>961080</v>
      </c>
      <c r="G69" s="85">
        <v>0</v>
      </c>
      <c r="H69" s="84">
        <v>0</v>
      </c>
      <c r="I69" s="86">
        <v>0</v>
      </c>
      <c r="J69" s="84">
        <v>0</v>
      </c>
      <c r="K69" s="86">
        <v>0</v>
      </c>
      <c r="L69" s="84">
        <v>0</v>
      </c>
      <c r="M69" s="84">
        <v>0</v>
      </c>
      <c r="N69" s="84">
        <v>0</v>
      </c>
      <c r="O69" s="84">
        <v>0</v>
      </c>
      <c r="P69" s="85">
        <v>0</v>
      </c>
      <c r="Q69" s="84">
        <v>0</v>
      </c>
      <c r="T69" s="26"/>
    </row>
    <row r="70" spans="1:20" s="3" customFormat="1" ht="26.25" hidden="1" customHeight="1">
      <c r="A70" s="814"/>
      <c r="B70" s="817"/>
      <c r="C70" s="23" t="s">
        <v>1</v>
      </c>
      <c r="D70" s="74">
        <f t="shared" si="13"/>
        <v>0</v>
      </c>
      <c r="E70" s="79">
        <v>0</v>
      </c>
      <c r="F70" s="79">
        <v>0</v>
      </c>
      <c r="G70" s="80">
        <v>0</v>
      </c>
      <c r="H70" s="79">
        <v>0</v>
      </c>
      <c r="I70" s="80">
        <v>0</v>
      </c>
      <c r="J70" s="79">
        <v>0</v>
      </c>
      <c r="K70" s="81">
        <v>0</v>
      </c>
      <c r="L70" s="82">
        <v>0</v>
      </c>
      <c r="M70" s="82">
        <v>0</v>
      </c>
      <c r="N70" s="79">
        <v>0</v>
      </c>
      <c r="O70" s="79">
        <v>0</v>
      </c>
      <c r="P70" s="80">
        <v>0</v>
      </c>
      <c r="Q70" s="79">
        <v>0</v>
      </c>
      <c r="T70" s="26"/>
    </row>
    <row r="71" spans="1:20" s="3" customFormat="1" ht="26.25" hidden="1" customHeight="1">
      <c r="A71" s="815"/>
      <c r="B71" s="818"/>
      <c r="C71" s="23" t="s">
        <v>2</v>
      </c>
      <c r="D71" s="74">
        <f t="shared" si="13"/>
        <v>799507011</v>
      </c>
      <c r="E71" s="79">
        <f t="shared" ref="E71:P71" si="20">E69+E70</f>
        <v>798545931</v>
      </c>
      <c r="F71" s="79">
        <f t="shared" si="20"/>
        <v>961080</v>
      </c>
      <c r="G71" s="79">
        <f t="shared" si="20"/>
        <v>0</v>
      </c>
      <c r="H71" s="79">
        <f t="shared" si="20"/>
        <v>0</v>
      </c>
      <c r="I71" s="79">
        <f t="shared" si="20"/>
        <v>0</v>
      </c>
      <c r="J71" s="79">
        <f t="shared" si="20"/>
        <v>0</v>
      </c>
      <c r="K71" s="79">
        <f t="shared" si="20"/>
        <v>0</v>
      </c>
      <c r="L71" s="79">
        <f t="shared" si="20"/>
        <v>0</v>
      </c>
      <c r="M71" s="79">
        <f t="shared" si="20"/>
        <v>0</v>
      </c>
      <c r="N71" s="79">
        <f t="shared" si="20"/>
        <v>0</v>
      </c>
      <c r="O71" s="79">
        <f t="shared" si="20"/>
        <v>0</v>
      </c>
      <c r="P71" s="82">
        <f t="shared" si="20"/>
        <v>0</v>
      </c>
      <c r="Q71" s="79">
        <f>Q69+Q70</f>
        <v>0</v>
      </c>
      <c r="T71" s="26"/>
    </row>
    <row r="72" spans="1:20" s="3" customFormat="1" ht="9.75" hidden="1" customHeight="1">
      <c r="A72" s="33"/>
      <c r="B72" s="27"/>
      <c r="C72" s="27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4"/>
      <c r="T72" s="26"/>
    </row>
    <row r="73" spans="1:20" s="3" customFormat="1" ht="20.25" customHeight="1">
      <c r="A73" s="813" t="s">
        <v>57</v>
      </c>
      <c r="B73" s="816" t="s">
        <v>58</v>
      </c>
      <c r="C73" s="23" t="s">
        <v>0</v>
      </c>
      <c r="D73" s="74">
        <f>SUM(E73:Q73)</f>
        <v>717577536</v>
      </c>
      <c r="E73" s="84">
        <v>556286740</v>
      </c>
      <c r="F73" s="84">
        <v>0</v>
      </c>
      <c r="G73" s="90">
        <v>89604708</v>
      </c>
      <c r="H73" s="84">
        <v>58803525</v>
      </c>
      <c r="I73" s="86">
        <v>12342271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90">
        <v>540292</v>
      </c>
      <c r="Q73" s="84">
        <v>0</v>
      </c>
      <c r="T73" s="26"/>
    </row>
    <row r="74" spans="1:20" s="3" customFormat="1" ht="20.25" customHeight="1">
      <c r="A74" s="814"/>
      <c r="B74" s="817"/>
      <c r="C74" s="23" t="s">
        <v>1</v>
      </c>
      <c r="D74" s="74">
        <f t="shared" si="13"/>
        <v>287284</v>
      </c>
      <c r="E74" s="79">
        <v>0</v>
      </c>
      <c r="F74" s="79">
        <v>395</v>
      </c>
      <c r="G74" s="79">
        <f>185899+3003</f>
        <v>188902</v>
      </c>
      <c r="H74" s="79">
        <v>0</v>
      </c>
      <c r="I74" s="79">
        <f>-245297+82297+25533-1928240-90000+2224375+29319</f>
        <v>97987</v>
      </c>
      <c r="J74" s="79">
        <v>0</v>
      </c>
      <c r="K74" s="81">
        <v>0</v>
      </c>
      <c r="L74" s="82">
        <v>0</v>
      </c>
      <c r="M74" s="82">
        <v>0</v>
      </c>
      <c r="N74" s="79">
        <v>0</v>
      </c>
      <c r="O74" s="79">
        <v>0</v>
      </c>
      <c r="P74" s="80">
        <v>0</v>
      </c>
      <c r="Q74" s="79">
        <v>0</v>
      </c>
      <c r="T74" s="26"/>
    </row>
    <row r="75" spans="1:20" s="3" customFormat="1" ht="20.25" customHeight="1">
      <c r="A75" s="815"/>
      <c r="B75" s="818"/>
      <c r="C75" s="23" t="s">
        <v>2</v>
      </c>
      <c r="D75" s="74">
        <f t="shared" si="13"/>
        <v>717864820</v>
      </c>
      <c r="E75" s="79">
        <f t="shared" ref="E75:P75" si="21">E73+E74</f>
        <v>556286740</v>
      </c>
      <c r="F75" s="79">
        <f t="shared" si="21"/>
        <v>395</v>
      </c>
      <c r="G75" s="79">
        <f t="shared" si="21"/>
        <v>89793610</v>
      </c>
      <c r="H75" s="79">
        <f t="shared" si="21"/>
        <v>58803525</v>
      </c>
      <c r="I75" s="79">
        <f t="shared" si="21"/>
        <v>12440258</v>
      </c>
      <c r="J75" s="79">
        <f t="shared" si="21"/>
        <v>0</v>
      </c>
      <c r="K75" s="79">
        <f t="shared" si="21"/>
        <v>0</v>
      </c>
      <c r="L75" s="79">
        <f t="shared" si="21"/>
        <v>0</v>
      </c>
      <c r="M75" s="79">
        <f t="shared" si="21"/>
        <v>0</v>
      </c>
      <c r="N75" s="79">
        <f t="shared" si="21"/>
        <v>0</v>
      </c>
      <c r="O75" s="79">
        <f t="shared" si="21"/>
        <v>0</v>
      </c>
      <c r="P75" s="82">
        <f t="shared" si="21"/>
        <v>540292</v>
      </c>
      <c r="Q75" s="79">
        <f>Q73+Q74</f>
        <v>0</v>
      </c>
      <c r="T75" s="26"/>
    </row>
    <row r="76" spans="1:20" s="3" customFormat="1" ht="5.0999999999999996" customHeight="1">
      <c r="A76" s="33"/>
      <c r="B76" s="27"/>
      <c r="C76" s="27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4"/>
      <c r="T76" s="26"/>
    </row>
    <row r="77" spans="1:20" s="3" customFormat="1" ht="18.75" customHeight="1">
      <c r="A77" s="813" t="s">
        <v>59</v>
      </c>
      <c r="B77" s="816" t="s">
        <v>60</v>
      </c>
      <c r="C77" s="23" t="s">
        <v>0</v>
      </c>
      <c r="D77" s="74">
        <f>SUM(E77:Q77)</f>
        <v>11956760</v>
      </c>
      <c r="E77" s="84">
        <v>0</v>
      </c>
      <c r="F77" s="84">
        <v>856424</v>
      </c>
      <c r="G77" s="85">
        <v>0</v>
      </c>
      <c r="H77" s="84">
        <v>0</v>
      </c>
      <c r="I77" s="86">
        <v>0</v>
      </c>
      <c r="J77" s="84">
        <v>0</v>
      </c>
      <c r="K77" s="86">
        <v>0</v>
      </c>
      <c r="L77" s="84">
        <v>0</v>
      </c>
      <c r="M77" s="84">
        <v>0</v>
      </c>
      <c r="N77" s="84">
        <v>1345334</v>
      </c>
      <c r="O77" s="84">
        <v>850000</v>
      </c>
      <c r="P77" s="85">
        <v>0</v>
      </c>
      <c r="Q77" s="84">
        <v>8905002</v>
      </c>
      <c r="T77" s="26"/>
    </row>
    <row r="78" spans="1:20" s="3" customFormat="1" ht="18.75" customHeight="1">
      <c r="A78" s="814"/>
      <c r="B78" s="817"/>
      <c r="C78" s="23" t="s">
        <v>1</v>
      </c>
      <c r="D78" s="74">
        <f t="shared" si="13"/>
        <v>-8905002</v>
      </c>
      <c r="E78" s="79">
        <v>0</v>
      </c>
      <c r="F78" s="79">
        <v>0</v>
      </c>
      <c r="G78" s="80">
        <v>0</v>
      </c>
      <c r="H78" s="79">
        <v>0</v>
      </c>
      <c r="I78" s="80">
        <v>0</v>
      </c>
      <c r="J78" s="79">
        <v>0</v>
      </c>
      <c r="K78" s="81">
        <v>0</v>
      </c>
      <c r="L78" s="82">
        <v>0</v>
      </c>
      <c r="M78" s="82">
        <v>0</v>
      </c>
      <c r="N78" s="79">
        <v>0</v>
      </c>
      <c r="O78" s="79">
        <v>0</v>
      </c>
      <c r="P78" s="80">
        <v>0</v>
      </c>
      <c r="Q78" s="79">
        <v>-8905002</v>
      </c>
      <c r="T78" s="26"/>
    </row>
    <row r="79" spans="1:20" s="3" customFormat="1" ht="18.75" customHeight="1">
      <c r="A79" s="815"/>
      <c r="B79" s="818"/>
      <c r="C79" s="23" t="s">
        <v>2</v>
      </c>
      <c r="D79" s="74">
        <f t="shared" si="13"/>
        <v>3051758</v>
      </c>
      <c r="E79" s="79">
        <f t="shared" ref="E79:P79" si="22">E77+E78</f>
        <v>0</v>
      </c>
      <c r="F79" s="79">
        <f t="shared" si="22"/>
        <v>856424</v>
      </c>
      <c r="G79" s="79">
        <f t="shared" si="22"/>
        <v>0</v>
      </c>
      <c r="H79" s="79">
        <f t="shared" si="22"/>
        <v>0</v>
      </c>
      <c r="I79" s="79">
        <f t="shared" si="22"/>
        <v>0</v>
      </c>
      <c r="J79" s="79">
        <f t="shared" si="22"/>
        <v>0</v>
      </c>
      <c r="K79" s="79">
        <f t="shared" si="22"/>
        <v>0</v>
      </c>
      <c r="L79" s="79">
        <f t="shared" si="22"/>
        <v>0</v>
      </c>
      <c r="M79" s="79">
        <f t="shared" si="22"/>
        <v>0</v>
      </c>
      <c r="N79" s="79">
        <f t="shared" si="22"/>
        <v>1345334</v>
      </c>
      <c r="O79" s="79">
        <f t="shared" si="22"/>
        <v>850000</v>
      </c>
      <c r="P79" s="82">
        <f t="shared" si="22"/>
        <v>0</v>
      </c>
      <c r="Q79" s="79">
        <f>Q77+Q78</f>
        <v>0</v>
      </c>
      <c r="T79" s="26"/>
    </row>
    <row r="80" spans="1:20" s="3" customFormat="1" ht="5.0999999999999996" customHeight="1">
      <c r="A80" s="33"/>
      <c r="B80" s="27"/>
      <c r="C80" s="27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4"/>
      <c r="T80" s="26"/>
    </row>
    <row r="81" spans="1:20" s="3" customFormat="1" ht="20.25" hidden="1" customHeight="1">
      <c r="A81" s="813" t="s">
        <v>61</v>
      </c>
      <c r="B81" s="816" t="s">
        <v>62</v>
      </c>
      <c r="C81" s="23" t="s">
        <v>0</v>
      </c>
      <c r="D81" s="74">
        <f>SUM(E81:Q81)</f>
        <v>26074320</v>
      </c>
      <c r="E81" s="84">
        <v>0</v>
      </c>
      <c r="F81" s="84">
        <v>0</v>
      </c>
      <c r="G81" s="85">
        <v>0</v>
      </c>
      <c r="H81" s="84">
        <v>0</v>
      </c>
      <c r="I81" s="86">
        <v>0</v>
      </c>
      <c r="J81" s="84">
        <v>0</v>
      </c>
      <c r="K81" s="86">
        <v>0</v>
      </c>
      <c r="L81" s="84">
        <v>1463320</v>
      </c>
      <c r="M81" s="84">
        <v>0</v>
      </c>
      <c r="N81" s="84">
        <v>24611000</v>
      </c>
      <c r="O81" s="84">
        <v>0</v>
      </c>
      <c r="P81" s="85">
        <v>0</v>
      </c>
      <c r="Q81" s="84">
        <v>0</v>
      </c>
      <c r="T81" s="26"/>
    </row>
    <row r="82" spans="1:20" s="3" customFormat="1" ht="20.25" hidden="1" customHeight="1">
      <c r="A82" s="814"/>
      <c r="B82" s="817"/>
      <c r="C82" s="23" t="s">
        <v>1</v>
      </c>
      <c r="D82" s="74">
        <f t="shared" si="13"/>
        <v>0</v>
      </c>
      <c r="E82" s="79">
        <v>0</v>
      </c>
      <c r="F82" s="79">
        <v>0</v>
      </c>
      <c r="G82" s="80">
        <v>0</v>
      </c>
      <c r="H82" s="79">
        <v>0</v>
      </c>
      <c r="I82" s="80">
        <v>0</v>
      </c>
      <c r="J82" s="79">
        <v>0</v>
      </c>
      <c r="K82" s="81">
        <v>0</v>
      </c>
      <c r="L82" s="79">
        <v>0</v>
      </c>
      <c r="M82" s="82">
        <v>0</v>
      </c>
      <c r="N82" s="79">
        <v>0</v>
      </c>
      <c r="O82" s="79">
        <v>0</v>
      </c>
      <c r="P82" s="80">
        <v>0</v>
      </c>
      <c r="Q82" s="79">
        <v>0</v>
      </c>
      <c r="T82" s="26"/>
    </row>
    <row r="83" spans="1:20" s="3" customFormat="1" ht="20.25" hidden="1" customHeight="1">
      <c r="A83" s="815"/>
      <c r="B83" s="818"/>
      <c r="C83" s="23" t="s">
        <v>2</v>
      </c>
      <c r="D83" s="74">
        <f t="shared" si="13"/>
        <v>26074320</v>
      </c>
      <c r="E83" s="79">
        <f t="shared" ref="E83:P83" si="23">E81+E82</f>
        <v>0</v>
      </c>
      <c r="F83" s="79">
        <f t="shared" si="23"/>
        <v>0</v>
      </c>
      <c r="G83" s="79">
        <f t="shared" si="23"/>
        <v>0</v>
      </c>
      <c r="H83" s="79">
        <f t="shared" si="23"/>
        <v>0</v>
      </c>
      <c r="I83" s="79">
        <f t="shared" si="23"/>
        <v>0</v>
      </c>
      <c r="J83" s="79">
        <f t="shared" si="23"/>
        <v>0</v>
      </c>
      <c r="K83" s="79">
        <f t="shared" si="23"/>
        <v>0</v>
      </c>
      <c r="L83" s="79">
        <f t="shared" si="23"/>
        <v>1463320</v>
      </c>
      <c r="M83" s="79">
        <f t="shared" si="23"/>
        <v>0</v>
      </c>
      <c r="N83" s="79">
        <f t="shared" si="23"/>
        <v>24611000</v>
      </c>
      <c r="O83" s="79">
        <f t="shared" si="23"/>
        <v>0</v>
      </c>
      <c r="P83" s="82">
        <f t="shared" si="23"/>
        <v>0</v>
      </c>
      <c r="Q83" s="79">
        <f>Q81+Q82</f>
        <v>0</v>
      </c>
      <c r="T83" s="26"/>
    </row>
    <row r="84" spans="1:20" s="3" customFormat="1" ht="11.25" hidden="1" customHeight="1">
      <c r="A84" s="33"/>
      <c r="B84" s="27"/>
      <c r="C84" s="27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4"/>
      <c r="T84" s="26"/>
    </row>
    <row r="85" spans="1:20" s="3" customFormat="1" ht="20.25" customHeight="1">
      <c r="A85" s="813" t="s">
        <v>25</v>
      </c>
      <c r="B85" s="816" t="s">
        <v>63</v>
      </c>
      <c r="C85" s="23" t="s">
        <v>0</v>
      </c>
      <c r="D85" s="74">
        <f>SUM(E85:Q85)</f>
        <v>182000</v>
      </c>
      <c r="E85" s="84">
        <v>0</v>
      </c>
      <c r="F85" s="84">
        <v>5000</v>
      </c>
      <c r="G85" s="85">
        <v>0</v>
      </c>
      <c r="H85" s="84">
        <v>0</v>
      </c>
      <c r="I85" s="86">
        <v>0</v>
      </c>
      <c r="J85" s="84">
        <v>0</v>
      </c>
      <c r="K85" s="86">
        <v>0</v>
      </c>
      <c r="L85" s="84">
        <v>0</v>
      </c>
      <c r="M85" s="84">
        <v>0</v>
      </c>
      <c r="N85" s="84">
        <v>100000</v>
      </c>
      <c r="O85" s="84">
        <v>77000</v>
      </c>
      <c r="P85" s="85">
        <v>0</v>
      </c>
      <c r="Q85" s="84">
        <v>0</v>
      </c>
      <c r="T85" s="26"/>
    </row>
    <row r="86" spans="1:20" s="3" customFormat="1" ht="20.25" customHeight="1">
      <c r="A86" s="814"/>
      <c r="B86" s="817"/>
      <c r="C86" s="23" t="s">
        <v>1</v>
      </c>
      <c r="D86" s="74">
        <f t="shared" si="13"/>
        <v>100000</v>
      </c>
      <c r="E86" s="79">
        <v>0</v>
      </c>
      <c r="F86" s="79">
        <v>0</v>
      </c>
      <c r="G86" s="80">
        <v>0</v>
      </c>
      <c r="H86" s="79">
        <v>0</v>
      </c>
      <c r="I86" s="80">
        <v>0</v>
      </c>
      <c r="J86" s="79">
        <v>0</v>
      </c>
      <c r="K86" s="81">
        <v>0</v>
      </c>
      <c r="L86" s="82">
        <v>0</v>
      </c>
      <c r="M86" s="82">
        <v>0</v>
      </c>
      <c r="N86" s="79">
        <v>100000</v>
      </c>
      <c r="O86" s="79">
        <v>0</v>
      </c>
      <c r="P86" s="80">
        <v>0</v>
      </c>
      <c r="Q86" s="79">
        <v>0</v>
      </c>
      <c r="T86" s="26"/>
    </row>
    <row r="87" spans="1:20" s="3" customFormat="1" ht="20.25" customHeight="1">
      <c r="A87" s="815"/>
      <c r="B87" s="818"/>
      <c r="C87" s="23" t="s">
        <v>2</v>
      </c>
      <c r="D87" s="74">
        <f t="shared" si="13"/>
        <v>282000</v>
      </c>
      <c r="E87" s="79">
        <f t="shared" ref="E87:P87" si="24">E85+E86</f>
        <v>0</v>
      </c>
      <c r="F87" s="79">
        <f t="shared" si="24"/>
        <v>5000</v>
      </c>
      <c r="G87" s="79">
        <f t="shared" si="24"/>
        <v>0</v>
      </c>
      <c r="H87" s="79">
        <f t="shared" si="24"/>
        <v>0</v>
      </c>
      <c r="I87" s="79">
        <f t="shared" si="24"/>
        <v>0</v>
      </c>
      <c r="J87" s="79">
        <f t="shared" si="24"/>
        <v>0</v>
      </c>
      <c r="K87" s="79">
        <f t="shared" si="24"/>
        <v>0</v>
      </c>
      <c r="L87" s="79">
        <f t="shared" si="24"/>
        <v>0</v>
      </c>
      <c r="M87" s="79">
        <f t="shared" si="24"/>
        <v>0</v>
      </c>
      <c r="N87" s="79">
        <f t="shared" si="24"/>
        <v>200000</v>
      </c>
      <c r="O87" s="79">
        <f t="shared" si="24"/>
        <v>77000</v>
      </c>
      <c r="P87" s="82">
        <f t="shared" si="24"/>
        <v>0</v>
      </c>
      <c r="Q87" s="79">
        <f>Q85+Q86</f>
        <v>0</v>
      </c>
      <c r="T87" s="26"/>
    </row>
    <row r="88" spans="1:20" s="3" customFormat="1" ht="5.0999999999999996" customHeight="1">
      <c r="A88" s="33"/>
      <c r="B88" s="27"/>
      <c r="C88" s="27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4"/>
      <c r="T88" s="26"/>
    </row>
    <row r="89" spans="1:20" s="3" customFormat="1" ht="19.5" customHeight="1">
      <c r="A89" s="813" t="s">
        <v>64</v>
      </c>
      <c r="B89" s="816" t="s">
        <v>21</v>
      </c>
      <c r="C89" s="23" t="s">
        <v>0</v>
      </c>
      <c r="D89" s="74">
        <f>SUM(E89:Q89)</f>
        <v>11807340</v>
      </c>
      <c r="E89" s="84">
        <v>0</v>
      </c>
      <c r="F89" s="84">
        <v>2228139</v>
      </c>
      <c r="G89" s="90">
        <v>3704081</v>
      </c>
      <c r="H89" s="84">
        <v>0</v>
      </c>
      <c r="I89" s="86">
        <v>784626</v>
      </c>
      <c r="J89" s="84">
        <v>0</v>
      </c>
      <c r="K89" s="86">
        <v>0</v>
      </c>
      <c r="L89" s="84">
        <v>0</v>
      </c>
      <c r="M89" s="84">
        <v>0</v>
      </c>
      <c r="N89" s="84">
        <v>1000</v>
      </c>
      <c r="O89" s="84">
        <v>0</v>
      </c>
      <c r="P89" s="85">
        <v>5089494</v>
      </c>
      <c r="Q89" s="84">
        <v>0</v>
      </c>
      <c r="T89" s="26"/>
    </row>
    <row r="90" spans="1:20" s="3" customFormat="1" ht="19.5" customHeight="1">
      <c r="A90" s="814"/>
      <c r="B90" s="817"/>
      <c r="C90" s="23" t="s">
        <v>1</v>
      </c>
      <c r="D90" s="74">
        <f t="shared" si="13"/>
        <v>276474</v>
      </c>
      <c r="E90" s="79">
        <v>0</v>
      </c>
      <c r="F90" s="79">
        <v>276474</v>
      </c>
      <c r="G90" s="80">
        <v>0</v>
      </c>
      <c r="H90" s="79">
        <v>0</v>
      </c>
      <c r="I90" s="80">
        <v>0</v>
      </c>
      <c r="J90" s="79">
        <v>0</v>
      </c>
      <c r="K90" s="81">
        <v>0</v>
      </c>
      <c r="L90" s="82">
        <v>0</v>
      </c>
      <c r="M90" s="82">
        <v>0</v>
      </c>
      <c r="N90" s="79">
        <v>0</v>
      </c>
      <c r="O90" s="79">
        <v>0</v>
      </c>
      <c r="P90" s="80">
        <v>0</v>
      </c>
      <c r="Q90" s="79">
        <v>0</v>
      </c>
      <c r="T90" s="26"/>
    </row>
    <row r="91" spans="1:20" s="3" customFormat="1" ht="19.5" customHeight="1">
      <c r="A91" s="815"/>
      <c r="B91" s="818"/>
      <c r="C91" s="23" t="s">
        <v>2</v>
      </c>
      <c r="D91" s="74">
        <f t="shared" si="13"/>
        <v>12083814</v>
      </c>
      <c r="E91" s="79">
        <f t="shared" ref="E91:P91" si="25">E89+E90</f>
        <v>0</v>
      </c>
      <c r="F91" s="79">
        <f t="shared" si="25"/>
        <v>2504613</v>
      </c>
      <c r="G91" s="79">
        <f t="shared" si="25"/>
        <v>3704081</v>
      </c>
      <c r="H91" s="79">
        <f t="shared" si="25"/>
        <v>0</v>
      </c>
      <c r="I91" s="79">
        <f t="shared" si="25"/>
        <v>784626</v>
      </c>
      <c r="J91" s="79">
        <f t="shared" si="25"/>
        <v>0</v>
      </c>
      <c r="K91" s="79">
        <f t="shared" si="25"/>
        <v>0</v>
      </c>
      <c r="L91" s="79">
        <f t="shared" si="25"/>
        <v>0</v>
      </c>
      <c r="M91" s="79">
        <f t="shared" si="25"/>
        <v>0</v>
      </c>
      <c r="N91" s="79">
        <f t="shared" si="25"/>
        <v>1000</v>
      </c>
      <c r="O91" s="79">
        <f t="shared" si="25"/>
        <v>0</v>
      </c>
      <c r="P91" s="82">
        <f t="shared" si="25"/>
        <v>5089494</v>
      </c>
      <c r="Q91" s="79">
        <f>Q89+Q90</f>
        <v>0</v>
      </c>
      <c r="T91" s="26"/>
    </row>
    <row r="92" spans="1:20" s="3" customFormat="1" ht="6" hidden="1" customHeight="1">
      <c r="A92" s="33"/>
      <c r="B92" s="27"/>
      <c r="C92" s="27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4"/>
      <c r="T92" s="26"/>
    </row>
    <row r="93" spans="1:20" s="3" customFormat="1" ht="18.75" hidden="1" customHeight="1">
      <c r="A93" s="813" t="s">
        <v>26</v>
      </c>
      <c r="B93" s="816" t="s">
        <v>28</v>
      </c>
      <c r="C93" s="23" t="s">
        <v>0</v>
      </c>
      <c r="D93" s="74">
        <f>SUM(E93:Q93)</f>
        <v>6500</v>
      </c>
      <c r="E93" s="84">
        <v>0</v>
      </c>
      <c r="F93" s="84">
        <v>6500</v>
      </c>
      <c r="G93" s="90">
        <v>0</v>
      </c>
      <c r="H93" s="84">
        <v>0</v>
      </c>
      <c r="I93" s="85">
        <v>0</v>
      </c>
      <c r="J93" s="84">
        <v>0</v>
      </c>
      <c r="K93" s="86">
        <v>0</v>
      </c>
      <c r="L93" s="90">
        <v>0</v>
      </c>
      <c r="M93" s="84">
        <v>0</v>
      </c>
      <c r="N93" s="84">
        <v>0</v>
      </c>
      <c r="O93" s="84">
        <v>0</v>
      </c>
      <c r="P93" s="85">
        <v>0</v>
      </c>
      <c r="Q93" s="84">
        <v>0</v>
      </c>
      <c r="T93" s="26"/>
    </row>
    <row r="94" spans="1:20" s="3" customFormat="1" ht="18.75" hidden="1" customHeight="1">
      <c r="A94" s="814"/>
      <c r="B94" s="817"/>
      <c r="C94" s="23" t="s">
        <v>1</v>
      </c>
      <c r="D94" s="74">
        <f t="shared" si="13"/>
        <v>0</v>
      </c>
      <c r="E94" s="79">
        <v>0</v>
      </c>
      <c r="F94" s="79">
        <v>0</v>
      </c>
      <c r="G94" s="80">
        <v>0</v>
      </c>
      <c r="H94" s="79">
        <v>0</v>
      </c>
      <c r="I94" s="80">
        <v>0</v>
      </c>
      <c r="J94" s="79">
        <v>0</v>
      </c>
      <c r="K94" s="81">
        <v>0</v>
      </c>
      <c r="L94" s="82">
        <v>0</v>
      </c>
      <c r="M94" s="82">
        <v>0</v>
      </c>
      <c r="N94" s="79">
        <v>0</v>
      </c>
      <c r="O94" s="79">
        <v>0</v>
      </c>
      <c r="P94" s="80">
        <v>0</v>
      </c>
      <c r="Q94" s="79">
        <v>0</v>
      </c>
      <c r="T94" s="26"/>
    </row>
    <row r="95" spans="1:20" s="3" customFormat="1" ht="18.75" hidden="1" customHeight="1">
      <c r="A95" s="815"/>
      <c r="B95" s="818"/>
      <c r="C95" s="23" t="s">
        <v>2</v>
      </c>
      <c r="D95" s="74">
        <f t="shared" si="13"/>
        <v>6500</v>
      </c>
      <c r="E95" s="79">
        <f t="shared" ref="E95:P95" si="26">E93+E94</f>
        <v>0</v>
      </c>
      <c r="F95" s="79">
        <f t="shared" si="26"/>
        <v>6500</v>
      </c>
      <c r="G95" s="79">
        <f t="shared" si="26"/>
        <v>0</v>
      </c>
      <c r="H95" s="79">
        <f t="shared" si="26"/>
        <v>0</v>
      </c>
      <c r="I95" s="79">
        <f t="shared" si="26"/>
        <v>0</v>
      </c>
      <c r="J95" s="79">
        <f t="shared" si="26"/>
        <v>0</v>
      </c>
      <c r="K95" s="79">
        <f t="shared" si="26"/>
        <v>0</v>
      </c>
      <c r="L95" s="79">
        <f t="shared" si="26"/>
        <v>0</v>
      </c>
      <c r="M95" s="79">
        <f t="shared" si="26"/>
        <v>0</v>
      </c>
      <c r="N95" s="79">
        <f t="shared" si="26"/>
        <v>0</v>
      </c>
      <c r="O95" s="79">
        <f t="shared" si="26"/>
        <v>0</v>
      </c>
      <c r="P95" s="82">
        <f t="shared" si="26"/>
        <v>0</v>
      </c>
      <c r="Q95" s="79">
        <f>Q93+Q94</f>
        <v>0</v>
      </c>
      <c r="T95" s="26"/>
    </row>
    <row r="96" spans="1:20" s="3" customFormat="1" ht="20.25" hidden="1" customHeight="1">
      <c r="A96" s="33"/>
      <c r="B96" s="27"/>
      <c r="C96" s="27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4"/>
      <c r="T96" s="26"/>
    </row>
    <row r="97" spans="1:20" s="3" customFormat="1" ht="20.25" hidden="1" customHeight="1">
      <c r="A97" s="813" t="s">
        <v>90</v>
      </c>
      <c r="B97" s="816" t="s">
        <v>89</v>
      </c>
      <c r="C97" s="23" t="s">
        <v>0</v>
      </c>
      <c r="D97" s="74">
        <f>SUM(E97:Q97)</f>
        <v>3886000</v>
      </c>
      <c r="E97" s="84">
        <v>0</v>
      </c>
      <c r="F97" s="84">
        <v>0</v>
      </c>
      <c r="G97" s="90">
        <v>0</v>
      </c>
      <c r="H97" s="84">
        <v>0</v>
      </c>
      <c r="I97" s="85">
        <v>0</v>
      </c>
      <c r="J97" s="84">
        <v>0</v>
      </c>
      <c r="K97" s="86">
        <v>0</v>
      </c>
      <c r="L97" s="90">
        <v>0</v>
      </c>
      <c r="M97" s="84">
        <v>0</v>
      </c>
      <c r="N97" s="84">
        <v>3886000</v>
      </c>
      <c r="O97" s="84">
        <v>0</v>
      </c>
      <c r="P97" s="85">
        <v>0</v>
      </c>
      <c r="Q97" s="84">
        <v>0</v>
      </c>
      <c r="T97" s="26"/>
    </row>
    <row r="98" spans="1:20" s="3" customFormat="1" ht="20.25" hidden="1" customHeight="1">
      <c r="A98" s="814"/>
      <c r="B98" s="817"/>
      <c r="C98" s="23" t="s">
        <v>1</v>
      </c>
      <c r="D98" s="74">
        <f t="shared" si="13"/>
        <v>0</v>
      </c>
      <c r="E98" s="79">
        <v>0</v>
      </c>
      <c r="F98" s="79">
        <v>0</v>
      </c>
      <c r="G98" s="80">
        <v>0</v>
      </c>
      <c r="H98" s="79">
        <v>0</v>
      </c>
      <c r="I98" s="80">
        <v>0</v>
      </c>
      <c r="J98" s="79">
        <v>0</v>
      </c>
      <c r="K98" s="81">
        <v>0</v>
      </c>
      <c r="L98" s="82">
        <v>0</v>
      </c>
      <c r="M98" s="82">
        <v>0</v>
      </c>
      <c r="N98" s="79">
        <v>0</v>
      </c>
      <c r="O98" s="79">
        <v>0</v>
      </c>
      <c r="P98" s="80">
        <v>0</v>
      </c>
      <c r="Q98" s="79">
        <v>0</v>
      </c>
      <c r="T98" s="26"/>
    </row>
    <row r="99" spans="1:20" s="3" customFormat="1" ht="20.25" hidden="1" customHeight="1">
      <c r="A99" s="815"/>
      <c r="B99" s="818"/>
      <c r="C99" s="23" t="s">
        <v>2</v>
      </c>
      <c r="D99" s="74">
        <f t="shared" si="13"/>
        <v>3886000</v>
      </c>
      <c r="E99" s="79">
        <f t="shared" ref="E99:P99" si="27">E97+E98</f>
        <v>0</v>
      </c>
      <c r="F99" s="79">
        <f t="shared" si="27"/>
        <v>0</v>
      </c>
      <c r="G99" s="79">
        <f t="shared" si="27"/>
        <v>0</v>
      </c>
      <c r="H99" s="79">
        <f t="shared" si="27"/>
        <v>0</v>
      </c>
      <c r="I99" s="79">
        <f t="shared" si="27"/>
        <v>0</v>
      </c>
      <c r="J99" s="79">
        <f t="shared" si="27"/>
        <v>0</v>
      </c>
      <c r="K99" s="79">
        <f t="shared" si="27"/>
        <v>0</v>
      </c>
      <c r="L99" s="79">
        <f t="shared" si="27"/>
        <v>0</v>
      </c>
      <c r="M99" s="79">
        <f t="shared" si="27"/>
        <v>0</v>
      </c>
      <c r="N99" s="79">
        <f t="shared" si="27"/>
        <v>3886000</v>
      </c>
      <c r="O99" s="79">
        <f t="shared" si="27"/>
        <v>0</v>
      </c>
      <c r="P99" s="82">
        <f t="shared" si="27"/>
        <v>0</v>
      </c>
      <c r="Q99" s="79">
        <f>Q97+Q98</f>
        <v>0</v>
      </c>
      <c r="T99" s="26"/>
    </row>
    <row r="100" spans="1:20" s="3" customFormat="1" ht="6" hidden="1" customHeight="1">
      <c r="A100" s="58"/>
      <c r="B100" s="31"/>
      <c r="C100" s="27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4"/>
      <c r="T100" s="26"/>
    </row>
    <row r="101" spans="1:20" s="3" customFormat="1" ht="20.25" hidden="1" customHeight="1">
      <c r="A101" s="813" t="s">
        <v>65</v>
      </c>
      <c r="B101" s="816" t="s">
        <v>66</v>
      </c>
      <c r="C101" s="23" t="s">
        <v>0</v>
      </c>
      <c r="D101" s="74">
        <f>SUM(E101:Q101)</f>
        <v>3200787</v>
      </c>
      <c r="E101" s="84">
        <v>0</v>
      </c>
      <c r="F101" s="84">
        <v>1295187</v>
      </c>
      <c r="G101" s="90">
        <v>0</v>
      </c>
      <c r="H101" s="84">
        <v>0</v>
      </c>
      <c r="I101" s="85">
        <v>0</v>
      </c>
      <c r="J101" s="84">
        <v>0</v>
      </c>
      <c r="K101" s="86">
        <v>0</v>
      </c>
      <c r="L101" s="90">
        <v>372050</v>
      </c>
      <c r="M101" s="84">
        <v>0</v>
      </c>
      <c r="N101" s="84">
        <v>1253000</v>
      </c>
      <c r="O101" s="84">
        <v>0</v>
      </c>
      <c r="P101" s="85">
        <v>280550</v>
      </c>
      <c r="Q101" s="84">
        <v>0</v>
      </c>
      <c r="T101" s="26"/>
    </row>
    <row r="102" spans="1:20" s="3" customFormat="1" ht="20.25" hidden="1" customHeight="1">
      <c r="A102" s="814"/>
      <c r="B102" s="817"/>
      <c r="C102" s="23" t="s">
        <v>1</v>
      </c>
      <c r="D102" s="74">
        <f t="shared" si="13"/>
        <v>0</v>
      </c>
      <c r="E102" s="79">
        <v>0</v>
      </c>
      <c r="F102" s="79">
        <v>0</v>
      </c>
      <c r="G102" s="80">
        <v>0</v>
      </c>
      <c r="H102" s="79">
        <v>0</v>
      </c>
      <c r="I102" s="80">
        <v>0</v>
      </c>
      <c r="J102" s="79">
        <v>0</v>
      </c>
      <c r="K102" s="81">
        <v>0</v>
      </c>
      <c r="L102" s="82">
        <v>0</v>
      </c>
      <c r="M102" s="82">
        <v>0</v>
      </c>
      <c r="N102" s="79">
        <v>0</v>
      </c>
      <c r="O102" s="79">
        <v>0</v>
      </c>
      <c r="P102" s="80">
        <v>0</v>
      </c>
      <c r="Q102" s="79">
        <v>0</v>
      </c>
      <c r="T102" s="26"/>
    </row>
    <row r="103" spans="1:20" s="3" customFormat="1" ht="20.25" hidden="1" customHeight="1">
      <c r="A103" s="815"/>
      <c r="B103" s="818"/>
      <c r="C103" s="23" t="s">
        <v>2</v>
      </c>
      <c r="D103" s="74">
        <f t="shared" si="13"/>
        <v>3200787</v>
      </c>
      <c r="E103" s="79">
        <f t="shared" ref="E103:P103" si="28">E101+E102</f>
        <v>0</v>
      </c>
      <c r="F103" s="79">
        <f t="shared" si="28"/>
        <v>1295187</v>
      </c>
      <c r="G103" s="79">
        <f t="shared" si="28"/>
        <v>0</v>
      </c>
      <c r="H103" s="79">
        <f t="shared" si="28"/>
        <v>0</v>
      </c>
      <c r="I103" s="79">
        <f t="shared" si="28"/>
        <v>0</v>
      </c>
      <c r="J103" s="79">
        <f t="shared" si="28"/>
        <v>0</v>
      </c>
      <c r="K103" s="79">
        <f t="shared" si="28"/>
        <v>0</v>
      </c>
      <c r="L103" s="79">
        <f t="shared" si="28"/>
        <v>372050</v>
      </c>
      <c r="M103" s="79">
        <f t="shared" si="28"/>
        <v>0</v>
      </c>
      <c r="N103" s="79">
        <f t="shared" si="28"/>
        <v>1253000</v>
      </c>
      <c r="O103" s="79">
        <f t="shared" si="28"/>
        <v>0</v>
      </c>
      <c r="P103" s="82">
        <f t="shared" si="28"/>
        <v>280550</v>
      </c>
      <c r="Q103" s="79">
        <f>Q101+Q102</f>
        <v>0</v>
      </c>
      <c r="T103" s="26"/>
    </row>
    <row r="104" spans="1:20" s="3" customFormat="1" ht="6" hidden="1" customHeight="1">
      <c r="A104" s="33"/>
      <c r="B104" s="27"/>
      <c r="C104" s="27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4"/>
      <c r="T104" s="26"/>
    </row>
    <row r="105" spans="1:20" s="3" customFormat="1" ht="18.75" hidden="1" customHeight="1">
      <c r="A105" s="813" t="s">
        <v>67</v>
      </c>
      <c r="B105" s="816" t="s">
        <v>68</v>
      </c>
      <c r="C105" s="23" t="s">
        <v>0</v>
      </c>
      <c r="D105" s="74">
        <f>SUM(E105:Q105)</f>
        <v>5393546</v>
      </c>
      <c r="E105" s="84">
        <v>0</v>
      </c>
      <c r="F105" s="84">
        <v>0</v>
      </c>
      <c r="G105" s="90">
        <v>0</v>
      </c>
      <c r="H105" s="84">
        <v>0</v>
      </c>
      <c r="I105" s="85">
        <v>0</v>
      </c>
      <c r="J105" s="84">
        <v>0</v>
      </c>
      <c r="K105" s="86">
        <v>0</v>
      </c>
      <c r="L105" s="90">
        <v>0</v>
      </c>
      <c r="M105" s="84">
        <v>0</v>
      </c>
      <c r="N105" s="84">
        <v>0</v>
      </c>
      <c r="O105" s="84">
        <v>5393546</v>
      </c>
      <c r="P105" s="85">
        <v>0</v>
      </c>
      <c r="Q105" s="84">
        <v>0</v>
      </c>
      <c r="T105" s="26"/>
    </row>
    <row r="106" spans="1:20" s="3" customFormat="1" ht="18.75" hidden="1" customHeight="1">
      <c r="A106" s="814"/>
      <c r="B106" s="817"/>
      <c r="C106" s="23" t="s">
        <v>1</v>
      </c>
      <c r="D106" s="74">
        <f t="shared" si="13"/>
        <v>0</v>
      </c>
      <c r="E106" s="79">
        <v>0</v>
      </c>
      <c r="F106" s="79">
        <v>0</v>
      </c>
      <c r="G106" s="80">
        <v>0</v>
      </c>
      <c r="H106" s="79">
        <v>0</v>
      </c>
      <c r="I106" s="80">
        <v>0</v>
      </c>
      <c r="J106" s="79">
        <v>0</v>
      </c>
      <c r="K106" s="81">
        <v>0</v>
      </c>
      <c r="L106" s="82">
        <v>0</v>
      </c>
      <c r="M106" s="82">
        <v>0</v>
      </c>
      <c r="N106" s="79">
        <v>0</v>
      </c>
      <c r="O106" s="79">
        <v>0</v>
      </c>
      <c r="P106" s="80">
        <v>0</v>
      </c>
      <c r="Q106" s="79">
        <v>0</v>
      </c>
      <c r="T106" s="26"/>
    </row>
    <row r="107" spans="1:20" s="3" customFormat="1" ht="18.75" hidden="1" customHeight="1">
      <c r="A107" s="815"/>
      <c r="B107" s="818"/>
      <c r="C107" s="23" t="s">
        <v>2</v>
      </c>
      <c r="D107" s="74">
        <f t="shared" si="13"/>
        <v>5393546</v>
      </c>
      <c r="E107" s="79">
        <f t="shared" ref="E107:P107" si="29">E105+E106</f>
        <v>0</v>
      </c>
      <c r="F107" s="79">
        <f t="shared" si="29"/>
        <v>0</v>
      </c>
      <c r="G107" s="79">
        <f t="shared" si="29"/>
        <v>0</v>
      </c>
      <c r="H107" s="79">
        <f t="shared" si="29"/>
        <v>0</v>
      </c>
      <c r="I107" s="79">
        <f t="shared" si="29"/>
        <v>0</v>
      </c>
      <c r="J107" s="79">
        <f t="shared" si="29"/>
        <v>0</v>
      </c>
      <c r="K107" s="79">
        <f t="shared" si="29"/>
        <v>0</v>
      </c>
      <c r="L107" s="79">
        <f t="shared" si="29"/>
        <v>0</v>
      </c>
      <c r="M107" s="79">
        <f t="shared" si="29"/>
        <v>0</v>
      </c>
      <c r="N107" s="79">
        <f t="shared" si="29"/>
        <v>0</v>
      </c>
      <c r="O107" s="79">
        <f t="shared" si="29"/>
        <v>5393546</v>
      </c>
      <c r="P107" s="82">
        <f t="shared" si="29"/>
        <v>0</v>
      </c>
      <c r="Q107" s="79">
        <f>Q105+Q106</f>
        <v>0</v>
      </c>
      <c r="T107" s="26"/>
    </row>
    <row r="108" spans="1:20" s="3" customFormat="1" ht="5.0999999999999996" customHeight="1">
      <c r="A108" s="33"/>
      <c r="B108" s="27"/>
      <c r="C108" s="27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4"/>
      <c r="T108" s="26"/>
    </row>
    <row r="109" spans="1:20" s="3" customFormat="1" ht="19.5" customHeight="1">
      <c r="A109" s="813" t="s">
        <v>27</v>
      </c>
      <c r="B109" s="816" t="s">
        <v>69</v>
      </c>
      <c r="C109" s="23" t="s">
        <v>0</v>
      </c>
      <c r="D109" s="74">
        <f>SUM(E109:Q109)</f>
        <v>2575621</v>
      </c>
      <c r="E109" s="84">
        <v>0</v>
      </c>
      <c r="F109" s="84">
        <v>69314</v>
      </c>
      <c r="G109" s="90">
        <v>0</v>
      </c>
      <c r="H109" s="84">
        <v>0</v>
      </c>
      <c r="I109" s="86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2190000</v>
      </c>
      <c r="O109" s="84">
        <v>0</v>
      </c>
      <c r="P109" s="90">
        <v>316307</v>
      </c>
      <c r="Q109" s="84">
        <v>0</v>
      </c>
      <c r="T109" s="26"/>
    </row>
    <row r="110" spans="1:20" s="3" customFormat="1" ht="19.5" customHeight="1">
      <c r="A110" s="814"/>
      <c r="B110" s="817"/>
      <c r="C110" s="23" t="s">
        <v>1</v>
      </c>
      <c r="D110" s="74">
        <f t="shared" si="13"/>
        <v>136000</v>
      </c>
      <c r="E110" s="79">
        <v>0</v>
      </c>
      <c r="F110" s="79">
        <v>0</v>
      </c>
      <c r="G110" s="80">
        <v>0</v>
      </c>
      <c r="H110" s="79">
        <v>0</v>
      </c>
      <c r="I110" s="80">
        <v>0</v>
      </c>
      <c r="J110" s="79">
        <v>0</v>
      </c>
      <c r="K110" s="81">
        <v>0</v>
      </c>
      <c r="L110" s="82">
        <v>0</v>
      </c>
      <c r="M110" s="82">
        <v>0</v>
      </c>
      <c r="N110" s="79">
        <v>0</v>
      </c>
      <c r="O110" s="79">
        <v>0</v>
      </c>
      <c r="P110" s="80">
        <v>136000</v>
      </c>
      <c r="Q110" s="79">
        <v>0</v>
      </c>
      <c r="T110" s="26"/>
    </row>
    <row r="111" spans="1:20" s="3" customFormat="1" ht="19.5" customHeight="1">
      <c r="A111" s="815"/>
      <c r="B111" s="818"/>
      <c r="C111" s="23" t="s">
        <v>2</v>
      </c>
      <c r="D111" s="74">
        <f t="shared" si="13"/>
        <v>2711621</v>
      </c>
      <c r="E111" s="79">
        <f t="shared" ref="E111:P111" si="30">E109+E110</f>
        <v>0</v>
      </c>
      <c r="F111" s="79">
        <f t="shared" si="30"/>
        <v>69314</v>
      </c>
      <c r="G111" s="79">
        <f t="shared" si="30"/>
        <v>0</v>
      </c>
      <c r="H111" s="79">
        <f t="shared" si="30"/>
        <v>0</v>
      </c>
      <c r="I111" s="79">
        <f t="shared" si="30"/>
        <v>0</v>
      </c>
      <c r="J111" s="79">
        <f t="shared" si="30"/>
        <v>0</v>
      </c>
      <c r="K111" s="79">
        <f t="shared" si="30"/>
        <v>0</v>
      </c>
      <c r="L111" s="79">
        <f t="shared" si="30"/>
        <v>0</v>
      </c>
      <c r="M111" s="79">
        <f t="shared" si="30"/>
        <v>0</v>
      </c>
      <c r="N111" s="79">
        <f t="shared" si="30"/>
        <v>2190000</v>
      </c>
      <c r="O111" s="79">
        <f t="shared" si="30"/>
        <v>0</v>
      </c>
      <c r="P111" s="82">
        <f t="shared" si="30"/>
        <v>452307</v>
      </c>
      <c r="Q111" s="79">
        <f>Q109+Q110</f>
        <v>0</v>
      </c>
      <c r="T111" s="26"/>
    </row>
    <row r="112" spans="1:20" s="21" customFormat="1" ht="5.0999999999999996" customHeight="1">
      <c r="A112" s="132"/>
      <c r="B112" s="133"/>
      <c r="C112" s="27"/>
      <c r="D112" s="134"/>
      <c r="E112" s="135"/>
      <c r="F112" s="83"/>
      <c r="G112" s="83"/>
      <c r="H112" s="74"/>
      <c r="I112" s="83"/>
      <c r="J112" s="83"/>
      <c r="K112" s="136"/>
      <c r="L112" s="83"/>
      <c r="M112" s="83"/>
      <c r="N112" s="83"/>
      <c r="O112" s="83"/>
      <c r="P112" s="83"/>
      <c r="Q112" s="74"/>
      <c r="T112" s="22"/>
    </row>
    <row r="113" spans="1:20" s="19" customFormat="1" ht="20.25" customHeight="1">
      <c r="A113" s="826"/>
      <c r="B113" s="829" t="s">
        <v>22</v>
      </c>
      <c r="C113" s="63" t="s">
        <v>0</v>
      </c>
      <c r="D113" s="68">
        <f>SUM(E113:Q113)</f>
        <v>246737875</v>
      </c>
      <c r="E113" s="91">
        <f>E117+E121+E125+E129+E133+E137+E145+E149+E157+E153+E141</f>
        <v>0</v>
      </c>
      <c r="F113" s="91">
        <f t="shared" ref="F113:Q113" si="31">F117+F121+F125+F129+F133+F137+F145+F149+F157+F153+F141</f>
        <v>69500</v>
      </c>
      <c r="G113" s="91">
        <f t="shared" si="31"/>
        <v>150905553</v>
      </c>
      <c r="H113" s="91">
        <f t="shared" si="31"/>
        <v>85000</v>
      </c>
      <c r="I113" s="91">
        <f t="shared" si="31"/>
        <v>22306204</v>
      </c>
      <c r="J113" s="91">
        <f t="shared" si="31"/>
        <v>822930</v>
      </c>
      <c r="K113" s="91">
        <f t="shared" si="31"/>
        <v>0</v>
      </c>
      <c r="L113" s="91">
        <f t="shared" si="31"/>
        <v>0</v>
      </c>
      <c r="M113" s="91">
        <f t="shared" si="31"/>
        <v>0</v>
      </c>
      <c r="N113" s="91">
        <f t="shared" si="31"/>
        <v>0</v>
      </c>
      <c r="O113" s="91">
        <f t="shared" si="31"/>
        <v>37426048</v>
      </c>
      <c r="P113" s="91">
        <f t="shared" si="31"/>
        <v>35062788</v>
      </c>
      <c r="Q113" s="91">
        <f t="shared" si="31"/>
        <v>59852</v>
      </c>
      <c r="T113" s="20"/>
    </row>
    <row r="114" spans="1:20" s="19" customFormat="1" ht="20.25" customHeight="1">
      <c r="A114" s="827"/>
      <c r="B114" s="830"/>
      <c r="C114" s="63" t="s">
        <v>1</v>
      </c>
      <c r="D114" s="68">
        <f t="shared" ref="D114:D115" si="32">SUM(E114:Q114)</f>
        <v>16922428.399999999</v>
      </c>
      <c r="E114" s="91">
        <f t="shared" ref="E114:Q115" si="33">E118+E122+E126+E130+E134+E138+E146+E150+E158+E154+E142</f>
        <v>4276888</v>
      </c>
      <c r="F114" s="91">
        <f t="shared" si="33"/>
        <v>5441187</v>
      </c>
      <c r="G114" s="91">
        <f t="shared" si="33"/>
        <v>33104</v>
      </c>
      <c r="H114" s="91">
        <f t="shared" si="33"/>
        <v>0</v>
      </c>
      <c r="I114" s="91">
        <f t="shared" si="33"/>
        <v>-97987</v>
      </c>
      <c r="J114" s="91">
        <f t="shared" si="33"/>
        <v>76729</v>
      </c>
      <c r="K114" s="91">
        <f t="shared" si="33"/>
        <v>0</v>
      </c>
      <c r="L114" s="91">
        <f t="shared" si="33"/>
        <v>0</v>
      </c>
      <c r="M114" s="91">
        <f t="shared" si="33"/>
        <v>0</v>
      </c>
      <c r="N114" s="91">
        <f t="shared" si="33"/>
        <v>0</v>
      </c>
      <c r="O114" s="91">
        <f t="shared" si="33"/>
        <v>2561301</v>
      </c>
      <c r="P114" s="91">
        <f t="shared" si="33"/>
        <v>4691058.4000000004</v>
      </c>
      <c r="Q114" s="91">
        <f t="shared" si="33"/>
        <v>-59852</v>
      </c>
      <c r="T114" s="20"/>
    </row>
    <row r="115" spans="1:20" s="19" customFormat="1" ht="20.25" customHeight="1">
      <c r="A115" s="828"/>
      <c r="B115" s="831"/>
      <c r="C115" s="63" t="s">
        <v>2</v>
      </c>
      <c r="D115" s="68">
        <f t="shared" si="32"/>
        <v>263660303.40000001</v>
      </c>
      <c r="E115" s="68">
        <f t="shared" si="33"/>
        <v>4276888</v>
      </c>
      <c r="F115" s="68">
        <f t="shared" si="33"/>
        <v>5510687</v>
      </c>
      <c r="G115" s="68">
        <f t="shared" si="33"/>
        <v>150938657</v>
      </c>
      <c r="H115" s="68">
        <f t="shared" si="33"/>
        <v>85000</v>
      </c>
      <c r="I115" s="68">
        <f t="shared" si="33"/>
        <v>22208217</v>
      </c>
      <c r="J115" s="68">
        <f t="shared" si="33"/>
        <v>899659</v>
      </c>
      <c r="K115" s="68">
        <f t="shared" si="33"/>
        <v>0</v>
      </c>
      <c r="L115" s="68">
        <f t="shared" si="33"/>
        <v>0</v>
      </c>
      <c r="M115" s="68">
        <f t="shared" si="33"/>
        <v>0</v>
      </c>
      <c r="N115" s="68">
        <f t="shared" si="33"/>
        <v>0</v>
      </c>
      <c r="O115" s="68">
        <f t="shared" si="33"/>
        <v>39987349</v>
      </c>
      <c r="P115" s="68">
        <f t="shared" si="33"/>
        <v>39753846.399999999</v>
      </c>
      <c r="Q115" s="68">
        <f t="shared" si="33"/>
        <v>0</v>
      </c>
      <c r="T115" s="20"/>
    </row>
    <row r="116" spans="1:20" s="21" customFormat="1" ht="5.0999999999999996" customHeight="1">
      <c r="A116" s="59"/>
      <c r="B116" s="32"/>
      <c r="C116" s="32"/>
      <c r="D116" s="69"/>
      <c r="E116" s="70"/>
      <c r="F116" s="71"/>
      <c r="G116" s="71"/>
      <c r="H116" s="72"/>
      <c r="I116" s="71"/>
      <c r="J116" s="71"/>
      <c r="K116" s="73"/>
      <c r="L116" s="71"/>
      <c r="M116" s="71"/>
      <c r="N116" s="71"/>
      <c r="O116" s="71"/>
      <c r="P116" s="71"/>
      <c r="Q116" s="72"/>
      <c r="T116" s="22"/>
    </row>
    <row r="117" spans="1:20" s="19" customFormat="1" ht="20.25" hidden="1" customHeight="1">
      <c r="A117" s="825" t="s">
        <v>42</v>
      </c>
      <c r="B117" s="832" t="s">
        <v>18</v>
      </c>
      <c r="C117" s="23" t="s">
        <v>0</v>
      </c>
      <c r="D117" s="74">
        <f t="shared" ref="D117:D159" si="34">SUM(E117:Q117)</f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84">
        <v>0</v>
      </c>
      <c r="N117" s="75">
        <v>0</v>
      </c>
      <c r="O117" s="75">
        <v>0</v>
      </c>
      <c r="P117" s="76">
        <v>0</v>
      </c>
      <c r="Q117" s="75">
        <v>0</v>
      </c>
      <c r="T117" s="20"/>
    </row>
    <row r="118" spans="1:20" s="19" customFormat="1" ht="20.25" hidden="1" customHeight="1">
      <c r="A118" s="825"/>
      <c r="B118" s="832"/>
      <c r="C118" s="23" t="s">
        <v>1</v>
      </c>
      <c r="D118" s="74">
        <f t="shared" si="34"/>
        <v>0</v>
      </c>
      <c r="E118" s="79">
        <v>0</v>
      </c>
      <c r="F118" s="79">
        <v>0</v>
      </c>
      <c r="G118" s="80">
        <v>0</v>
      </c>
      <c r="H118" s="79">
        <v>0</v>
      </c>
      <c r="I118" s="80"/>
      <c r="J118" s="79">
        <v>0</v>
      </c>
      <c r="K118" s="81">
        <v>0</v>
      </c>
      <c r="L118" s="82">
        <v>0</v>
      </c>
      <c r="M118" s="82">
        <v>0</v>
      </c>
      <c r="N118" s="79">
        <v>0</v>
      </c>
      <c r="O118" s="79">
        <v>0</v>
      </c>
      <c r="P118" s="80">
        <v>0</v>
      </c>
      <c r="Q118" s="79">
        <v>0</v>
      </c>
      <c r="T118" s="20"/>
    </row>
    <row r="119" spans="1:20" s="19" customFormat="1" ht="20.25" hidden="1" customHeight="1">
      <c r="A119" s="825"/>
      <c r="B119" s="832"/>
      <c r="C119" s="23" t="s">
        <v>2</v>
      </c>
      <c r="D119" s="74">
        <f t="shared" si="34"/>
        <v>0</v>
      </c>
      <c r="E119" s="79">
        <f t="shared" ref="E119:P119" si="35">E117+E118</f>
        <v>0</v>
      </c>
      <c r="F119" s="79">
        <f t="shared" si="35"/>
        <v>0</v>
      </c>
      <c r="G119" s="79">
        <f t="shared" si="35"/>
        <v>0</v>
      </c>
      <c r="H119" s="79">
        <f t="shared" si="35"/>
        <v>0</v>
      </c>
      <c r="I119" s="79">
        <f t="shared" si="35"/>
        <v>0</v>
      </c>
      <c r="J119" s="79">
        <f t="shared" si="35"/>
        <v>0</v>
      </c>
      <c r="K119" s="79">
        <f t="shared" si="35"/>
        <v>0</v>
      </c>
      <c r="L119" s="79">
        <f t="shared" si="35"/>
        <v>0</v>
      </c>
      <c r="M119" s="79">
        <f t="shared" si="35"/>
        <v>0</v>
      </c>
      <c r="N119" s="79">
        <f t="shared" si="35"/>
        <v>0</v>
      </c>
      <c r="O119" s="79">
        <f t="shared" si="35"/>
        <v>0</v>
      </c>
      <c r="P119" s="82">
        <f t="shared" si="35"/>
        <v>0</v>
      </c>
      <c r="Q119" s="79">
        <f>Q117+Q118</f>
        <v>0</v>
      </c>
      <c r="T119" s="20"/>
    </row>
    <row r="120" spans="1:20" s="19" customFormat="1" ht="20.25" hidden="1" customHeight="1">
      <c r="A120" s="55"/>
      <c r="B120" s="24"/>
      <c r="C120" s="24"/>
      <c r="D120" s="69"/>
      <c r="E120" s="77"/>
      <c r="F120" s="77"/>
      <c r="G120" s="77"/>
      <c r="H120" s="77"/>
      <c r="I120" s="77"/>
      <c r="J120" s="77"/>
      <c r="K120" s="77"/>
      <c r="L120" s="77"/>
      <c r="M120" s="71"/>
      <c r="N120" s="77"/>
      <c r="O120" s="77"/>
      <c r="P120" s="77"/>
      <c r="Q120" s="75"/>
      <c r="T120" s="20"/>
    </row>
    <row r="121" spans="1:20" s="3" customFormat="1" ht="20.25" customHeight="1">
      <c r="A121" s="813" t="s">
        <v>45</v>
      </c>
      <c r="B121" s="816" t="s">
        <v>46</v>
      </c>
      <c r="C121" s="23" t="s">
        <v>0</v>
      </c>
      <c r="D121" s="74">
        <f t="shared" si="34"/>
        <v>45078629</v>
      </c>
      <c r="E121" s="84">
        <v>0</v>
      </c>
      <c r="F121" s="84">
        <v>60000</v>
      </c>
      <c r="G121" s="90">
        <v>0</v>
      </c>
      <c r="H121" s="84">
        <v>0</v>
      </c>
      <c r="I121" s="85">
        <v>0</v>
      </c>
      <c r="J121" s="84">
        <v>822930</v>
      </c>
      <c r="K121" s="85">
        <v>0</v>
      </c>
      <c r="L121" s="90">
        <v>0</v>
      </c>
      <c r="M121" s="84">
        <v>0</v>
      </c>
      <c r="N121" s="84">
        <v>0</v>
      </c>
      <c r="O121" s="84">
        <v>9167911</v>
      </c>
      <c r="P121" s="85">
        <v>35027788</v>
      </c>
      <c r="Q121" s="84">
        <v>0</v>
      </c>
      <c r="R121" s="66"/>
      <c r="T121" s="26"/>
    </row>
    <row r="122" spans="1:20" s="3" customFormat="1" ht="20.25" customHeight="1">
      <c r="A122" s="814"/>
      <c r="B122" s="817"/>
      <c r="C122" s="23" t="s">
        <v>1</v>
      </c>
      <c r="D122" s="74">
        <f t="shared" si="34"/>
        <v>7329088.4000000004</v>
      </c>
      <c r="E122" s="79">
        <v>0</v>
      </c>
      <c r="F122" s="79">
        <v>0</v>
      </c>
      <c r="G122" s="80">
        <v>0</v>
      </c>
      <c r="H122" s="79">
        <v>0</v>
      </c>
      <c r="I122" s="80">
        <v>0</v>
      </c>
      <c r="J122" s="79">
        <v>76729</v>
      </c>
      <c r="K122" s="81">
        <v>0</v>
      </c>
      <c r="L122" s="82">
        <v>0</v>
      </c>
      <c r="M122" s="82">
        <v>0</v>
      </c>
      <c r="N122" s="79">
        <v>0</v>
      </c>
      <c r="O122" s="79">
        <f>2561301</f>
        <v>2561301</v>
      </c>
      <c r="P122" s="80">
        <f>-58941.6+4750000</f>
        <v>4691058.4000000004</v>
      </c>
      <c r="Q122" s="79">
        <v>0</v>
      </c>
      <c r="T122" s="26"/>
    </row>
    <row r="123" spans="1:20" s="3" customFormat="1" ht="20.25" customHeight="1">
      <c r="A123" s="815"/>
      <c r="B123" s="818"/>
      <c r="C123" s="23" t="s">
        <v>2</v>
      </c>
      <c r="D123" s="74">
        <f t="shared" si="34"/>
        <v>52407717.399999999</v>
      </c>
      <c r="E123" s="79">
        <f t="shared" ref="E123:P123" si="36">E121+E122</f>
        <v>0</v>
      </c>
      <c r="F123" s="79">
        <f t="shared" si="36"/>
        <v>60000</v>
      </c>
      <c r="G123" s="79">
        <f t="shared" si="36"/>
        <v>0</v>
      </c>
      <c r="H123" s="79">
        <f t="shared" si="36"/>
        <v>0</v>
      </c>
      <c r="I123" s="79">
        <f t="shared" si="36"/>
        <v>0</v>
      </c>
      <c r="J123" s="79">
        <f t="shared" si="36"/>
        <v>899659</v>
      </c>
      <c r="K123" s="79">
        <f t="shared" si="36"/>
        <v>0</v>
      </c>
      <c r="L123" s="79">
        <f t="shared" si="36"/>
        <v>0</v>
      </c>
      <c r="M123" s="79">
        <f t="shared" si="36"/>
        <v>0</v>
      </c>
      <c r="N123" s="79">
        <f t="shared" si="36"/>
        <v>0</v>
      </c>
      <c r="O123" s="79">
        <f t="shared" si="36"/>
        <v>11729212</v>
      </c>
      <c r="P123" s="82">
        <f t="shared" si="36"/>
        <v>39718846.399999999</v>
      </c>
      <c r="Q123" s="79">
        <f>Q121+Q122</f>
        <v>0</v>
      </c>
      <c r="T123" s="26"/>
    </row>
    <row r="124" spans="1:20" s="3" customFormat="1" ht="5.0999999999999996" customHeight="1">
      <c r="A124" s="33"/>
      <c r="B124" s="27"/>
      <c r="C124" s="24"/>
      <c r="D124" s="69"/>
      <c r="E124" s="85"/>
      <c r="F124" s="85"/>
      <c r="G124" s="85"/>
      <c r="H124" s="85"/>
      <c r="I124" s="85"/>
      <c r="J124" s="85"/>
      <c r="K124" s="85"/>
      <c r="L124" s="85"/>
      <c r="M124" s="71"/>
      <c r="N124" s="85"/>
      <c r="O124" s="85"/>
      <c r="P124" s="85"/>
      <c r="Q124" s="84"/>
      <c r="T124" s="26"/>
    </row>
    <row r="125" spans="1:20" s="3" customFormat="1" ht="20.25" hidden="1" customHeight="1">
      <c r="A125" s="813" t="s">
        <v>47</v>
      </c>
      <c r="B125" s="801" t="s">
        <v>48</v>
      </c>
      <c r="C125" s="23" t="s">
        <v>0</v>
      </c>
      <c r="D125" s="74">
        <f t="shared" si="34"/>
        <v>9500</v>
      </c>
      <c r="E125" s="84">
        <v>0</v>
      </c>
      <c r="F125" s="84">
        <v>9500</v>
      </c>
      <c r="G125" s="90">
        <v>0</v>
      </c>
      <c r="H125" s="84">
        <v>0</v>
      </c>
      <c r="I125" s="86">
        <v>0</v>
      </c>
      <c r="J125" s="84">
        <v>0</v>
      </c>
      <c r="K125" s="86">
        <v>0</v>
      </c>
      <c r="L125" s="84">
        <v>0</v>
      </c>
      <c r="M125" s="84">
        <v>0</v>
      </c>
      <c r="N125" s="84">
        <v>0</v>
      </c>
      <c r="O125" s="84">
        <v>0</v>
      </c>
      <c r="P125" s="85">
        <v>0</v>
      </c>
      <c r="Q125" s="84">
        <v>0</v>
      </c>
      <c r="T125" s="26"/>
    </row>
    <row r="126" spans="1:20" s="3" customFormat="1" ht="20.25" hidden="1" customHeight="1">
      <c r="A126" s="814"/>
      <c r="B126" s="802"/>
      <c r="C126" s="23" t="s">
        <v>1</v>
      </c>
      <c r="D126" s="74">
        <f t="shared" si="34"/>
        <v>0</v>
      </c>
      <c r="E126" s="79">
        <v>0</v>
      </c>
      <c r="F126" s="79">
        <v>0</v>
      </c>
      <c r="G126" s="80">
        <v>0</v>
      </c>
      <c r="H126" s="79">
        <v>0</v>
      </c>
      <c r="I126" s="80">
        <v>0</v>
      </c>
      <c r="J126" s="79">
        <v>0</v>
      </c>
      <c r="K126" s="81">
        <v>0</v>
      </c>
      <c r="L126" s="82">
        <v>0</v>
      </c>
      <c r="M126" s="82">
        <v>0</v>
      </c>
      <c r="N126" s="79">
        <v>0</v>
      </c>
      <c r="O126" s="79">
        <v>0</v>
      </c>
      <c r="P126" s="80">
        <v>0</v>
      </c>
      <c r="Q126" s="79">
        <v>0</v>
      </c>
      <c r="T126" s="26"/>
    </row>
    <row r="127" spans="1:20" s="3" customFormat="1" ht="20.25" hidden="1" customHeight="1">
      <c r="A127" s="815"/>
      <c r="B127" s="803"/>
      <c r="C127" s="23" t="s">
        <v>2</v>
      </c>
      <c r="D127" s="74">
        <f t="shared" si="34"/>
        <v>9500</v>
      </c>
      <c r="E127" s="79">
        <f t="shared" ref="E127:P127" si="37">E125+E126</f>
        <v>0</v>
      </c>
      <c r="F127" s="79">
        <f t="shared" si="37"/>
        <v>9500</v>
      </c>
      <c r="G127" s="79">
        <f t="shared" si="37"/>
        <v>0</v>
      </c>
      <c r="H127" s="79">
        <f t="shared" si="37"/>
        <v>0</v>
      </c>
      <c r="I127" s="79">
        <f t="shared" si="37"/>
        <v>0</v>
      </c>
      <c r="J127" s="79">
        <f t="shared" si="37"/>
        <v>0</v>
      </c>
      <c r="K127" s="79">
        <f t="shared" si="37"/>
        <v>0</v>
      </c>
      <c r="L127" s="79">
        <f t="shared" si="37"/>
        <v>0</v>
      </c>
      <c r="M127" s="79">
        <f t="shared" si="37"/>
        <v>0</v>
      </c>
      <c r="N127" s="79">
        <f t="shared" si="37"/>
        <v>0</v>
      </c>
      <c r="O127" s="79">
        <f t="shared" si="37"/>
        <v>0</v>
      </c>
      <c r="P127" s="82">
        <f t="shared" si="37"/>
        <v>0</v>
      </c>
      <c r="Q127" s="79">
        <f>Q125+Q126</f>
        <v>0</v>
      </c>
      <c r="T127" s="26"/>
    </row>
    <row r="128" spans="1:20" s="3" customFormat="1" ht="9" hidden="1" customHeight="1">
      <c r="A128" s="33"/>
      <c r="B128" s="27"/>
      <c r="C128" s="24"/>
      <c r="D128" s="69"/>
      <c r="E128" s="85"/>
      <c r="F128" s="85"/>
      <c r="G128" s="85"/>
      <c r="H128" s="85"/>
      <c r="I128" s="85"/>
      <c r="J128" s="85"/>
      <c r="K128" s="85"/>
      <c r="L128" s="85"/>
      <c r="M128" s="71"/>
      <c r="N128" s="85"/>
      <c r="O128" s="85"/>
      <c r="P128" s="85"/>
      <c r="Q128" s="84"/>
      <c r="T128" s="26"/>
    </row>
    <row r="129" spans="1:20" s="3" customFormat="1" ht="20.25" hidden="1" customHeight="1">
      <c r="A129" s="813" t="s">
        <v>51</v>
      </c>
      <c r="B129" s="816" t="s">
        <v>52</v>
      </c>
      <c r="C129" s="23" t="s">
        <v>0</v>
      </c>
      <c r="D129" s="74">
        <f t="shared" si="34"/>
        <v>0</v>
      </c>
      <c r="E129" s="84">
        <v>0</v>
      </c>
      <c r="F129" s="84">
        <v>0</v>
      </c>
      <c r="G129" s="90">
        <v>0</v>
      </c>
      <c r="H129" s="84">
        <v>0</v>
      </c>
      <c r="I129" s="85">
        <v>0</v>
      </c>
      <c r="J129" s="84">
        <v>0</v>
      </c>
      <c r="K129" s="86">
        <v>0</v>
      </c>
      <c r="L129" s="90">
        <v>0</v>
      </c>
      <c r="M129" s="84">
        <v>0</v>
      </c>
      <c r="N129" s="84">
        <v>0</v>
      </c>
      <c r="O129" s="84">
        <v>0</v>
      </c>
      <c r="P129" s="85">
        <v>0</v>
      </c>
      <c r="Q129" s="84">
        <v>0</v>
      </c>
      <c r="T129" s="26"/>
    </row>
    <row r="130" spans="1:20" s="3" customFormat="1" ht="20.25" hidden="1" customHeight="1">
      <c r="A130" s="814"/>
      <c r="B130" s="817"/>
      <c r="C130" s="23" t="s">
        <v>1</v>
      </c>
      <c r="D130" s="74">
        <f t="shared" si="34"/>
        <v>0</v>
      </c>
      <c r="E130" s="79">
        <v>0</v>
      </c>
      <c r="F130" s="79">
        <v>0</v>
      </c>
      <c r="G130" s="80">
        <v>0</v>
      </c>
      <c r="H130" s="79">
        <v>0</v>
      </c>
      <c r="I130" s="80">
        <v>0</v>
      </c>
      <c r="J130" s="79">
        <v>0</v>
      </c>
      <c r="K130" s="81">
        <v>0</v>
      </c>
      <c r="L130" s="82">
        <v>0</v>
      </c>
      <c r="M130" s="82">
        <v>0</v>
      </c>
      <c r="N130" s="79">
        <v>0</v>
      </c>
      <c r="O130" s="79">
        <v>0</v>
      </c>
      <c r="P130" s="80">
        <v>0</v>
      </c>
      <c r="Q130" s="79">
        <v>0</v>
      </c>
      <c r="T130" s="26"/>
    </row>
    <row r="131" spans="1:20" s="3" customFormat="1" ht="20.25" hidden="1" customHeight="1">
      <c r="A131" s="815"/>
      <c r="B131" s="818"/>
      <c r="C131" s="23" t="s">
        <v>2</v>
      </c>
      <c r="D131" s="74">
        <f t="shared" si="34"/>
        <v>0</v>
      </c>
      <c r="E131" s="79">
        <f t="shared" ref="E131:P131" si="38">E129+E130</f>
        <v>0</v>
      </c>
      <c r="F131" s="79">
        <f t="shared" si="38"/>
        <v>0</v>
      </c>
      <c r="G131" s="79">
        <f t="shared" si="38"/>
        <v>0</v>
      </c>
      <c r="H131" s="79">
        <f t="shared" si="38"/>
        <v>0</v>
      </c>
      <c r="I131" s="79">
        <f t="shared" si="38"/>
        <v>0</v>
      </c>
      <c r="J131" s="79">
        <f t="shared" si="38"/>
        <v>0</v>
      </c>
      <c r="K131" s="79">
        <f t="shared" si="38"/>
        <v>0</v>
      </c>
      <c r="L131" s="79">
        <f t="shared" si="38"/>
        <v>0</v>
      </c>
      <c r="M131" s="79">
        <f t="shared" si="38"/>
        <v>0</v>
      </c>
      <c r="N131" s="79">
        <f t="shared" si="38"/>
        <v>0</v>
      </c>
      <c r="O131" s="79">
        <f t="shared" si="38"/>
        <v>0</v>
      </c>
      <c r="P131" s="82">
        <f t="shared" si="38"/>
        <v>0</v>
      </c>
      <c r="Q131" s="79">
        <f>Q129+Q130</f>
        <v>0</v>
      </c>
      <c r="T131" s="26"/>
    </row>
    <row r="132" spans="1:20" s="3" customFormat="1" ht="9" hidden="1" customHeight="1">
      <c r="A132" s="33"/>
      <c r="B132" s="27"/>
      <c r="C132" s="24"/>
      <c r="D132" s="69"/>
      <c r="E132" s="85"/>
      <c r="F132" s="85"/>
      <c r="G132" s="85"/>
      <c r="H132" s="85"/>
      <c r="I132" s="85"/>
      <c r="J132" s="85"/>
      <c r="K132" s="85"/>
      <c r="L132" s="85"/>
      <c r="M132" s="71"/>
      <c r="N132" s="85"/>
      <c r="O132" s="85"/>
      <c r="P132" s="85"/>
      <c r="Q132" s="84"/>
      <c r="T132" s="26"/>
    </row>
    <row r="133" spans="1:20" s="3" customFormat="1" ht="20.25" hidden="1" customHeight="1">
      <c r="A133" s="813" t="s">
        <v>53</v>
      </c>
      <c r="B133" s="816" t="s">
        <v>54</v>
      </c>
      <c r="C133" s="23" t="s">
        <v>0</v>
      </c>
      <c r="D133" s="74">
        <f t="shared" si="34"/>
        <v>0</v>
      </c>
      <c r="E133" s="84">
        <v>0</v>
      </c>
      <c r="F133" s="84">
        <v>0</v>
      </c>
      <c r="G133" s="90">
        <v>0</v>
      </c>
      <c r="H133" s="84">
        <v>0</v>
      </c>
      <c r="I133" s="86">
        <v>0</v>
      </c>
      <c r="J133" s="84">
        <v>0</v>
      </c>
      <c r="K133" s="86">
        <v>0</v>
      </c>
      <c r="L133" s="84">
        <v>0</v>
      </c>
      <c r="M133" s="84">
        <v>0</v>
      </c>
      <c r="N133" s="84">
        <v>0</v>
      </c>
      <c r="O133" s="84">
        <v>0</v>
      </c>
      <c r="P133" s="85">
        <v>0</v>
      </c>
      <c r="Q133" s="84">
        <v>0</v>
      </c>
      <c r="T133" s="26"/>
    </row>
    <row r="134" spans="1:20" s="3" customFormat="1" ht="20.25" hidden="1" customHeight="1">
      <c r="A134" s="814"/>
      <c r="B134" s="817"/>
      <c r="C134" s="23" t="s">
        <v>1</v>
      </c>
      <c r="D134" s="74">
        <f t="shared" si="34"/>
        <v>0</v>
      </c>
      <c r="E134" s="79">
        <v>0</v>
      </c>
      <c r="F134" s="79">
        <v>0</v>
      </c>
      <c r="G134" s="80">
        <v>0</v>
      </c>
      <c r="H134" s="79">
        <v>0</v>
      </c>
      <c r="I134" s="80">
        <v>0</v>
      </c>
      <c r="J134" s="79">
        <v>0</v>
      </c>
      <c r="K134" s="81">
        <v>0</v>
      </c>
      <c r="L134" s="82">
        <v>0</v>
      </c>
      <c r="M134" s="82">
        <v>0</v>
      </c>
      <c r="N134" s="79">
        <v>0</v>
      </c>
      <c r="O134" s="79">
        <v>0</v>
      </c>
      <c r="P134" s="80">
        <v>0</v>
      </c>
      <c r="Q134" s="79">
        <v>0</v>
      </c>
      <c r="T134" s="26"/>
    </row>
    <row r="135" spans="1:20" s="3" customFormat="1" ht="20.25" hidden="1" customHeight="1">
      <c r="A135" s="815"/>
      <c r="B135" s="818"/>
      <c r="C135" s="23" t="s">
        <v>2</v>
      </c>
      <c r="D135" s="74">
        <f t="shared" si="34"/>
        <v>0</v>
      </c>
      <c r="E135" s="79">
        <f t="shared" ref="E135:P135" si="39">E133+E134</f>
        <v>0</v>
      </c>
      <c r="F135" s="79">
        <f t="shared" si="39"/>
        <v>0</v>
      </c>
      <c r="G135" s="79">
        <f t="shared" si="39"/>
        <v>0</v>
      </c>
      <c r="H135" s="79">
        <f t="shared" si="39"/>
        <v>0</v>
      </c>
      <c r="I135" s="79">
        <f t="shared" si="39"/>
        <v>0</v>
      </c>
      <c r="J135" s="79">
        <f t="shared" si="39"/>
        <v>0</v>
      </c>
      <c r="K135" s="79">
        <f t="shared" si="39"/>
        <v>0</v>
      </c>
      <c r="L135" s="79">
        <f t="shared" si="39"/>
        <v>0</v>
      </c>
      <c r="M135" s="79">
        <f t="shared" si="39"/>
        <v>0</v>
      </c>
      <c r="N135" s="79">
        <f t="shared" si="39"/>
        <v>0</v>
      </c>
      <c r="O135" s="79">
        <f t="shared" si="39"/>
        <v>0</v>
      </c>
      <c r="P135" s="82">
        <f t="shared" si="39"/>
        <v>0</v>
      </c>
      <c r="Q135" s="79">
        <f>Q133+Q134</f>
        <v>0</v>
      </c>
      <c r="T135" s="26"/>
    </row>
    <row r="136" spans="1:20" s="3" customFormat="1" ht="20.25" hidden="1" customHeight="1">
      <c r="A136" s="33"/>
      <c r="B136" s="27"/>
      <c r="C136" s="24"/>
      <c r="D136" s="69"/>
      <c r="E136" s="85"/>
      <c r="F136" s="85"/>
      <c r="G136" s="85"/>
      <c r="H136" s="85"/>
      <c r="I136" s="85"/>
      <c r="J136" s="85"/>
      <c r="K136" s="85"/>
      <c r="L136" s="85"/>
      <c r="M136" s="71"/>
      <c r="N136" s="85"/>
      <c r="O136" s="85"/>
      <c r="P136" s="85"/>
      <c r="Q136" s="84"/>
      <c r="T136" s="26"/>
    </row>
    <row r="137" spans="1:20" s="3" customFormat="1" ht="20.25" customHeight="1">
      <c r="A137" s="813" t="s">
        <v>57</v>
      </c>
      <c r="B137" s="816" t="s">
        <v>58</v>
      </c>
      <c r="C137" s="23" t="s">
        <v>0</v>
      </c>
      <c r="D137" s="74">
        <f t="shared" si="34"/>
        <v>173296757</v>
      </c>
      <c r="E137" s="84">
        <v>0</v>
      </c>
      <c r="F137" s="84">
        <v>0</v>
      </c>
      <c r="G137" s="84">
        <v>150905553</v>
      </c>
      <c r="H137" s="90">
        <v>85000</v>
      </c>
      <c r="I137" s="84">
        <v>22306204</v>
      </c>
      <c r="J137" s="84">
        <v>0</v>
      </c>
      <c r="K137" s="86">
        <v>0</v>
      </c>
      <c r="L137" s="90">
        <v>0</v>
      </c>
      <c r="M137" s="84">
        <v>0</v>
      </c>
      <c r="N137" s="84">
        <v>0</v>
      </c>
      <c r="O137" s="84">
        <v>0</v>
      </c>
      <c r="P137" s="90">
        <v>0</v>
      </c>
      <c r="Q137" s="84">
        <v>0</v>
      </c>
      <c r="T137" s="26"/>
    </row>
    <row r="138" spans="1:20" s="3" customFormat="1" ht="20.25" customHeight="1">
      <c r="A138" s="814"/>
      <c r="B138" s="817"/>
      <c r="C138" s="23" t="s">
        <v>1</v>
      </c>
      <c r="D138" s="74">
        <f t="shared" si="34"/>
        <v>9653192</v>
      </c>
      <c r="E138" s="79">
        <v>4276888</v>
      </c>
      <c r="F138" s="79">
        <v>5441187</v>
      </c>
      <c r="G138" s="80">
        <f>33104</f>
        <v>33104</v>
      </c>
      <c r="H138" s="79">
        <v>0</v>
      </c>
      <c r="I138" s="80">
        <f>5656012+9725-110344-6032276+375000+3896</f>
        <v>-97987</v>
      </c>
      <c r="J138" s="79">
        <v>0</v>
      </c>
      <c r="K138" s="81">
        <v>0</v>
      </c>
      <c r="L138" s="82">
        <v>0</v>
      </c>
      <c r="M138" s="82">
        <v>0</v>
      </c>
      <c r="N138" s="79">
        <v>0</v>
      </c>
      <c r="O138" s="79">
        <v>0</v>
      </c>
      <c r="P138" s="80">
        <v>0</v>
      </c>
      <c r="Q138" s="79">
        <v>0</v>
      </c>
      <c r="T138" s="26"/>
    </row>
    <row r="139" spans="1:20" s="3" customFormat="1" ht="20.25" customHeight="1">
      <c r="A139" s="815"/>
      <c r="B139" s="818"/>
      <c r="C139" s="23" t="s">
        <v>2</v>
      </c>
      <c r="D139" s="74">
        <f t="shared" si="34"/>
        <v>182949949</v>
      </c>
      <c r="E139" s="79">
        <f t="shared" ref="E139:P139" si="40">E137+E138</f>
        <v>4276888</v>
      </c>
      <c r="F139" s="79">
        <f t="shared" si="40"/>
        <v>5441187</v>
      </c>
      <c r="G139" s="79">
        <f t="shared" si="40"/>
        <v>150938657</v>
      </c>
      <c r="H139" s="79">
        <f t="shared" si="40"/>
        <v>85000</v>
      </c>
      <c r="I139" s="79">
        <f t="shared" si="40"/>
        <v>22208217</v>
      </c>
      <c r="J139" s="79">
        <f t="shared" si="40"/>
        <v>0</v>
      </c>
      <c r="K139" s="79">
        <f t="shared" si="40"/>
        <v>0</v>
      </c>
      <c r="L139" s="79">
        <f t="shared" si="40"/>
        <v>0</v>
      </c>
      <c r="M139" s="79">
        <f t="shared" si="40"/>
        <v>0</v>
      </c>
      <c r="N139" s="79">
        <f t="shared" si="40"/>
        <v>0</v>
      </c>
      <c r="O139" s="79">
        <f t="shared" si="40"/>
        <v>0</v>
      </c>
      <c r="P139" s="82">
        <f t="shared" si="40"/>
        <v>0</v>
      </c>
      <c r="Q139" s="79">
        <f>Q137+Q138</f>
        <v>0</v>
      </c>
      <c r="R139" s="26"/>
      <c r="S139" s="26"/>
      <c r="T139" s="26"/>
    </row>
    <row r="140" spans="1:20" s="3" customFormat="1" ht="5.0999999999999996" customHeight="1">
      <c r="A140" s="33"/>
      <c r="B140" s="27"/>
      <c r="C140" s="24"/>
      <c r="D140" s="69"/>
      <c r="E140" s="85"/>
      <c r="F140" s="85"/>
      <c r="G140" s="85"/>
      <c r="H140" s="85"/>
      <c r="I140" s="85"/>
      <c r="J140" s="85"/>
      <c r="K140" s="85"/>
      <c r="L140" s="85"/>
      <c r="M140" s="71"/>
      <c r="N140" s="85"/>
      <c r="O140" s="85"/>
      <c r="P140" s="85"/>
      <c r="Q140" s="84"/>
      <c r="T140" s="26"/>
    </row>
    <row r="141" spans="1:20" s="3" customFormat="1" ht="20.25" customHeight="1">
      <c r="A141" s="813" t="s">
        <v>59</v>
      </c>
      <c r="B141" s="816" t="s">
        <v>60</v>
      </c>
      <c r="C141" s="23" t="s">
        <v>0</v>
      </c>
      <c r="D141" s="74">
        <f t="shared" ref="D141:D143" si="41">SUM(E141:Q141)</f>
        <v>59852</v>
      </c>
      <c r="E141" s="84">
        <v>0</v>
      </c>
      <c r="F141" s="84">
        <v>0</v>
      </c>
      <c r="G141" s="90">
        <v>0</v>
      </c>
      <c r="H141" s="84">
        <v>0</v>
      </c>
      <c r="I141" s="85">
        <v>0</v>
      </c>
      <c r="J141" s="84">
        <v>0</v>
      </c>
      <c r="K141" s="86">
        <v>0</v>
      </c>
      <c r="L141" s="90">
        <v>0</v>
      </c>
      <c r="M141" s="84">
        <v>0</v>
      </c>
      <c r="N141" s="84">
        <v>0</v>
      </c>
      <c r="O141" s="84">
        <v>0</v>
      </c>
      <c r="P141" s="85">
        <v>0</v>
      </c>
      <c r="Q141" s="84">
        <v>59852</v>
      </c>
      <c r="T141" s="26"/>
    </row>
    <row r="142" spans="1:20" s="3" customFormat="1" ht="20.25" customHeight="1">
      <c r="A142" s="814"/>
      <c r="B142" s="817"/>
      <c r="C142" s="23" t="s">
        <v>1</v>
      </c>
      <c r="D142" s="74">
        <f t="shared" si="41"/>
        <v>-59852</v>
      </c>
      <c r="E142" s="79">
        <v>0</v>
      </c>
      <c r="F142" s="79">
        <v>0</v>
      </c>
      <c r="G142" s="80">
        <v>0</v>
      </c>
      <c r="H142" s="79">
        <v>0</v>
      </c>
      <c r="I142" s="80">
        <v>0</v>
      </c>
      <c r="J142" s="75">
        <v>0</v>
      </c>
      <c r="K142" s="81">
        <v>0</v>
      </c>
      <c r="L142" s="82">
        <v>0</v>
      </c>
      <c r="M142" s="82">
        <v>0</v>
      </c>
      <c r="N142" s="79">
        <v>0</v>
      </c>
      <c r="O142" s="79">
        <v>0</v>
      </c>
      <c r="P142" s="80">
        <v>0</v>
      </c>
      <c r="Q142" s="79">
        <v>-59852</v>
      </c>
      <c r="T142" s="26"/>
    </row>
    <row r="143" spans="1:20" s="3" customFormat="1" ht="20.25" customHeight="1">
      <c r="A143" s="815"/>
      <c r="B143" s="818"/>
      <c r="C143" s="23" t="s">
        <v>2</v>
      </c>
      <c r="D143" s="74">
        <f t="shared" si="41"/>
        <v>0</v>
      </c>
      <c r="E143" s="79">
        <f t="shared" ref="E143:P143" si="42">E141+E142</f>
        <v>0</v>
      </c>
      <c r="F143" s="79">
        <f t="shared" si="42"/>
        <v>0</v>
      </c>
      <c r="G143" s="79">
        <f t="shared" si="42"/>
        <v>0</v>
      </c>
      <c r="H143" s="79">
        <f t="shared" si="42"/>
        <v>0</v>
      </c>
      <c r="I143" s="79">
        <f t="shared" si="42"/>
        <v>0</v>
      </c>
      <c r="J143" s="79">
        <f t="shared" si="42"/>
        <v>0</v>
      </c>
      <c r="K143" s="79">
        <f t="shared" si="42"/>
        <v>0</v>
      </c>
      <c r="L143" s="79">
        <f t="shared" si="42"/>
        <v>0</v>
      </c>
      <c r="M143" s="79">
        <f t="shared" si="42"/>
        <v>0</v>
      </c>
      <c r="N143" s="79">
        <f t="shared" si="42"/>
        <v>0</v>
      </c>
      <c r="O143" s="79">
        <f t="shared" si="42"/>
        <v>0</v>
      </c>
      <c r="P143" s="82">
        <f t="shared" si="42"/>
        <v>0</v>
      </c>
      <c r="Q143" s="79">
        <f>Q141+Q142</f>
        <v>0</v>
      </c>
      <c r="T143" s="26"/>
    </row>
    <row r="144" spans="1:20" s="3" customFormat="1" ht="8.25" hidden="1" customHeight="1">
      <c r="A144" s="33"/>
      <c r="B144" s="27"/>
      <c r="C144" s="24"/>
      <c r="D144" s="69"/>
      <c r="E144" s="85"/>
      <c r="F144" s="85"/>
      <c r="G144" s="85"/>
      <c r="H144" s="85"/>
      <c r="I144" s="85"/>
      <c r="J144" s="85"/>
      <c r="K144" s="85"/>
      <c r="L144" s="85"/>
      <c r="M144" s="71"/>
      <c r="N144" s="85"/>
      <c r="O144" s="85"/>
      <c r="P144" s="85"/>
      <c r="Q144" s="84"/>
      <c r="T144" s="26"/>
    </row>
    <row r="145" spans="1:20" s="3" customFormat="1" ht="20.25" hidden="1" customHeight="1">
      <c r="A145" s="813" t="s">
        <v>64</v>
      </c>
      <c r="B145" s="816" t="s">
        <v>21</v>
      </c>
      <c r="C145" s="23" t="s">
        <v>0</v>
      </c>
      <c r="D145" s="74">
        <f t="shared" si="34"/>
        <v>0</v>
      </c>
      <c r="E145" s="84">
        <v>0</v>
      </c>
      <c r="F145" s="84">
        <v>0</v>
      </c>
      <c r="G145" s="90">
        <v>0</v>
      </c>
      <c r="H145" s="84">
        <v>0</v>
      </c>
      <c r="I145" s="85">
        <v>0</v>
      </c>
      <c r="J145" s="84">
        <v>0</v>
      </c>
      <c r="K145" s="86">
        <v>0</v>
      </c>
      <c r="L145" s="90">
        <v>0</v>
      </c>
      <c r="M145" s="84">
        <v>0</v>
      </c>
      <c r="N145" s="84">
        <v>0</v>
      </c>
      <c r="O145" s="84">
        <v>0</v>
      </c>
      <c r="P145" s="85">
        <v>0</v>
      </c>
      <c r="Q145" s="84">
        <v>0</v>
      </c>
      <c r="T145" s="26"/>
    </row>
    <row r="146" spans="1:20" s="3" customFormat="1" ht="20.25" hidden="1" customHeight="1">
      <c r="A146" s="814"/>
      <c r="B146" s="817"/>
      <c r="C146" s="23" t="s">
        <v>1</v>
      </c>
      <c r="D146" s="74">
        <f t="shared" si="34"/>
        <v>0</v>
      </c>
      <c r="E146" s="79">
        <v>0</v>
      </c>
      <c r="F146" s="79">
        <v>0</v>
      </c>
      <c r="G146" s="80">
        <v>0</v>
      </c>
      <c r="H146" s="79">
        <v>0</v>
      </c>
      <c r="I146" s="80">
        <v>0</v>
      </c>
      <c r="J146" s="75">
        <v>0</v>
      </c>
      <c r="K146" s="81">
        <v>0</v>
      </c>
      <c r="L146" s="82">
        <v>0</v>
      </c>
      <c r="M146" s="82">
        <v>0</v>
      </c>
      <c r="N146" s="79">
        <v>0</v>
      </c>
      <c r="O146" s="79">
        <v>0</v>
      </c>
      <c r="P146" s="80">
        <v>0</v>
      </c>
      <c r="Q146" s="79">
        <v>0</v>
      </c>
      <c r="T146" s="26"/>
    </row>
    <row r="147" spans="1:20" s="3" customFormat="1" ht="20.25" hidden="1" customHeight="1">
      <c r="A147" s="815"/>
      <c r="B147" s="818"/>
      <c r="C147" s="23" t="s">
        <v>2</v>
      </c>
      <c r="D147" s="74">
        <f t="shared" si="34"/>
        <v>0</v>
      </c>
      <c r="E147" s="79">
        <f t="shared" ref="E147:P147" si="43">E145+E146</f>
        <v>0</v>
      </c>
      <c r="F147" s="79">
        <f t="shared" si="43"/>
        <v>0</v>
      </c>
      <c r="G147" s="79">
        <f t="shared" si="43"/>
        <v>0</v>
      </c>
      <c r="H147" s="79">
        <f t="shared" si="43"/>
        <v>0</v>
      </c>
      <c r="I147" s="79">
        <f t="shared" si="43"/>
        <v>0</v>
      </c>
      <c r="J147" s="79">
        <f t="shared" si="43"/>
        <v>0</v>
      </c>
      <c r="K147" s="79">
        <f t="shared" si="43"/>
        <v>0</v>
      </c>
      <c r="L147" s="79">
        <f t="shared" si="43"/>
        <v>0</v>
      </c>
      <c r="M147" s="79">
        <f t="shared" si="43"/>
        <v>0</v>
      </c>
      <c r="N147" s="79">
        <f t="shared" si="43"/>
        <v>0</v>
      </c>
      <c r="O147" s="79">
        <f t="shared" si="43"/>
        <v>0</v>
      </c>
      <c r="P147" s="82">
        <f t="shared" si="43"/>
        <v>0</v>
      </c>
      <c r="Q147" s="79">
        <f>Q145+Q146</f>
        <v>0</v>
      </c>
      <c r="T147" s="26"/>
    </row>
    <row r="148" spans="1:20" s="3" customFormat="1" ht="20.25" hidden="1" customHeight="1">
      <c r="A148" s="33"/>
      <c r="B148" s="27"/>
      <c r="C148" s="24"/>
      <c r="D148" s="69"/>
      <c r="E148" s="85"/>
      <c r="F148" s="85"/>
      <c r="G148" s="85"/>
      <c r="H148" s="85"/>
      <c r="I148" s="85"/>
      <c r="J148" s="85"/>
      <c r="K148" s="85"/>
      <c r="L148" s="85"/>
      <c r="M148" s="71"/>
      <c r="N148" s="85"/>
      <c r="O148" s="85"/>
      <c r="P148" s="85"/>
      <c r="Q148" s="84"/>
      <c r="T148" s="26"/>
    </row>
    <row r="149" spans="1:20" s="3" customFormat="1" ht="20.25" hidden="1" customHeight="1">
      <c r="A149" s="813" t="s">
        <v>65</v>
      </c>
      <c r="B149" s="816" t="s">
        <v>66</v>
      </c>
      <c r="C149" s="23" t="s">
        <v>0</v>
      </c>
      <c r="D149" s="74">
        <f t="shared" si="34"/>
        <v>0</v>
      </c>
      <c r="E149" s="84">
        <v>0</v>
      </c>
      <c r="F149" s="84">
        <v>0</v>
      </c>
      <c r="G149" s="90">
        <v>0</v>
      </c>
      <c r="H149" s="84">
        <v>0</v>
      </c>
      <c r="I149" s="85">
        <v>0</v>
      </c>
      <c r="J149" s="84">
        <v>0</v>
      </c>
      <c r="K149" s="86">
        <v>0</v>
      </c>
      <c r="L149" s="90">
        <v>0</v>
      </c>
      <c r="M149" s="84">
        <v>0</v>
      </c>
      <c r="N149" s="84">
        <v>0</v>
      </c>
      <c r="O149" s="84">
        <v>0</v>
      </c>
      <c r="P149" s="85">
        <v>0</v>
      </c>
      <c r="Q149" s="84">
        <v>0</v>
      </c>
      <c r="T149" s="26"/>
    </row>
    <row r="150" spans="1:20" s="3" customFormat="1" ht="20.25" hidden="1" customHeight="1">
      <c r="A150" s="814"/>
      <c r="B150" s="817"/>
      <c r="C150" s="23" t="s">
        <v>1</v>
      </c>
      <c r="D150" s="74">
        <f t="shared" si="34"/>
        <v>0</v>
      </c>
      <c r="E150" s="79">
        <v>0</v>
      </c>
      <c r="F150" s="79">
        <v>0</v>
      </c>
      <c r="G150" s="80">
        <v>0</v>
      </c>
      <c r="H150" s="79">
        <v>0</v>
      </c>
      <c r="I150" s="80">
        <v>0</v>
      </c>
      <c r="J150" s="79">
        <v>0</v>
      </c>
      <c r="K150" s="81">
        <v>0</v>
      </c>
      <c r="L150" s="82">
        <v>0</v>
      </c>
      <c r="M150" s="82">
        <v>0</v>
      </c>
      <c r="N150" s="79">
        <v>0</v>
      </c>
      <c r="O150" s="79">
        <v>0</v>
      </c>
      <c r="P150" s="80">
        <v>0</v>
      </c>
      <c r="Q150" s="79">
        <v>0</v>
      </c>
      <c r="T150" s="26"/>
    </row>
    <row r="151" spans="1:20" s="3" customFormat="1" ht="20.25" hidden="1" customHeight="1">
      <c r="A151" s="814"/>
      <c r="B151" s="817"/>
      <c r="C151" s="23" t="s">
        <v>2</v>
      </c>
      <c r="D151" s="74">
        <f t="shared" si="34"/>
        <v>0</v>
      </c>
      <c r="E151" s="79">
        <f t="shared" ref="E151:P151" si="44">E149+E150</f>
        <v>0</v>
      </c>
      <c r="F151" s="79">
        <f t="shared" si="44"/>
        <v>0</v>
      </c>
      <c r="G151" s="79">
        <f t="shared" si="44"/>
        <v>0</v>
      </c>
      <c r="H151" s="79">
        <f t="shared" si="44"/>
        <v>0</v>
      </c>
      <c r="I151" s="79">
        <f t="shared" si="44"/>
        <v>0</v>
      </c>
      <c r="J151" s="79">
        <f t="shared" si="44"/>
        <v>0</v>
      </c>
      <c r="K151" s="79">
        <f t="shared" si="44"/>
        <v>0</v>
      </c>
      <c r="L151" s="79">
        <f t="shared" si="44"/>
        <v>0</v>
      </c>
      <c r="M151" s="79">
        <f t="shared" si="44"/>
        <v>0</v>
      </c>
      <c r="N151" s="79">
        <f t="shared" si="44"/>
        <v>0</v>
      </c>
      <c r="O151" s="79">
        <f t="shared" si="44"/>
        <v>0</v>
      </c>
      <c r="P151" s="82">
        <f t="shared" si="44"/>
        <v>0</v>
      </c>
      <c r="Q151" s="79">
        <f>Q149+Q150</f>
        <v>0</v>
      </c>
      <c r="T151" s="26"/>
    </row>
    <row r="152" spans="1:20" s="3" customFormat="1" ht="10.5" hidden="1" customHeight="1">
      <c r="A152" s="33"/>
      <c r="B152" s="27"/>
      <c r="C152" s="24"/>
      <c r="D152" s="69"/>
      <c r="E152" s="85"/>
      <c r="F152" s="85"/>
      <c r="G152" s="85"/>
      <c r="H152" s="85"/>
      <c r="I152" s="85"/>
      <c r="J152" s="85"/>
      <c r="K152" s="85"/>
      <c r="L152" s="85"/>
      <c r="M152" s="71"/>
      <c r="N152" s="85"/>
      <c r="O152" s="85"/>
      <c r="P152" s="85"/>
      <c r="Q152" s="84"/>
      <c r="T152" s="26"/>
    </row>
    <row r="153" spans="1:20" s="3" customFormat="1" ht="20.25" hidden="1" customHeight="1">
      <c r="A153" s="813" t="s">
        <v>67</v>
      </c>
      <c r="B153" s="816" t="s">
        <v>68</v>
      </c>
      <c r="C153" s="23" t="s">
        <v>0</v>
      </c>
      <c r="D153" s="74">
        <f t="shared" si="34"/>
        <v>28258137</v>
      </c>
      <c r="E153" s="84">
        <v>0</v>
      </c>
      <c r="F153" s="84">
        <v>0</v>
      </c>
      <c r="G153" s="90">
        <v>0</v>
      </c>
      <c r="H153" s="84">
        <v>0</v>
      </c>
      <c r="I153" s="85">
        <v>0</v>
      </c>
      <c r="J153" s="84">
        <v>0</v>
      </c>
      <c r="K153" s="86">
        <v>0</v>
      </c>
      <c r="L153" s="90">
        <v>0</v>
      </c>
      <c r="M153" s="84">
        <v>0</v>
      </c>
      <c r="N153" s="84">
        <v>0</v>
      </c>
      <c r="O153" s="84">
        <v>28258137</v>
      </c>
      <c r="P153" s="85">
        <v>0</v>
      </c>
      <c r="Q153" s="84">
        <v>0</v>
      </c>
      <c r="T153" s="26"/>
    </row>
    <row r="154" spans="1:20" s="3" customFormat="1" ht="20.25" hidden="1" customHeight="1">
      <c r="A154" s="814"/>
      <c r="B154" s="817"/>
      <c r="C154" s="23" t="s">
        <v>1</v>
      </c>
      <c r="D154" s="74">
        <f t="shared" si="34"/>
        <v>0</v>
      </c>
      <c r="E154" s="79">
        <v>0</v>
      </c>
      <c r="F154" s="79">
        <v>0</v>
      </c>
      <c r="G154" s="80">
        <v>0</v>
      </c>
      <c r="H154" s="79">
        <v>0</v>
      </c>
      <c r="I154" s="80">
        <v>0</v>
      </c>
      <c r="J154" s="79">
        <v>0</v>
      </c>
      <c r="K154" s="81">
        <v>0</v>
      </c>
      <c r="L154" s="82">
        <v>0</v>
      </c>
      <c r="M154" s="82">
        <v>0</v>
      </c>
      <c r="N154" s="79">
        <v>0</v>
      </c>
      <c r="O154" s="79">
        <v>0</v>
      </c>
      <c r="P154" s="80">
        <v>0</v>
      </c>
      <c r="Q154" s="79">
        <v>0</v>
      </c>
      <c r="T154" s="26"/>
    </row>
    <row r="155" spans="1:20" s="3" customFormat="1" ht="20.25" hidden="1" customHeight="1">
      <c r="A155" s="815"/>
      <c r="B155" s="818"/>
      <c r="C155" s="23" t="s">
        <v>2</v>
      </c>
      <c r="D155" s="74">
        <f t="shared" si="34"/>
        <v>28258137</v>
      </c>
      <c r="E155" s="79">
        <f t="shared" ref="E155:P155" si="45">E153+E154</f>
        <v>0</v>
      </c>
      <c r="F155" s="79">
        <f t="shared" si="45"/>
        <v>0</v>
      </c>
      <c r="G155" s="79">
        <f t="shared" si="45"/>
        <v>0</v>
      </c>
      <c r="H155" s="79">
        <f t="shared" si="45"/>
        <v>0</v>
      </c>
      <c r="I155" s="79">
        <f t="shared" si="45"/>
        <v>0</v>
      </c>
      <c r="J155" s="79">
        <f t="shared" si="45"/>
        <v>0</v>
      </c>
      <c r="K155" s="79">
        <f t="shared" si="45"/>
        <v>0</v>
      </c>
      <c r="L155" s="79">
        <f t="shared" si="45"/>
        <v>0</v>
      </c>
      <c r="M155" s="79">
        <f t="shared" si="45"/>
        <v>0</v>
      </c>
      <c r="N155" s="79">
        <f t="shared" si="45"/>
        <v>0</v>
      </c>
      <c r="O155" s="79">
        <f t="shared" si="45"/>
        <v>28258137</v>
      </c>
      <c r="P155" s="82">
        <f t="shared" si="45"/>
        <v>0</v>
      </c>
      <c r="Q155" s="79">
        <f>Q153+Q154</f>
        <v>0</v>
      </c>
      <c r="T155" s="26"/>
    </row>
    <row r="156" spans="1:20" s="3" customFormat="1" ht="10.5" hidden="1" customHeight="1">
      <c r="A156" s="58"/>
      <c r="B156" s="31"/>
      <c r="C156" s="25"/>
      <c r="D156" s="69"/>
      <c r="E156" s="92"/>
      <c r="F156" s="92"/>
      <c r="G156" s="92"/>
      <c r="H156" s="92"/>
      <c r="I156" s="92"/>
      <c r="J156" s="92"/>
      <c r="K156" s="92"/>
      <c r="L156" s="92"/>
      <c r="M156" s="71"/>
      <c r="N156" s="92"/>
      <c r="O156" s="92"/>
      <c r="P156" s="92"/>
      <c r="Q156" s="93"/>
      <c r="T156" s="26"/>
    </row>
    <row r="157" spans="1:20" s="3" customFormat="1" ht="20.25" hidden="1" customHeight="1">
      <c r="A157" s="813" t="s">
        <v>27</v>
      </c>
      <c r="B157" s="816" t="s">
        <v>69</v>
      </c>
      <c r="C157" s="23" t="s">
        <v>0</v>
      </c>
      <c r="D157" s="74">
        <f t="shared" si="34"/>
        <v>35000</v>
      </c>
      <c r="E157" s="94">
        <v>0</v>
      </c>
      <c r="F157" s="94">
        <v>0</v>
      </c>
      <c r="G157" s="95">
        <v>0</v>
      </c>
      <c r="H157" s="94">
        <v>0</v>
      </c>
      <c r="I157" s="96">
        <v>0</v>
      </c>
      <c r="J157" s="94">
        <v>0</v>
      </c>
      <c r="K157" s="97">
        <v>0</v>
      </c>
      <c r="L157" s="95">
        <v>0</v>
      </c>
      <c r="M157" s="84">
        <v>0</v>
      </c>
      <c r="N157" s="94">
        <v>0</v>
      </c>
      <c r="O157" s="94">
        <v>0</v>
      </c>
      <c r="P157" s="96">
        <v>35000</v>
      </c>
      <c r="Q157" s="94">
        <v>0</v>
      </c>
      <c r="T157" s="26"/>
    </row>
    <row r="158" spans="1:20" s="3" customFormat="1" ht="20.25" hidden="1" customHeight="1">
      <c r="A158" s="814"/>
      <c r="B158" s="817"/>
      <c r="C158" s="23" t="s">
        <v>1</v>
      </c>
      <c r="D158" s="74">
        <f t="shared" si="34"/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75">
        <v>0</v>
      </c>
      <c r="M158" s="82">
        <v>0</v>
      </c>
      <c r="N158" s="75">
        <v>0</v>
      </c>
      <c r="O158" s="75">
        <v>0</v>
      </c>
      <c r="P158" s="76">
        <v>0</v>
      </c>
      <c r="Q158" s="75">
        <v>0</v>
      </c>
      <c r="T158" s="26"/>
    </row>
    <row r="159" spans="1:20" s="3" customFormat="1" ht="20.25" hidden="1" customHeight="1">
      <c r="A159" s="815"/>
      <c r="B159" s="818"/>
      <c r="C159" s="23" t="s">
        <v>2</v>
      </c>
      <c r="D159" s="74">
        <f t="shared" si="34"/>
        <v>35000</v>
      </c>
      <c r="E159" s="79">
        <f t="shared" ref="E159:P159" si="46">E157+E158</f>
        <v>0</v>
      </c>
      <c r="F159" s="79">
        <f t="shared" si="46"/>
        <v>0</v>
      </c>
      <c r="G159" s="79">
        <f t="shared" si="46"/>
        <v>0</v>
      </c>
      <c r="H159" s="79">
        <f t="shared" si="46"/>
        <v>0</v>
      </c>
      <c r="I159" s="79">
        <f t="shared" si="46"/>
        <v>0</v>
      </c>
      <c r="J159" s="79">
        <f t="shared" si="46"/>
        <v>0</v>
      </c>
      <c r="K159" s="79">
        <f t="shared" si="46"/>
        <v>0</v>
      </c>
      <c r="L159" s="79">
        <f t="shared" si="46"/>
        <v>0</v>
      </c>
      <c r="M159" s="79">
        <f t="shared" si="46"/>
        <v>0</v>
      </c>
      <c r="N159" s="79">
        <f t="shared" si="46"/>
        <v>0</v>
      </c>
      <c r="O159" s="79">
        <f t="shared" si="46"/>
        <v>0</v>
      </c>
      <c r="P159" s="82">
        <f t="shared" si="46"/>
        <v>35000</v>
      </c>
      <c r="Q159" s="79">
        <f>Q157+Q158</f>
        <v>0</v>
      </c>
      <c r="T159" s="26"/>
    </row>
    <row r="160" spans="1:20" s="3" customFormat="1" ht="5.0999999999999996" customHeight="1">
      <c r="A160" s="58"/>
      <c r="B160" s="31"/>
      <c r="C160" s="31"/>
      <c r="D160" s="98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4"/>
      <c r="T160" s="26"/>
    </row>
    <row r="161" spans="1:20" s="61" customFormat="1" ht="20.25" customHeight="1">
      <c r="A161" s="819" t="s">
        <v>23</v>
      </c>
      <c r="B161" s="820"/>
      <c r="C161" s="64" t="s">
        <v>0</v>
      </c>
      <c r="D161" s="99">
        <f t="shared" ref="D161:Q161" si="47">D13+D113</f>
        <v>1925208551.1099999</v>
      </c>
      <c r="E161" s="99">
        <f t="shared" si="47"/>
        <v>1354832671</v>
      </c>
      <c r="F161" s="99">
        <f t="shared" si="47"/>
        <v>22598867</v>
      </c>
      <c r="G161" s="99">
        <f t="shared" si="47"/>
        <v>244214342</v>
      </c>
      <c r="H161" s="99">
        <f t="shared" si="47"/>
        <v>65373001</v>
      </c>
      <c r="I161" s="99">
        <f t="shared" si="47"/>
        <v>38738625</v>
      </c>
      <c r="J161" s="99">
        <f t="shared" si="47"/>
        <v>822930</v>
      </c>
      <c r="K161" s="99">
        <f t="shared" si="47"/>
        <v>0</v>
      </c>
      <c r="L161" s="99">
        <f t="shared" si="47"/>
        <v>1835370</v>
      </c>
      <c r="M161" s="99">
        <f t="shared" si="47"/>
        <v>0</v>
      </c>
      <c r="N161" s="99">
        <f t="shared" si="47"/>
        <v>80112101.109999999</v>
      </c>
      <c r="O161" s="99">
        <f t="shared" si="47"/>
        <v>45518209</v>
      </c>
      <c r="P161" s="100">
        <f t="shared" si="47"/>
        <v>62197581</v>
      </c>
      <c r="Q161" s="99">
        <f t="shared" si="47"/>
        <v>8964854</v>
      </c>
      <c r="T161" s="62"/>
    </row>
    <row r="162" spans="1:20" ht="20.25" customHeight="1">
      <c r="A162" s="821"/>
      <c r="B162" s="822"/>
      <c r="C162" s="64" t="s">
        <v>1</v>
      </c>
      <c r="D162" s="99">
        <f>SUM(E162:Q162)</f>
        <v>9561175.3999999985</v>
      </c>
      <c r="E162" s="99">
        <f t="shared" ref="E162:Q162" si="48">E14+E114</f>
        <v>4276888</v>
      </c>
      <c r="F162" s="99">
        <f t="shared" si="48"/>
        <v>5878482</v>
      </c>
      <c r="G162" s="99">
        <f t="shared" si="48"/>
        <v>222006</v>
      </c>
      <c r="H162" s="99">
        <f t="shared" si="48"/>
        <v>326727</v>
      </c>
      <c r="I162" s="99">
        <f t="shared" si="48"/>
        <v>83168</v>
      </c>
      <c r="J162" s="99">
        <f t="shared" si="48"/>
        <v>76729</v>
      </c>
      <c r="K162" s="99">
        <f t="shared" si="48"/>
        <v>0</v>
      </c>
      <c r="L162" s="99">
        <f t="shared" si="48"/>
        <v>0</v>
      </c>
      <c r="M162" s="99">
        <f t="shared" si="48"/>
        <v>0</v>
      </c>
      <c r="N162" s="99">
        <f t="shared" si="48"/>
        <v>100000</v>
      </c>
      <c r="O162" s="99">
        <f t="shared" si="48"/>
        <v>2561301</v>
      </c>
      <c r="P162" s="100">
        <f t="shared" si="48"/>
        <v>5000728.4000000004</v>
      </c>
      <c r="Q162" s="99">
        <f t="shared" si="48"/>
        <v>-8964854</v>
      </c>
    </row>
    <row r="163" spans="1:20" ht="20.25" customHeight="1">
      <c r="A163" s="823"/>
      <c r="B163" s="824"/>
      <c r="C163" s="64" t="s">
        <v>2</v>
      </c>
      <c r="D163" s="99">
        <f>D161+D162</f>
        <v>1934769726.51</v>
      </c>
      <c r="E163" s="99">
        <f>E15+E115</f>
        <v>1359109559</v>
      </c>
      <c r="F163" s="99">
        <f t="shared" ref="F163:P163" si="49">F161+F162</f>
        <v>28477349</v>
      </c>
      <c r="G163" s="99">
        <f t="shared" si="49"/>
        <v>244436348</v>
      </c>
      <c r="H163" s="99">
        <f t="shared" si="49"/>
        <v>65699728</v>
      </c>
      <c r="I163" s="99">
        <f t="shared" si="49"/>
        <v>38821793</v>
      </c>
      <c r="J163" s="99">
        <f t="shared" si="49"/>
        <v>899659</v>
      </c>
      <c r="K163" s="99">
        <f t="shared" si="49"/>
        <v>0</v>
      </c>
      <c r="L163" s="99">
        <f t="shared" si="49"/>
        <v>1835370</v>
      </c>
      <c r="M163" s="99">
        <f>M161+M162</f>
        <v>0</v>
      </c>
      <c r="N163" s="99">
        <f t="shared" si="49"/>
        <v>80212101.109999999</v>
      </c>
      <c r="O163" s="99">
        <f t="shared" si="49"/>
        <v>48079510</v>
      </c>
      <c r="P163" s="100">
        <f t="shared" si="49"/>
        <v>67198309.400000006</v>
      </c>
      <c r="Q163" s="99">
        <f>Q161+Q162</f>
        <v>0</v>
      </c>
    </row>
    <row r="164" spans="1:20" ht="16.5" customHeight="1">
      <c r="A164" s="60" t="s">
        <v>99</v>
      </c>
      <c r="B164" s="34"/>
      <c r="C164" s="34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1:20" ht="15" customHeight="1">
      <c r="A165" s="35" t="s">
        <v>0</v>
      </c>
      <c r="B165" s="36" t="s">
        <v>116</v>
      </c>
      <c r="C165" s="37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20" ht="15" customHeight="1">
      <c r="A166" s="35" t="s">
        <v>1</v>
      </c>
      <c r="B166" s="36" t="s">
        <v>85</v>
      </c>
      <c r="C166" s="37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20" ht="15" customHeight="1">
      <c r="A167" s="35" t="s">
        <v>2</v>
      </c>
      <c r="B167" s="36" t="s">
        <v>86</v>
      </c>
      <c r="C167" s="37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</sheetData>
  <sheetProtection algorithmName="SHA-512" hashValue="nvGaaMugr4HWmJm+cLpoeTEMI1lBpOqNO7jW6KL7YjddLLuP1CcL0R8SivRvO2Qm0BJv/8VigPx2cnCiaw3dFA==" saltValue="J7KrUKMOZf47wCZYKIynPA==" spinCount="100000" sheet="1" objects="1" scenarios="1"/>
  <mergeCells count="96">
    <mergeCell ref="B49:B51"/>
    <mergeCell ref="A49:A51"/>
    <mergeCell ref="A57:A59"/>
    <mergeCell ref="B57:B59"/>
    <mergeCell ref="A65:A67"/>
    <mergeCell ref="B65:B67"/>
    <mergeCell ref="A53:A55"/>
    <mergeCell ref="B53:B55"/>
    <mergeCell ref="A5:Q5"/>
    <mergeCell ref="A153:A155"/>
    <mergeCell ref="B153:B155"/>
    <mergeCell ref="A97:A99"/>
    <mergeCell ref="B97:B99"/>
    <mergeCell ref="A25:A27"/>
    <mergeCell ref="B121:B123"/>
    <mergeCell ref="A121:A123"/>
    <mergeCell ref="B85:B87"/>
    <mergeCell ref="B61:B63"/>
    <mergeCell ref="B69:B71"/>
    <mergeCell ref="B73:B75"/>
    <mergeCell ref="B77:B79"/>
    <mergeCell ref="A85:A87"/>
    <mergeCell ref="B81:B83"/>
    <mergeCell ref="A101:A103"/>
    <mergeCell ref="B101:B103"/>
    <mergeCell ref="B105:B107"/>
    <mergeCell ref="A61:A63"/>
    <mergeCell ref="A73:A75"/>
    <mergeCell ref="A77:A79"/>
    <mergeCell ref="B89:B91"/>
    <mergeCell ref="A69:A71"/>
    <mergeCell ref="A81:A83"/>
    <mergeCell ref="A89:A91"/>
    <mergeCell ref="A93:A95"/>
    <mergeCell ref="B93:B95"/>
    <mergeCell ref="A117:A119"/>
    <mergeCell ref="A105:A107"/>
    <mergeCell ref="A113:A115"/>
    <mergeCell ref="B113:B115"/>
    <mergeCell ref="B117:B119"/>
    <mergeCell ref="A109:A111"/>
    <mergeCell ref="B109:B111"/>
    <mergeCell ref="A161:B163"/>
    <mergeCell ref="A149:A151"/>
    <mergeCell ref="B149:B151"/>
    <mergeCell ref="B157:B159"/>
    <mergeCell ref="A157:A159"/>
    <mergeCell ref="A137:A139"/>
    <mergeCell ref="B137:B139"/>
    <mergeCell ref="A145:A147"/>
    <mergeCell ref="B145:B147"/>
    <mergeCell ref="A125:A127"/>
    <mergeCell ref="A129:A131"/>
    <mergeCell ref="B129:B131"/>
    <mergeCell ref="B133:B135"/>
    <mergeCell ref="A133:A135"/>
    <mergeCell ref="B125:B127"/>
    <mergeCell ref="A141:A143"/>
    <mergeCell ref="B141:B143"/>
    <mergeCell ref="A37:A39"/>
    <mergeCell ref="B37:B39"/>
    <mergeCell ref="A45:A47"/>
    <mergeCell ref="A33:A35"/>
    <mergeCell ref="B33:B35"/>
    <mergeCell ref="A41:A43"/>
    <mergeCell ref="B41:B43"/>
    <mergeCell ref="B45:B47"/>
    <mergeCell ref="A29:A31"/>
    <mergeCell ref="B29:B31"/>
    <mergeCell ref="B25:B27"/>
    <mergeCell ref="A17:A19"/>
    <mergeCell ref="B17:B19"/>
    <mergeCell ref="G9:G10"/>
    <mergeCell ref="Q9:Q10"/>
    <mergeCell ref="A21:A23"/>
    <mergeCell ref="B21:B23"/>
    <mergeCell ref="B13:B15"/>
    <mergeCell ref="A13:A15"/>
    <mergeCell ref="M9:M10"/>
    <mergeCell ref="C7:C10"/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rowBreaks count="1" manualBreakCount="1">
    <brk id="187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D4E7-A85D-4C02-8AC8-7742F255D8E7}">
  <dimension ref="A1:N695"/>
  <sheetViews>
    <sheetView view="pageBreakPreview" topLeftCell="A539" zoomScaleNormal="75" zoomScaleSheetLayoutView="100" workbookViewId="0">
      <selection activeCell="E674" sqref="E674:F676"/>
    </sheetView>
  </sheetViews>
  <sheetFormatPr defaultColWidth="8" defaultRowHeight="15"/>
  <cols>
    <col min="1" max="1" width="2.25" style="540" customWidth="1"/>
    <col min="2" max="2" width="3.375" style="540" customWidth="1"/>
    <col min="3" max="3" width="3.5" style="540" customWidth="1"/>
    <col min="4" max="4" width="4.5" style="540" customWidth="1"/>
    <col min="5" max="5" width="9.625" style="542" customWidth="1"/>
    <col min="6" max="6" width="49.375" style="535" customWidth="1"/>
    <col min="7" max="7" width="1.75" style="535" customWidth="1"/>
    <col min="8" max="8" width="14.875" style="543" customWidth="1"/>
    <col min="9" max="12" width="14.875" style="544" customWidth="1"/>
    <col min="13" max="13" width="12.625" style="544" customWidth="1"/>
    <col min="14" max="14" width="14.875" style="544" customWidth="1"/>
    <col min="15" max="16384" width="8" style="537"/>
  </cols>
  <sheetData>
    <row r="1" spans="1:14" s="407" customFormat="1" ht="15" customHeight="1">
      <c r="D1" s="408"/>
      <c r="E1" s="409"/>
      <c r="F1" s="410"/>
      <c r="G1" s="411"/>
      <c r="H1" s="412"/>
      <c r="I1" s="410"/>
      <c r="J1" s="410"/>
      <c r="K1" s="410"/>
      <c r="L1" s="1159" t="s">
        <v>1265</v>
      </c>
      <c r="M1" s="1159"/>
      <c r="N1" s="1159"/>
    </row>
    <row r="2" spans="1:14" s="407" customFormat="1" ht="15" customHeight="1">
      <c r="C2" s="413" t="s">
        <v>966</v>
      </c>
      <c r="D2" s="413"/>
      <c r="E2" s="409"/>
      <c r="F2" s="410"/>
      <c r="G2" s="411"/>
      <c r="H2" s="412"/>
      <c r="I2" s="410"/>
      <c r="J2" s="414"/>
      <c r="K2" s="414"/>
      <c r="L2" s="410" t="s">
        <v>967</v>
      </c>
      <c r="M2" s="414"/>
      <c r="N2" s="414"/>
    </row>
    <row r="3" spans="1:14" s="407" customFormat="1" ht="2.25" customHeight="1">
      <c r="D3" s="413"/>
      <c r="E3" s="409"/>
      <c r="F3" s="410"/>
      <c r="G3" s="411"/>
      <c r="H3" s="412"/>
      <c r="I3" s="410"/>
      <c r="J3" s="414"/>
      <c r="K3" s="414"/>
      <c r="L3" s="410"/>
      <c r="M3" s="414"/>
      <c r="N3" s="414"/>
    </row>
    <row r="4" spans="1:14" s="407" customFormat="1" ht="32.25" customHeight="1">
      <c r="A4" s="1160" t="s">
        <v>1266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</row>
    <row r="5" spans="1:14" s="407" customFormat="1" ht="12" customHeight="1">
      <c r="A5" s="415"/>
      <c r="B5" s="415"/>
      <c r="C5" s="415"/>
      <c r="D5" s="415"/>
      <c r="E5" s="416"/>
      <c r="F5" s="414"/>
      <c r="G5" s="414"/>
      <c r="H5" s="417"/>
      <c r="I5" s="408"/>
      <c r="J5" s="408"/>
      <c r="K5" s="408"/>
      <c r="L5" s="408"/>
      <c r="M5" s="408"/>
      <c r="N5" s="408" t="s">
        <v>35</v>
      </c>
    </row>
    <row r="6" spans="1:14" s="420" customFormat="1" ht="30.75" customHeight="1">
      <c r="A6" s="1162" t="s">
        <v>968</v>
      </c>
      <c r="B6" s="1163"/>
      <c r="C6" s="1162" t="s">
        <v>337</v>
      </c>
      <c r="D6" s="1163"/>
      <c r="E6" s="1162" t="s">
        <v>969</v>
      </c>
      <c r="F6" s="1168"/>
      <c r="G6" s="1171" t="s">
        <v>99</v>
      </c>
      <c r="H6" s="1174" t="s">
        <v>38</v>
      </c>
      <c r="I6" s="1177" t="s">
        <v>970</v>
      </c>
      <c r="J6" s="1178"/>
      <c r="K6" s="1179"/>
      <c r="L6" s="1177" t="s">
        <v>971</v>
      </c>
      <c r="M6" s="1178"/>
      <c r="N6" s="1179"/>
    </row>
    <row r="7" spans="1:14" s="420" customFormat="1" ht="15.75" customHeight="1">
      <c r="A7" s="1164"/>
      <c r="B7" s="1165"/>
      <c r="C7" s="1164"/>
      <c r="D7" s="1165"/>
      <c r="E7" s="1169"/>
      <c r="F7" s="1170"/>
      <c r="G7" s="1172"/>
      <c r="H7" s="1175"/>
      <c r="I7" s="1155" t="s">
        <v>972</v>
      </c>
      <c r="J7" s="418" t="s">
        <v>165</v>
      </c>
      <c r="K7" s="419"/>
      <c r="L7" s="1155" t="s">
        <v>972</v>
      </c>
      <c r="M7" s="418" t="s">
        <v>165</v>
      </c>
      <c r="N7" s="419"/>
    </row>
    <row r="8" spans="1:14" s="420" customFormat="1" ht="30" customHeight="1">
      <c r="A8" s="1166"/>
      <c r="B8" s="1167"/>
      <c r="C8" s="1166"/>
      <c r="D8" s="1167"/>
      <c r="E8" s="421" t="s">
        <v>973</v>
      </c>
      <c r="F8" s="422"/>
      <c r="G8" s="1173"/>
      <c r="H8" s="1176"/>
      <c r="I8" s="1156"/>
      <c r="J8" s="419" t="s">
        <v>974</v>
      </c>
      <c r="K8" s="423" t="s">
        <v>975</v>
      </c>
      <c r="L8" s="1156"/>
      <c r="M8" s="419" t="s">
        <v>974</v>
      </c>
      <c r="N8" s="423" t="s">
        <v>975</v>
      </c>
    </row>
    <row r="9" spans="1:14" s="427" customFormat="1" ht="11.25">
      <c r="A9" s="1157">
        <v>1</v>
      </c>
      <c r="B9" s="1158"/>
      <c r="C9" s="1157">
        <v>2</v>
      </c>
      <c r="D9" s="1158"/>
      <c r="E9" s="424">
        <v>3</v>
      </c>
      <c r="F9" s="424">
        <v>4</v>
      </c>
      <c r="G9" s="425"/>
      <c r="H9" s="426">
        <v>5</v>
      </c>
      <c r="I9" s="426">
        <v>6</v>
      </c>
      <c r="J9" s="426">
        <v>7</v>
      </c>
      <c r="K9" s="426">
        <v>8</v>
      </c>
      <c r="L9" s="426">
        <v>9</v>
      </c>
      <c r="M9" s="426">
        <v>10</v>
      </c>
      <c r="N9" s="426">
        <v>11</v>
      </c>
    </row>
    <row r="10" spans="1:14" s="435" customFormat="1" ht="5.25" customHeight="1">
      <c r="A10" s="428"/>
      <c r="B10" s="429"/>
      <c r="C10" s="429"/>
      <c r="D10" s="429"/>
      <c r="E10" s="430"/>
      <c r="F10" s="430"/>
      <c r="G10" s="431"/>
      <c r="H10" s="432"/>
      <c r="I10" s="433"/>
      <c r="J10" s="433"/>
      <c r="K10" s="433"/>
      <c r="L10" s="433"/>
      <c r="M10" s="433"/>
      <c r="N10" s="434"/>
    </row>
    <row r="11" spans="1:14" s="439" customFormat="1" ht="17.100000000000001" customHeight="1">
      <c r="A11" s="1075" t="s">
        <v>176</v>
      </c>
      <c r="B11" s="1076"/>
      <c r="C11" s="1076"/>
      <c r="D11" s="1076"/>
      <c r="E11" s="1076"/>
      <c r="F11" s="1077"/>
      <c r="G11" s="436" t="s">
        <v>0</v>
      </c>
      <c r="H11" s="437">
        <f>I11+L11</f>
        <v>709349817</v>
      </c>
      <c r="I11" s="438">
        <f>J11+K11</f>
        <v>391607585</v>
      </c>
      <c r="J11" s="438">
        <f>J15+J35+J116</f>
        <v>205856264</v>
      </c>
      <c r="K11" s="438">
        <f>K15+K35+K116</f>
        <v>185751321</v>
      </c>
      <c r="L11" s="438">
        <f>M11+N11</f>
        <v>317742232</v>
      </c>
      <c r="M11" s="438">
        <f>M15+M35+M116</f>
        <v>1530259</v>
      </c>
      <c r="N11" s="438">
        <f>N15+N35+N116</f>
        <v>316211973</v>
      </c>
    </row>
    <row r="12" spans="1:14" s="439" customFormat="1" ht="17.100000000000001" customHeight="1">
      <c r="A12" s="1078"/>
      <c r="B12" s="1079"/>
      <c r="C12" s="1079"/>
      <c r="D12" s="1079"/>
      <c r="E12" s="1079"/>
      <c r="F12" s="1080"/>
      <c r="G12" s="436" t="s">
        <v>1</v>
      </c>
      <c r="H12" s="437">
        <f t="shared" ref="H12:H13" si="0">I12+L12</f>
        <v>26775890</v>
      </c>
      <c r="I12" s="438">
        <f t="shared" ref="I12:I13" si="1">J12+K12</f>
        <v>27047268</v>
      </c>
      <c r="J12" s="438">
        <f t="shared" ref="J12:K13" si="2">J16+J36+J117</f>
        <v>23014290</v>
      </c>
      <c r="K12" s="438">
        <f t="shared" si="2"/>
        <v>4032978</v>
      </c>
      <c r="L12" s="438">
        <f t="shared" ref="L12:L13" si="3">M12+N12</f>
        <v>-271378</v>
      </c>
      <c r="M12" s="438">
        <f t="shared" ref="M12:N13" si="4">M16+M36+M117</f>
        <v>96759</v>
      </c>
      <c r="N12" s="438">
        <f t="shared" si="4"/>
        <v>-368137</v>
      </c>
    </row>
    <row r="13" spans="1:14" s="439" customFormat="1" ht="17.100000000000001" customHeight="1">
      <c r="A13" s="1081"/>
      <c r="B13" s="1082"/>
      <c r="C13" s="1082"/>
      <c r="D13" s="1082"/>
      <c r="E13" s="1082"/>
      <c r="F13" s="1083"/>
      <c r="G13" s="436" t="s">
        <v>2</v>
      </c>
      <c r="H13" s="437">
        <f t="shared" si="0"/>
        <v>736125707</v>
      </c>
      <c r="I13" s="438">
        <f t="shared" si="1"/>
        <v>418654853</v>
      </c>
      <c r="J13" s="438">
        <f t="shared" si="2"/>
        <v>228870554</v>
      </c>
      <c r="K13" s="438">
        <f t="shared" si="2"/>
        <v>189784299</v>
      </c>
      <c r="L13" s="438">
        <f t="shared" si="3"/>
        <v>317470854</v>
      </c>
      <c r="M13" s="438">
        <f t="shared" si="4"/>
        <v>1627018</v>
      </c>
      <c r="N13" s="438">
        <f t="shared" si="4"/>
        <v>315843836</v>
      </c>
    </row>
    <row r="14" spans="1:14" s="441" customFormat="1" ht="5.25" customHeight="1">
      <c r="A14" s="440"/>
      <c r="E14" s="442"/>
      <c r="F14" s="443"/>
      <c r="G14" s="444"/>
      <c r="H14" s="445"/>
      <c r="I14" s="446"/>
      <c r="J14" s="446"/>
      <c r="K14" s="446"/>
      <c r="L14" s="446"/>
      <c r="M14" s="446"/>
      <c r="N14" s="447"/>
    </row>
    <row r="15" spans="1:14" s="450" customFormat="1" ht="15" customHeight="1">
      <c r="A15" s="1143" t="s">
        <v>976</v>
      </c>
      <c r="B15" s="1144"/>
      <c r="C15" s="1144"/>
      <c r="D15" s="1144"/>
      <c r="E15" s="1144"/>
      <c r="F15" s="1144"/>
      <c r="G15" s="448" t="s">
        <v>0</v>
      </c>
      <c r="H15" s="449">
        <f>I15+L15</f>
        <v>219871615</v>
      </c>
      <c r="I15" s="449">
        <f>J15+K15</f>
        <v>0</v>
      </c>
      <c r="J15" s="449">
        <f>J19+J22+J25+J28+J31</f>
        <v>0</v>
      </c>
      <c r="K15" s="449">
        <f>K19+K22+K25+K28+K31</f>
        <v>0</v>
      </c>
      <c r="L15" s="449">
        <f>M15+N15</f>
        <v>219871615</v>
      </c>
      <c r="M15" s="449">
        <f>M19+M22+M25+M28+M31</f>
        <v>0</v>
      </c>
      <c r="N15" s="449">
        <f>N19+N22+N25+N28+N31</f>
        <v>219871615</v>
      </c>
    </row>
    <row r="16" spans="1:14" s="450" customFormat="1" ht="15" customHeight="1">
      <c r="A16" s="1129"/>
      <c r="B16" s="1130"/>
      <c r="C16" s="1130"/>
      <c r="D16" s="1130"/>
      <c r="E16" s="1130"/>
      <c r="F16" s="1130"/>
      <c r="G16" s="448" t="s">
        <v>1</v>
      </c>
      <c r="H16" s="449">
        <f t="shared" ref="H16:H17" si="5">I16+L16</f>
        <v>0</v>
      </c>
      <c r="I16" s="449">
        <f t="shared" ref="I16:I17" si="6">J16+K16</f>
        <v>0</v>
      </c>
      <c r="J16" s="449">
        <f t="shared" ref="J16:K17" si="7">J20+J23+J26+J29+J32</f>
        <v>0</v>
      </c>
      <c r="K16" s="449">
        <f t="shared" si="7"/>
        <v>0</v>
      </c>
      <c r="L16" s="449">
        <f t="shared" ref="L16:L17" si="8">M16+N16</f>
        <v>0</v>
      </c>
      <c r="M16" s="449">
        <f t="shared" ref="M16:N17" si="9">M20+M23+M26+M29+M32</f>
        <v>0</v>
      </c>
      <c r="N16" s="449">
        <f t="shared" si="9"/>
        <v>0</v>
      </c>
    </row>
    <row r="17" spans="1:14" s="450" customFormat="1" ht="15" customHeight="1">
      <c r="A17" s="1132"/>
      <c r="B17" s="1133"/>
      <c r="C17" s="1133"/>
      <c r="D17" s="1133"/>
      <c r="E17" s="1133"/>
      <c r="F17" s="1133"/>
      <c r="G17" s="448" t="s">
        <v>2</v>
      </c>
      <c r="H17" s="449">
        <f t="shared" si="5"/>
        <v>219871615</v>
      </c>
      <c r="I17" s="449">
        <f t="shared" si="6"/>
        <v>0</v>
      </c>
      <c r="J17" s="449">
        <f t="shared" si="7"/>
        <v>0</v>
      </c>
      <c r="K17" s="449">
        <f t="shared" si="7"/>
        <v>0</v>
      </c>
      <c r="L17" s="449">
        <f t="shared" si="8"/>
        <v>219871615</v>
      </c>
      <c r="M17" s="449">
        <f t="shared" si="9"/>
        <v>0</v>
      </c>
      <c r="N17" s="449">
        <f t="shared" si="9"/>
        <v>219871615</v>
      </c>
    </row>
    <row r="18" spans="1:14" s="441" customFormat="1" ht="5.25" customHeight="1">
      <c r="A18" s="451"/>
      <c r="B18" s="452"/>
      <c r="C18" s="452"/>
      <c r="D18" s="452"/>
      <c r="E18" s="453"/>
      <c r="F18" s="453"/>
      <c r="G18" s="454"/>
      <c r="H18" s="455"/>
      <c r="I18" s="456"/>
      <c r="J18" s="456"/>
      <c r="K18" s="456"/>
      <c r="L18" s="456"/>
      <c r="M18" s="456"/>
      <c r="N18" s="457"/>
    </row>
    <row r="19" spans="1:14" s="460" customFormat="1" ht="15" hidden="1" customHeight="1">
      <c r="A19" s="1084" t="s">
        <v>45</v>
      </c>
      <c r="B19" s="1085"/>
      <c r="C19" s="1084" t="s">
        <v>195</v>
      </c>
      <c r="D19" s="1085"/>
      <c r="E19" s="1086" t="s">
        <v>977</v>
      </c>
      <c r="F19" s="1087"/>
      <c r="G19" s="458" t="s">
        <v>0</v>
      </c>
      <c r="H19" s="459">
        <f t="shared" ref="H19:H33" si="10">I19+L19</f>
        <v>66000000</v>
      </c>
      <c r="I19" s="459">
        <f t="shared" ref="I19:I33" si="11">J19+K19</f>
        <v>0</v>
      </c>
      <c r="J19" s="459">
        <v>0</v>
      </c>
      <c r="K19" s="459">
        <v>0</v>
      </c>
      <c r="L19" s="459">
        <f>M19+N19</f>
        <v>66000000</v>
      </c>
      <c r="M19" s="459">
        <v>0</v>
      </c>
      <c r="N19" s="459">
        <v>66000000</v>
      </c>
    </row>
    <row r="20" spans="1:14" s="460" customFormat="1" ht="15" hidden="1" customHeight="1">
      <c r="A20" s="1084"/>
      <c r="B20" s="1092"/>
      <c r="C20" s="1084"/>
      <c r="D20" s="1092"/>
      <c r="E20" s="1088"/>
      <c r="F20" s="1089"/>
      <c r="G20" s="458" t="s">
        <v>1</v>
      </c>
      <c r="H20" s="459">
        <f t="shared" si="10"/>
        <v>0</v>
      </c>
      <c r="I20" s="459">
        <f t="shared" si="11"/>
        <v>0</v>
      </c>
      <c r="J20" s="459">
        <v>0</v>
      </c>
      <c r="K20" s="459">
        <v>0</v>
      </c>
      <c r="L20" s="459">
        <f t="shared" ref="L20:L21" si="12">M20+N20</f>
        <v>0</v>
      </c>
      <c r="M20" s="459">
        <v>0</v>
      </c>
      <c r="N20" s="459">
        <v>0</v>
      </c>
    </row>
    <row r="21" spans="1:14" s="460" customFormat="1" ht="15" hidden="1" customHeight="1">
      <c r="A21" s="1084"/>
      <c r="B21" s="1092"/>
      <c r="C21" s="1084"/>
      <c r="D21" s="1092"/>
      <c r="E21" s="1090"/>
      <c r="F21" s="1091"/>
      <c r="G21" s="458" t="s">
        <v>2</v>
      </c>
      <c r="H21" s="459">
        <f t="shared" si="10"/>
        <v>66000000</v>
      </c>
      <c r="I21" s="459">
        <f t="shared" si="11"/>
        <v>0</v>
      </c>
      <c r="J21" s="459">
        <f>J19+J20</f>
        <v>0</v>
      </c>
      <c r="K21" s="459">
        <f>K19+K20</f>
        <v>0</v>
      </c>
      <c r="L21" s="459">
        <f t="shared" si="12"/>
        <v>66000000</v>
      </c>
      <c r="M21" s="459">
        <f>M19+M20</f>
        <v>0</v>
      </c>
      <c r="N21" s="459">
        <f>N19+N20</f>
        <v>66000000</v>
      </c>
    </row>
    <row r="22" spans="1:14" s="460" customFormat="1" ht="15" hidden="1" customHeight="1">
      <c r="A22" s="1084"/>
      <c r="B22" s="1085"/>
      <c r="C22" s="1084"/>
      <c r="D22" s="1085"/>
      <c r="E22" s="1086" t="s">
        <v>978</v>
      </c>
      <c r="F22" s="1087"/>
      <c r="G22" s="458" t="s">
        <v>0</v>
      </c>
      <c r="H22" s="459">
        <f t="shared" si="10"/>
        <v>42000000</v>
      </c>
      <c r="I22" s="459">
        <f t="shared" si="11"/>
        <v>0</v>
      </c>
      <c r="J22" s="459">
        <v>0</v>
      </c>
      <c r="K22" s="459">
        <v>0</v>
      </c>
      <c r="L22" s="459">
        <f>M22+N22</f>
        <v>42000000</v>
      </c>
      <c r="M22" s="459">
        <v>0</v>
      </c>
      <c r="N22" s="459">
        <v>42000000</v>
      </c>
    </row>
    <row r="23" spans="1:14" s="460" customFormat="1" ht="15" hidden="1" customHeight="1">
      <c r="A23" s="1084"/>
      <c r="B23" s="1092"/>
      <c r="C23" s="1084"/>
      <c r="D23" s="1092"/>
      <c r="E23" s="1088"/>
      <c r="F23" s="1089"/>
      <c r="G23" s="458" t="s">
        <v>1</v>
      </c>
      <c r="H23" s="459">
        <f t="shared" si="10"/>
        <v>0</v>
      </c>
      <c r="I23" s="459">
        <f t="shared" si="11"/>
        <v>0</v>
      </c>
      <c r="J23" s="459">
        <v>0</v>
      </c>
      <c r="K23" s="459">
        <v>0</v>
      </c>
      <c r="L23" s="459">
        <f t="shared" ref="L23:L33" si="13">M23+N23</f>
        <v>0</v>
      </c>
      <c r="M23" s="459">
        <v>0</v>
      </c>
      <c r="N23" s="459">
        <v>0</v>
      </c>
    </row>
    <row r="24" spans="1:14" s="460" customFormat="1" ht="15" hidden="1" customHeight="1">
      <c r="A24" s="1084"/>
      <c r="B24" s="1092"/>
      <c r="C24" s="1084"/>
      <c r="D24" s="1092"/>
      <c r="E24" s="1090"/>
      <c r="F24" s="1091"/>
      <c r="G24" s="458" t="s">
        <v>2</v>
      </c>
      <c r="H24" s="459">
        <f t="shared" si="10"/>
        <v>42000000</v>
      </c>
      <c r="I24" s="459">
        <f t="shared" si="11"/>
        <v>0</v>
      </c>
      <c r="J24" s="459">
        <f>J22+J23</f>
        <v>0</v>
      </c>
      <c r="K24" s="459">
        <f>K22+K23</f>
        <v>0</v>
      </c>
      <c r="L24" s="459">
        <f t="shared" si="13"/>
        <v>42000000</v>
      </c>
      <c r="M24" s="459">
        <f>M22+M23</f>
        <v>0</v>
      </c>
      <c r="N24" s="459">
        <f>N22+N23</f>
        <v>42000000</v>
      </c>
    </row>
    <row r="25" spans="1:14" s="460" customFormat="1" ht="15" customHeight="1">
      <c r="A25" s="1084" t="s">
        <v>45</v>
      </c>
      <c r="B25" s="1085"/>
      <c r="C25" s="1084" t="s">
        <v>195</v>
      </c>
      <c r="D25" s="1085"/>
      <c r="E25" s="1086" t="s">
        <v>979</v>
      </c>
      <c r="F25" s="1087"/>
      <c r="G25" s="458" t="s">
        <v>0</v>
      </c>
      <c r="H25" s="459">
        <f t="shared" si="10"/>
        <v>43000000</v>
      </c>
      <c r="I25" s="459">
        <f t="shared" si="11"/>
        <v>0</v>
      </c>
      <c r="J25" s="459">
        <v>0</v>
      </c>
      <c r="K25" s="459">
        <v>0</v>
      </c>
      <c r="L25" s="459">
        <f t="shared" si="13"/>
        <v>43000000</v>
      </c>
      <c r="M25" s="459">
        <v>0</v>
      </c>
      <c r="N25" s="459">
        <v>43000000</v>
      </c>
    </row>
    <row r="26" spans="1:14" s="460" customFormat="1" ht="15" customHeight="1">
      <c r="A26" s="1084"/>
      <c r="B26" s="1092"/>
      <c r="C26" s="1084"/>
      <c r="D26" s="1092"/>
      <c r="E26" s="1088"/>
      <c r="F26" s="1089"/>
      <c r="G26" s="458" t="s">
        <v>1</v>
      </c>
      <c r="H26" s="459">
        <f t="shared" si="10"/>
        <v>-500000</v>
      </c>
      <c r="I26" s="459">
        <f t="shared" si="11"/>
        <v>0</v>
      </c>
      <c r="J26" s="459">
        <v>0</v>
      </c>
      <c r="K26" s="459">
        <v>0</v>
      </c>
      <c r="L26" s="459">
        <f t="shared" si="13"/>
        <v>-500000</v>
      </c>
      <c r="M26" s="459">
        <v>0</v>
      </c>
      <c r="N26" s="459">
        <v>-500000</v>
      </c>
    </row>
    <row r="27" spans="1:14" s="460" customFormat="1" ht="15" customHeight="1">
      <c r="A27" s="1084"/>
      <c r="B27" s="1092"/>
      <c r="C27" s="1084"/>
      <c r="D27" s="1092"/>
      <c r="E27" s="1090"/>
      <c r="F27" s="1091"/>
      <c r="G27" s="458" t="s">
        <v>2</v>
      </c>
      <c r="H27" s="459">
        <f t="shared" si="10"/>
        <v>42500000</v>
      </c>
      <c r="I27" s="459">
        <f t="shared" si="11"/>
        <v>0</v>
      </c>
      <c r="J27" s="459">
        <f>J25+J26</f>
        <v>0</v>
      </c>
      <c r="K27" s="459">
        <f>K25+K26</f>
        <v>0</v>
      </c>
      <c r="L27" s="459">
        <f t="shared" si="13"/>
        <v>42500000</v>
      </c>
      <c r="M27" s="459">
        <f>M25+M26</f>
        <v>0</v>
      </c>
      <c r="N27" s="459">
        <f>N25+N26</f>
        <v>42500000</v>
      </c>
    </row>
    <row r="28" spans="1:14" s="460" customFormat="1" ht="15" customHeight="1">
      <c r="A28" s="1084"/>
      <c r="B28" s="1085"/>
      <c r="C28" s="1084"/>
      <c r="D28" s="1085"/>
      <c r="E28" s="1086" t="s">
        <v>980</v>
      </c>
      <c r="F28" s="1087"/>
      <c r="G28" s="458" t="s">
        <v>0</v>
      </c>
      <c r="H28" s="459">
        <f t="shared" si="10"/>
        <v>40164405</v>
      </c>
      <c r="I28" s="459">
        <f t="shared" si="11"/>
        <v>0</v>
      </c>
      <c r="J28" s="459">
        <v>0</v>
      </c>
      <c r="K28" s="459">
        <v>0</v>
      </c>
      <c r="L28" s="459">
        <f t="shared" si="13"/>
        <v>40164405</v>
      </c>
      <c r="M28" s="459">
        <v>0</v>
      </c>
      <c r="N28" s="459">
        <v>40164405</v>
      </c>
    </row>
    <row r="29" spans="1:14" s="460" customFormat="1" ht="15" customHeight="1">
      <c r="A29" s="1084"/>
      <c r="B29" s="1092"/>
      <c r="C29" s="1084"/>
      <c r="D29" s="1092"/>
      <c r="E29" s="1088"/>
      <c r="F29" s="1089"/>
      <c r="G29" s="458" t="s">
        <v>1</v>
      </c>
      <c r="H29" s="459">
        <f t="shared" si="10"/>
        <v>-500000</v>
      </c>
      <c r="I29" s="459">
        <f t="shared" si="11"/>
        <v>0</v>
      </c>
      <c r="J29" s="459">
        <v>0</v>
      </c>
      <c r="K29" s="459">
        <v>0</v>
      </c>
      <c r="L29" s="459">
        <f t="shared" si="13"/>
        <v>-500000</v>
      </c>
      <c r="M29" s="459">
        <v>0</v>
      </c>
      <c r="N29" s="459">
        <v>-500000</v>
      </c>
    </row>
    <row r="30" spans="1:14" s="460" customFormat="1" ht="15" customHeight="1">
      <c r="A30" s="1084"/>
      <c r="B30" s="1092"/>
      <c r="C30" s="1084"/>
      <c r="D30" s="1092"/>
      <c r="E30" s="1090"/>
      <c r="F30" s="1091"/>
      <c r="G30" s="458" t="s">
        <v>2</v>
      </c>
      <c r="H30" s="459">
        <f t="shared" si="10"/>
        <v>39664405</v>
      </c>
      <c r="I30" s="459">
        <f t="shared" si="11"/>
        <v>0</v>
      </c>
      <c r="J30" s="459">
        <f>J28+J29</f>
        <v>0</v>
      </c>
      <c r="K30" s="459">
        <f>K28+K29</f>
        <v>0</v>
      </c>
      <c r="L30" s="459">
        <f t="shared" si="13"/>
        <v>39664405</v>
      </c>
      <c r="M30" s="459">
        <f>M28+M29</f>
        <v>0</v>
      </c>
      <c r="N30" s="459">
        <f>N28+N29</f>
        <v>39664405</v>
      </c>
    </row>
    <row r="31" spans="1:14" s="460" customFormat="1" ht="15" customHeight="1">
      <c r="A31" s="1084"/>
      <c r="B31" s="1154"/>
      <c r="C31" s="1084"/>
      <c r="D31" s="1085"/>
      <c r="E31" s="1086" t="s">
        <v>981</v>
      </c>
      <c r="F31" s="1087"/>
      <c r="G31" s="458" t="s">
        <v>0</v>
      </c>
      <c r="H31" s="459">
        <f t="shared" si="10"/>
        <v>28707210</v>
      </c>
      <c r="I31" s="459">
        <f t="shared" si="11"/>
        <v>0</v>
      </c>
      <c r="J31" s="459">
        <v>0</v>
      </c>
      <c r="K31" s="459">
        <v>0</v>
      </c>
      <c r="L31" s="459">
        <f t="shared" si="13"/>
        <v>28707210</v>
      </c>
      <c r="M31" s="459">
        <v>0</v>
      </c>
      <c r="N31" s="459">
        <v>28707210</v>
      </c>
    </row>
    <row r="32" spans="1:14" s="460" customFormat="1" ht="15" customHeight="1">
      <c r="A32" s="1084"/>
      <c r="B32" s="1092"/>
      <c r="C32" s="1084"/>
      <c r="D32" s="1092"/>
      <c r="E32" s="1088"/>
      <c r="F32" s="1089"/>
      <c r="G32" s="458" t="s">
        <v>1</v>
      </c>
      <c r="H32" s="459">
        <f t="shared" si="10"/>
        <v>1000000</v>
      </c>
      <c r="I32" s="459">
        <f t="shared" si="11"/>
        <v>0</v>
      </c>
      <c r="J32" s="459">
        <v>0</v>
      </c>
      <c r="K32" s="459">
        <v>0</v>
      </c>
      <c r="L32" s="459">
        <f t="shared" si="13"/>
        <v>1000000</v>
      </c>
      <c r="M32" s="459">
        <v>0</v>
      </c>
      <c r="N32" s="459">
        <v>1000000</v>
      </c>
    </row>
    <row r="33" spans="1:14" s="460" customFormat="1" ht="15" customHeight="1">
      <c r="A33" s="1093"/>
      <c r="B33" s="1094"/>
      <c r="C33" s="1093"/>
      <c r="D33" s="1094"/>
      <c r="E33" s="1090"/>
      <c r="F33" s="1091"/>
      <c r="G33" s="458" t="s">
        <v>2</v>
      </c>
      <c r="H33" s="459">
        <f t="shared" si="10"/>
        <v>29707210</v>
      </c>
      <c r="I33" s="459">
        <f t="shared" si="11"/>
        <v>0</v>
      </c>
      <c r="J33" s="459">
        <f>J31+J32</f>
        <v>0</v>
      </c>
      <c r="K33" s="459">
        <f>K31+K32</f>
        <v>0</v>
      </c>
      <c r="L33" s="459">
        <f t="shared" si="13"/>
        <v>29707210</v>
      </c>
      <c r="M33" s="459">
        <f>M31+M32</f>
        <v>0</v>
      </c>
      <c r="N33" s="459">
        <f>N31+N32</f>
        <v>29707210</v>
      </c>
    </row>
    <row r="34" spans="1:14" s="441" customFormat="1" ht="5.25" customHeight="1">
      <c r="A34" s="461"/>
      <c r="B34" s="462"/>
      <c r="C34" s="462"/>
      <c r="D34" s="462"/>
      <c r="E34" s="463"/>
      <c r="F34" s="464"/>
      <c r="G34" s="465"/>
      <c r="H34" s="466"/>
      <c r="I34" s="467"/>
      <c r="J34" s="467"/>
      <c r="K34" s="467"/>
      <c r="L34" s="467"/>
      <c r="M34" s="467"/>
      <c r="N34" s="468"/>
    </row>
    <row r="35" spans="1:14" s="450" customFormat="1" ht="15" customHeight="1">
      <c r="A35" s="1143" t="s">
        <v>982</v>
      </c>
      <c r="B35" s="1144"/>
      <c r="C35" s="1144"/>
      <c r="D35" s="1144"/>
      <c r="E35" s="1144"/>
      <c r="F35" s="1144"/>
      <c r="G35" s="448" t="s">
        <v>0</v>
      </c>
      <c r="H35" s="469">
        <f>I35+L35</f>
        <v>144375453</v>
      </c>
      <c r="I35" s="469">
        <f>J35+K35</f>
        <v>144375453</v>
      </c>
      <c r="J35" s="469">
        <f>J39</f>
        <v>0</v>
      </c>
      <c r="K35" s="469">
        <f>K39</f>
        <v>144375453</v>
      </c>
      <c r="L35" s="469">
        <f>M35+N35</f>
        <v>0</v>
      </c>
      <c r="M35" s="469">
        <f>M39</f>
        <v>0</v>
      </c>
      <c r="N35" s="469">
        <f>N39</f>
        <v>0</v>
      </c>
    </row>
    <row r="36" spans="1:14" s="450" customFormat="1" ht="15" customHeight="1">
      <c r="A36" s="1129"/>
      <c r="B36" s="1130"/>
      <c r="C36" s="1130"/>
      <c r="D36" s="1130"/>
      <c r="E36" s="1130"/>
      <c r="F36" s="1130"/>
      <c r="G36" s="448" t="s">
        <v>1</v>
      </c>
      <c r="H36" s="469">
        <f t="shared" ref="H36:H37" si="14">I36+L36</f>
        <v>1901828</v>
      </c>
      <c r="I36" s="469">
        <f t="shared" ref="I36:I37" si="15">J36+K36</f>
        <v>1901828</v>
      </c>
      <c r="J36" s="469">
        <f t="shared" ref="J36:K37" si="16">J40</f>
        <v>0</v>
      </c>
      <c r="K36" s="469">
        <f t="shared" si="16"/>
        <v>1901828</v>
      </c>
      <c r="L36" s="469">
        <f t="shared" ref="L36:L37" si="17">M36+N36</f>
        <v>0</v>
      </c>
      <c r="M36" s="469">
        <f t="shared" ref="M36:N37" si="18">M40</f>
        <v>0</v>
      </c>
      <c r="N36" s="469">
        <f t="shared" si="18"/>
        <v>0</v>
      </c>
    </row>
    <row r="37" spans="1:14" s="450" customFormat="1" ht="15" customHeight="1">
      <c r="A37" s="1132"/>
      <c r="B37" s="1133"/>
      <c r="C37" s="1133"/>
      <c r="D37" s="1133"/>
      <c r="E37" s="1133"/>
      <c r="F37" s="1133"/>
      <c r="G37" s="448" t="s">
        <v>2</v>
      </c>
      <c r="H37" s="469">
        <f t="shared" si="14"/>
        <v>146277281</v>
      </c>
      <c r="I37" s="469">
        <f t="shared" si="15"/>
        <v>146277281</v>
      </c>
      <c r="J37" s="469">
        <f t="shared" si="16"/>
        <v>0</v>
      </c>
      <c r="K37" s="469">
        <f t="shared" si="16"/>
        <v>146277281</v>
      </c>
      <c r="L37" s="469">
        <f t="shared" si="17"/>
        <v>0</v>
      </c>
      <c r="M37" s="469">
        <f t="shared" si="18"/>
        <v>0</v>
      </c>
      <c r="N37" s="469">
        <f t="shared" si="18"/>
        <v>0</v>
      </c>
    </row>
    <row r="38" spans="1:14" s="441" customFormat="1" ht="5.25" customHeight="1">
      <c r="A38" s="451"/>
      <c r="B38" s="452"/>
      <c r="C38" s="452"/>
      <c r="D38" s="452"/>
      <c r="E38" s="453"/>
      <c r="F38" s="453"/>
      <c r="G38" s="454"/>
      <c r="H38" s="455"/>
      <c r="I38" s="456"/>
      <c r="J38" s="456"/>
      <c r="K38" s="456"/>
      <c r="L38" s="456"/>
      <c r="M38" s="456"/>
      <c r="N38" s="457"/>
    </row>
    <row r="39" spans="1:14" s="472" customFormat="1" ht="15" customHeight="1">
      <c r="A39" s="1126" t="s">
        <v>983</v>
      </c>
      <c r="B39" s="1127"/>
      <c r="C39" s="1127"/>
      <c r="D39" s="1127"/>
      <c r="E39" s="1127"/>
      <c r="F39" s="1128"/>
      <c r="G39" s="470" t="s">
        <v>0</v>
      </c>
      <c r="H39" s="471">
        <f>I39+L39</f>
        <v>144375453</v>
      </c>
      <c r="I39" s="471">
        <f>J39+K39</f>
        <v>144375453</v>
      </c>
      <c r="J39" s="471">
        <f>J43+J46+J49+J52+J55+J58+J61+J64+J67+J76+J79+J82+J85+J88+J97+J106+J109+J112</f>
        <v>0</v>
      </c>
      <c r="K39" s="471">
        <f>K43+K46+K49+K52+K55+K58+K61+K64+K67+K76+K79+K82+K85+K88+K97+K106+K109+K112</f>
        <v>144375453</v>
      </c>
      <c r="L39" s="471">
        <f>M39+N39</f>
        <v>0</v>
      </c>
      <c r="M39" s="471">
        <f>M43+M46+M49+M52+M55+M58+M61+M64+M67+M76+M79+M82+M85+M88+M97+M106+M109+M112</f>
        <v>0</v>
      </c>
      <c r="N39" s="471">
        <f>N43+N46+N49+N52+N55+N58+N61+N64+N67+N76+N79+N82+N85+N88+N97+N106+N109+N112</f>
        <v>0</v>
      </c>
    </row>
    <row r="40" spans="1:14" s="472" customFormat="1" ht="15" customHeight="1">
      <c r="A40" s="1129"/>
      <c r="B40" s="1130"/>
      <c r="C40" s="1130"/>
      <c r="D40" s="1130"/>
      <c r="E40" s="1130"/>
      <c r="F40" s="1131"/>
      <c r="G40" s="470" t="s">
        <v>1</v>
      </c>
      <c r="H40" s="471">
        <f t="shared" ref="H40:H41" si="19">I40+L40</f>
        <v>1901828</v>
      </c>
      <c r="I40" s="471">
        <f t="shared" ref="I40:I41" si="20">J40+K40</f>
        <v>1901828</v>
      </c>
      <c r="J40" s="471">
        <f t="shared" ref="J40:K41" si="21">J44+J47+J50+J53+J56+J59+J62+J65+J68+J77+J80+J83+J86+J89+J98+J107+J110+J113</f>
        <v>0</v>
      </c>
      <c r="K40" s="471">
        <f t="shared" si="21"/>
        <v>1901828</v>
      </c>
      <c r="L40" s="471">
        <f t="shared" ref="L40:L41" si="22">M40+N40</f>
        <v>0</v>
      </c>
      <c r="M40" s="471">
        <f t="shared" ref="M40:N41" si="23">M44+M47+M50+M53+M56+M59+M62+M65+M68+M77+M80+M83+M86+M89+M98+M107+M110+M113</f>
        <v>0</v>
      </c>
      <c r="N40" s="471">
        <f t="shared" si="23"/>
        <v>0</v>
      </c>
    </row>
    <row r="41" spans="1:14" s="472" customFormat="1" ht="15" customHeight="1">
      <c r="A41" s="1132"/>
      <c r="B41" s="1133"/>
      <c r="C41" s="1133"/>
      <c r="D41" s="1133"/>
      <c r="E41" s="1133"/>
      <c r="F41" s="1134"/>
      <c r="G41" s="470" t="s">
        <v>2</v>
      </c>
      <c r="H41" s="471">
        <f t="shared" si="19"/>
        <v>146277281</v>
      </c>
      <c r="I41" s="471">
        <f t="shared" si="20"/>
        <v>146277281</v>
      </c>
      <c r="J41" s="471">
        <f t="shared" si="21"/>
        <v>0</v>
      </c>
      <c r="K41" s="471">
        <f t="shared" si="21"/>
        <v>146277281</v>
      </c>
      <c r="L41" s="471">
        <f t="shared" si="22"/>
        <v>0</v>
      </c>
      <c r="M41" s="471">
        <f t="shared" si="23"/>
        <v>0</v>
      </c>
      <c r="N41" s="471">
        <f t="shared" si="23"/>
        <v>0</v>
      </c>
    </row>
    <row r="42" spans="1:14" s="479" customFormat="1" ht="5.25" customHeight="1">
      <c r="A42" s="473"/>
      <c r="B42" s="474"/>
      <c r="C42" s="474"/>
      <c r="D42" s="474"/>
      <c r="E42" s="474"/>
      <c r="F42" s="474"/>
      <c r="G42" s="475"/>
      <c r="H42" s="476"/>
      <c r="I42" s="477"/>
      <c r="J42" s="477"/>
      <c r="K42" s="477"/>
      <c r="L42" s="477"/>
      <c r="M42" s="477"/>
      <c r="N42" s="478"/>
    </row>
    <row r="43" spans="1:14" s="407" customFormat="1" ht="15" hidden="1" customHeight="1">
      <c r="A43" s="1097" t="s">
        <v>67</v>
      </c>
      <c r="B43" s="1098"/>
      <c r="C43" s="1097" t="s">
        <v>475</v>
      </c>
      <c r="D43" s="1098"/>
      <c r="E43" s="1086" t="s">
        <v>984</v>
      </c>
      <c r="F43" s="1087"/>
      <c r="G43" s="458" t="s">
        <v>0</v>
      </c>
      <c r="H43" s="459">
        <f t="shared" ref="H43:H112" si="24">I43+L43</f>
        <v>12727000</v>
      </c>
      <c r="I43" s="459">
        <f t="shared" ref="I43:I112" si="25">J43+K43</f>
        <v>12727000</v>
      </c>
      <c r="J43" s="459">
        <v>0</v>
      </c>
      <c r="K43" s="459">
        <v>12727000</v>
      </c>
      <c r="L43" s="459">
        <f t="shared" ref="L43:L69" si="26">M43+N43</f>
        <v>0</v>
      </c>
      <c r="M43" s="459">
        <v>0</v>
      </c>
      <c r="N43" s="459">
        <v>0</v>
      </c>
    </row>
    <row r="44" spans="1:14" s="407" customFormat="1" ht="15" hidden="1" customHeight="1">
      <c r="A44" s="1095"/>
      <c r="B44" s="1092"/>
      <c r="C44" s="1095"/>
      <c r="D44" s="1092"/>
      <c r="E44" s="1088"/>
      <c r="F44" s="1089"/>
      <c r="G44" s="458" t="s">
        <v>1</v>
      </c>
      <c r="H44" s="459">
        <f t="shared" si="24"/>
        <v>0</v>
      </c>
      <c r="I44" s="459">
        <f t="shared" si="25"/>
        <v>0</v>
      </c>
      <c r="J44" s="459">
        <v>0</v>
      </c>
      <c r="K44" s="459">
        <v>0</v>
      </c>
      <c r="L44" s="459">
        <f t="shared" si="26"/>
        <v>0</v>
      </c>
      <c r="M44" s="459">
        <v>0</v>
      </c>
      <c r="N44" s="459">
        <v>0</v>
      </c>
    </row>
    <row r="45" spans="1:14" s="407" customFormat="1" ht="15" hidden="1" customHeight="1">
      <c r="A45" s="1095"/>
      <c r="B45" s="1092"/>
      <c r="C45" s="1095"/>
      <c r="D45" s="1092"/>
      <c r="E45" s="1090"/>
      <c r="F45" s="1091"/>
      <c r="G45" s="458" t="s">
        <v>2</v>
      </c>
      <c r="H45" s="459">
        <f t="shared" si="24"/>
        <v>12727000</v>
      </c>
      <c r="I45" s="459">
        <f t="shared" si="25"/>
        <v>12727000</v>
      </c>
      <c r="J45" s="459">
        <f>J43+J44</f>
        <v>0</v>
      </c>
      <c r="K45" s="459">
        <f>K43+K44</f>
        <v>12727000</v>
      </c>
      <c r="L45" s="459">
        <f t="shared" si="26"/>
        <v>0</v>
      </c>
      <c r="M45" s="459">
        <f>M43+M44</f>
        <v>0</v>
      </c>
      <c r="N45" s="459">
        <f>N43+N44</f>
        <v>0</v>
      </c>
    </row>
    <row r="46" spans="1:14" s="407" customFormat="1" ht="15" hidden="1" customHeight="1">
      <c r="A46" s="1095"/>
      <c r="B46" s="1096"/>
      <c r="C46" s="1095"/>
      <c r="D46" s="1096"/>
      <c r="E46" s="1086" t="s">
        <v>985</v>
      </c>
      <c r="F46" s="1087"/>
      <c r="G46" s="458" t="s">
        <v>0</v>
      </c>
      <c r="H46" s="459">
        <f t="shared" si="24"/>
        <v>32492000</v>
      </c>
      <c r="I46" s="459">
        <f t="shared" si="25"/>
        <v>32492000</v>
      </c>
      <c r="J46" s="459">
        <v>0</v>
      </c>
      <c r="K46" s="459">
        <v>32492000</v>
      </c>
      <c r="L46" s="459">
        <f t="shared" si="26"/>
        <v>0</v>
      </c>
      <c r="M46" s="459">
        <v>0</v>
      </c>
      <c r="N46" s="459">
        <v>0</v>
      </c>
    </row>
    <row r="47" spans="1:14" s="407" customFormat="1" ht="15" hidden="1" customHeight="1">
      <c r="A47" s="1095"/>
      <c r="B47" s="1092"/>
      <c r="C47" s="1095"/>
      <c r="D47" s="1123"/>
      <c r="E47" s="1088"/>
      <c r="F47" s="1089"/>
      <c r="G47" s="458" t="s">
        <v>1</v>
      </c>
      <c r="H47" s="459">
        <f t="shared" si="24"/>
        <v>0</v>
      </c>
      <c r="I47" s="459">
        <f t="shared" si="25"/>
        <v>0</v>
      </c>
      <c r="J47" s="459">
        <v>0</v>
      </c>
      <c r="K47" s="459">
        <v>0</v>
      </c>
      <c r="L47" s="459">
        <f t="shared" si="26"/>
        <v>0</v>
      </c>
      <c r="M47" s="459">
        <v>0</v>
      </c>
      <c r="N47" s="459">
        <v>0</v>
      </c>
    </row>
    <row r="48" spans="1:14" s="407" customFormat="1" ht="15" hidden="1" customHeight="1">
      <c r="A48" s="1095"/>
      <c r="B48" s="1123"/>
      <c r="C48" s="1095"/>
      <c r="D48" s="1123"/>
      <c r="E48" s="1090"/>
      <c r="F48" s="1091"/>
      <c r="G48" s="458" t="s">
        <v>2</v>
      </c>
      <c r="H48" s="459">
        <f t="shared" si="24"/>
        <v>32492000</v>
      </c>
      <c r="I48" s="459">
        <f t="shared" si="25"/>
        <v>32492000</v>
      </c>
      <c r="J48" s="459">
        <f>J46+J47</f>
        <v>0</v>
      </c>
      <c r="K48" s="459">
        <f>K46+K47</f>
        <v>32492000</v>
      </c>
      <c r="L48" s="459">
        <f t="shared" si="26"/>
        <v>0</v>
      </c>
      <c r="M48" s="459">
        <f>M46+M47</f>
        <v>0</v>
      </c>
      <c r="N48" s="459">
        <f>N46+N47</f>
        <v>0</v>
      </c>
    </row>
    <row r="49" spans="1:14" s="407" customFormat="1" ht="15" customHeight="1">
      <c r="A49" s="1095" t="s">
        <v>67</v>
      </c>
      <c r="B49" s="1096"/>
      <c r="C49" s="1097" t="s">
        <v>475</v>
      </c>
      <c r="D49" s="1098"/>
      <c r="E49" s="1086" t="s">
        <v>986</v>
      </c>
      <c r="F49" s="1087"/>
      <c r="G49" s="458" t="s">
        <v>0</v>
      </c>
      <c r="H49" s="459">
        <f t="shared" si="24"/>
        <v>4230000</v>
      </c>
      <c r="I49" s="459">
        <f t="shared" si="25"/>
        <v>4230000</v>
      </c>
      <c r="J49" s="459">
        <v>0</v>
      </c>
      <c r="K49" s="459">
        <v>4230000</v>
      </c>
      <c r="L49" s="459">
        <f t="shared" si="26"/>
        <v>0</v>
      </c>
      <c r="M49" s="459">
        <v>0</v>
      </c>
      <c r="N49" s="459">
        <v>0</v>
      </c>
    </row>
    <row r="50" spans="1:14" s="407" customFormat="1" ht="15" customHeight="1">
      <c r="A50" s="1095"/>
      <c r="B50" s="1092"/>
      <c r="C50" s="1095"/>
      <c r="D50" s="1092"/>
      <c r="E50" s="1088"/>
      <c r="F50" s="1089"/>
      <c r="G50" s="458" t="s">
        <v>1</v>
      </c>
      <c r="H50" s="459">
        <f t="shared" si="24"/>
        <v>500000</v>
      </c>
      <c r="I50" s="459">
        <f t="shared" si="25"/>
        <v>500000</v>
      </c>
      <c r="J50" s="459">
        <v>0</v>
      </c>
      <c r="K50" s="459">
        <v>500000</v>
      </c>
      <c r="L50" s="459">
        <f t="shared" si="26"/>
        <v>0</v>
      </c>
      <c r="M50" s="459">
        <v>0</v>
      </c>
      <c r="N50" s="459">
        <v>0</v>
      </c>
    </row>
    <row r="51" spans="1:14" s="407" customFormat="1" ht="15" customHeight="1">
      <c r="A51" s="1095"/>
      <c r="B51" s="1092"/>
      <c r="C51" s="1101"/>
      <c r="D51" s="1094"/>
      <c r="E51" s="1090"/>
      <c r="F51" s="1091"/>
      <c r="G51" s="458" t="s">
        <v>2</v>
      </c>
      <c r="H51" s="459">
        <f t="shared" si="24"/>
        <v>4730000</v>
      </c>
      <c r="I51" s="459">
        <f t="shared" si="25"/>
        <v>4730000</v>
      </c>
      <c r="J51" s="459">
        <f>J49+J50</f>
        <v>0</v>
      </c>
      <c r="K51" s="459">
        <f>K49+K50</f>
        <v>4730000</v>
      </c>
      <c r="L51" s="459">
        <f t="shared" si="26"/>
        <v>0</v>
      </c>
      <c r="M51" s="459">
        <f>M49+M50</f>
        <v>0</v>
      </c>
      <c r="N51" s="459">
        <f>N49+N50</f>
        <v>0</v>
      </c>
    </row>
    <row r="52" spans="1:14" s="407" customFormat="1" ht="15" hidden="1" customHeight="1">
      <c r="A52" s="1095"/>
      <c r="B52" s="1096"/>
      <c r="C52" s="1097" t="s">
        <v>613</v>
      </c>
      <c r="D52" s="1098"/>
      <c r="E52" s="1086" t="s">
        <v>987</v>
      </c>
      <c r="F52" s="1087"/>
      <c r="G52" s="458" t="s">
        <v>0</v>
      </c>
      <c r="H52" s="459">
        <f t="shared" si="24"/>
        <v>16216000</v>
      </c>
      <c r="I52" s="459">
        <f t="shared" si="25"/>
        <v>16216000</v>
      </c>
      <c r="J52" s="459">
        <v>0</v>
      </c>
      <c r="K52" s="459">
        <v>16216000</v>
      </c>
      <c r="L52" s="459">
        <f t="shared" si="26"/>
        <v>0</v>
      </c>
      <c r="M52" s="459">
        <v>0</v>
      </c>
      <c r="N52" s="459">
        <v>0</v>
      </c>
    </row>
    <row r="53" spans="1:14" s="407" customFormat="1" ht="15" hidden="1" customHeight="1">
      <c r="A53" s="1095"/>
      <c r="B53" s="1092"/>
      <c r="C53" s="1095"/>
      <c r="D53" s="1092"/>
      <c r="E53" s="1088"/>
      <c r="F53" s="1089"/>
      <c r="G53" s="458" t="s">
        <v>1</v>
      </c>
      <c r="H53" s="459">
        <f t="shared" si="24"/>
        <v>0</v>
      </c>
      <c r="I53" s="459">
        <f t="shared" si="25"/>
        <v>0</v>
      </c>
      <c r="J53" s="459">
        <v>0</v>
      </c>
      <c r="K53" s="459">
        <v>0</v>
      </c>
      <c r="L53" s="459">
        <f t="shared" si="26"/>
        <v>0</v>
      </c>
      <c r="M53" s="459">
        <v>0</v>
      </c>
      <c r="N53" s="459">
        <v>0</v>
      </c>
    </row>
    <row r="54" spans="1:14" s="407" customFormat="1" ht="15" hidden="1" customHeight="1">
      <c r="A54" s="1095"/>
      <c r="B54" s="1092"/>
      <c r="C54" s="1101"/>
      <c r="D54" s="1094"/>
      <c r="E54" s="1090"/>
      <c r="F54" s="1091"/>
      <c r="G54" s="458" t="s">
        <v>2</v>
      </c>
      <c r="H54" s="459">
        <f t="shared" si="24"/>
        <v>16216000</v>
      </c>
      <c r="I54" s="459">
        <f t="shared" si="25"/>
        <v>16216000</v>
      </c>
      <c r="J54" s="459">
        <f>J52+J53</f>
        <v>0</v>
      </c>
      <c r="K54" s="459">
        <f>K52+K53</f>
        <v>16216000</v>
      </c>
      <c r="L54" s="459">
        <f t="shared" si="26"/>
        <v>0</v>
      </c>
      <c r="M54" s="459">
        <f>M52+M53</f>
        <v>0</v>
      </c>
      <c r="N54" s="459">
        <f>N52+N53</f>
        <v>0</v>
      </c>
    </row>
    <row r="55" spans="1:14" s="407" customFormat="1" ht="15" hidden="1" customHeight="1">
      <c r="A55" s="1095"/>
      <c r="B55" s="1096"/>
      <c r="C55" s="1097" t="s">
        <v>483</v>
      </c>
      <c r="D55" s="1098"/>
      <c r="E55" s="1086" t="s">
        <v>988</v>
      </c>
      <c r="F55" s="1087"/>
      <c r="G55" s="458" t="s">
        <v>0</v>
      </c>
      <c r="H55" s="459">
        <f t="shared" si="24"/>
        <v>3415000</v>
      </c>
      <c r="I55" s="459">
        <f t="shared" si="25"/>
        <v>3415000</v>
      </c>
      <c r="J55" s="459">
        <v>0</v>
      </c>
      <c r="K55" s="459">
        <v>3415000</v>
      </c>
      <c r="L55" s="459">
        <f t="shared" si="26"/>
        <v>0</v>
      </c>
      <c r="M55" s="459">
        <v>0</v>
      </c>
      <c r="N55" s="459">
        <v>0</v>
      </c>
    </row>
    <row r="56" spans="1:14" s="407" customFormat="1" ht="15" hidden="1" customHeight="1">
      <c r="A56" s="1095"/>
      <c r="B56" s="1092"/>
      <c r="C56" s="1095"/>
      <c r="D56" s="1092"/>
      <c r="E56" s="1088"/>
      <c r="F56" s="1089"/>
      <c r="G56" s="458" t="s">
        <v>1</v>
      </c>
      <c r="H56" s="459">
        <f t="shared" si="24"/>
        <v>0</v>
      </c>
      <c r="I56" s="459">
        <f t="shared" si="25"/>
        <v>0</v>
      </c>
      <c r="J56" s="459">
        <v>0</v>
      </c>
      <c r="K56" s="459">
        <v>0</v>
      </c>
      <c r="L56" s="459">
        <f t="shared" si="26"/>
        <v>0</v>
      </c>
      <c r="M56" s="459">
        <v>0</v>
      </c>
      <c r="N56" s="459">
        <v>0</v>
      </c>
    </row>
    <row r="57" spans="1:14" s="407" customFormat="1" ht="15" hidden="1" customHeight="1">
      <c r="A57" s="1095"/>
      <c r="B57" s="1092"/>
      <c r="C57" s="1095"/>
      <c r="D57" s="1092"/>
      <c r="E57" s="1090"/>
      <c r="F57" s="1091"/>
      <c r="G57" s="458" t="s">
        <v>2</v>
      </c>
      <c r="H57" s="459">
        <f t="shared" si="24"/>
        <v>3415000</v>
      </c>
      <c r="I57" s="459">
        <f t="shared" si="25"/>
        <v>3415000</v>
      </c>
      <c r="J57" s="459">
        <f>J55+J56</f>
        <v>0</v>
      </c>
      <c r="K57" s="459">
        <f>K55+K56</f>
        <v>3415000</v>
      </c>
      <c r="L57" s="459">
        <f t="shared" si="26"/>
        <v>0</v>
      </c>
      <c r="M57" s="459">
        <f>M55+M56</f>
        <v>0</v>
      </c>
      <c r="N57" s="459">
        <f>N55+N56</f>
        <v>0</v>
      </c>
    </row>
    <row r="58" spans="1:14" s="407" customFormat="1" ht="15" customHeight="1">
      <c r="A58" s="1095"/>
      <c r="B58" s="1096"/>
      <c r="C58" s="1095" t="s">
        <v>483</v>
      </c>
      <c r="D58" s="1096"/>
      <c r="E58" s="1086" t="s">
        <v>989</v>
      </c>
      <c r="F58" s="1087"/>
      <c r="G58" s="458" t="s">
        <v>0</v>
      </c>
      <c r="H58" s="459">
        <f t="shared" si="24"/>
        <v>4495000</v>
      </c>
      <c r="I58" s="459">
        <f t="shared" si="25"/>
        <v>4495000</v>
      </c>
      <c r="J58" s="459">
        <v>0</v>
      </c>
      <c r="K58" s="459">
        <v>4495000</v>
      </c>
      <c r="L58" s="459">
        <f t="shared" si="26"/>
        <v>0</v>
      </c>
      <c r="M58" s="459">
        <v>0</v>
      </c>
      <c r="N58" s="459">
        <v>0</v>
      </c>
    </row>
    <row r="59" spans="1:14" s="407" customFormat="1" ht="15" customHeight="1">
      <c r="A59" s="1095"/>
      <c r="B59" s="1092"/>
      <c r="C59" s="1095"/>
      <c r="D59" s="1092"/>
      <c r="E59" s="1088"/>
      <c r="F59" s="1089"/>
      <c r="G59" s="458" t="s">
        <v>1</v>
      </c>
      <c r="H59" s="459">
        <f t="shared" si="24"/>
        <v>37560</v>
      </c>
      <c r="I59" s="459">
        <f t="shared" si="25"/>
        <v>37560</v>
      </c>
      <c r="J59" s="459">
        <v>0</v>
      </c>
      <c r="K59" s="459">
        <v>37560</v>
      </c>
      <c r="L59" s="459">
        <f t="shared" si="26"/>
        <v>0</v>
      </c>
      <c r="M59" s="459">
        <v>0</v>
      </c>
      <c r="N59" s="459">
        <v>0</v>
      </c>
    </row>
    <row r="60" spans="1:14" s="407" customFormat="1" ht="15" customHeight="1">
      <c r="A60" s="1095"/>
      <c r="B60" s="1092"/>
      <c r="C60" s="1095"/>
      <c r="D60" s="1092"/>
      <c r="E60" s="1090"/>
      <c r="F60" s="1091"/>
      <c r="G60" s="458" t="s">
        <v>2</v>
      </c>
      <c r="H60" s="459">
        <f t="shared" si="24"/>
        <v>4532560</v>
      </c>
      <c r="I60" s="459">
        <f t="shared" si="25"/>
        <v>4532560</v>
      </c>
      <c r="J60" s="459">
        <f>J58+J59</f>
        <v>0</v>
      </c>
      <c r="K60" s="459">
        <f>K58+K59</f>
        <v>4532560</v>
      </c>
      <c r="L60" s="459">
        <f t="shared" si="26"/>
        <v>0</v>
      </c>
      <c r="M60" s="459">
        <f>M58+M59</f>
        <v>0</v>
      </c>
      <c r="N60" s="459">
        <f>N58+N59</f>
        <v>0</v>
      </c>
    </row>
    <row r="61" spans="1:14" s="407" customFormat="1" ht="15" customHeight="1">
      <c r="A61" s="1095"/>
      <c r="B61" s="1096"/>
      <c r="C61" s="1095"/>
      <c r="D61" s="1096"/>
      <c r="E61" s="1086" t="s">
        <v>990</v>
      </c>
      <c r="F61" s="1087"/>
      <c r="G61" s="458" t="s">
        <v>0</v>
      </c>
      <c r="H61" s="459">
        <f t="shared" si="24"/>
        <v>2231000</v>
      </c>
      <c r="I61" s="459">
        <f t="shared" si="25"/>
        <v>2231000</v>
      </c>
      <c r="J61" s="459">
        <v>0</v>
      </c>
      <c r="K61" s="459">
        <v>2231000</v>
      </c>
      <c r="L61" s="459">
        <f t="shared" si="26"/>
        <v>0</v>
      </c>
      <c r="M61" s="459">
        <v>0</v>
      </c>
      <c r="N61" s="459">
        <v>0</v>
      </c>
    </row>
    <row r="62" spans="1:14" s="407" customFormat="1" ht="15" customHeight="1">
      <c r="A62" s="1095"/>
      <c r="B62" s="1092"/>
      <c r="C62" s="1095"/>
      <c r="D62" s="1092"/>
      <c r="E62" s="1088"/>
      <c r="F62" s="1089"/>
      <c r="G62" s="458" t="s">
        <v>1</v>
      </c>
      <c r="H62" s="459">
        <f t="shared" si="24"/>
        <v>23166</v>
      </c>
      <c r="I62" s="459">
        <f t="shared" si="25"/>
        <v>23166</v>
      </c>
      <c r="J62" s="459">
        <v>0</v>
      </c>
      <c r="K62" s="459">
        <v>23166</v>
      </c>
      <c r="L62" s="459">
        <f t="shared" si="26"/>
        <v>0</v>
      </c>
      <c r="M62" s="459">
        <v>0</v>
      </c>
      <c r="N62" s="459">
        <v>0</v>
      </c>
    </row>
    <row r="63" spans="1:14" s="407" customFormat="1" ht="15" customHeight="1">
      <c r="A63" s="1095"/>
      <c r="B63" s="1092"/>
      <c r="C63" s="1095"/>
      <c r="D63" s="1092"/>
      <c r="E63" s="1090"/>
      <c r="F63" s="1091"/>
      <c r="G63" s="458" t="s">
        <v>2</v>
      </c>
      <c r="H63" s="459">
        <f t="shared" si="24"/>
        <v>2254166</v>
      </c>
      <c r="I63" s="459">
        <f t="shared" si="25"/>
        <v>2254166</v>
      </c>
      <c r="J63" s="459">
        <f>J61+J62</f>
        <v>0</v>
      </c>
      <c r="K63" s="459">
        <f>K61+K62</f>
        <v>2254166</v>
      </c>
      <c r="L63" s="459">
        <f t="shared" si="26"/>
        <v>0</v>
      </c>
      <c r="M63" s="459">
        <f>M61+M62</f>
        <v>0</v>
      </c>
      <c r="N63" s="459">
        <f>N61+N62</f>
        <v>0</v>
      </c>
    </row>
    <row r="64" spans="1:14" s="480" customFormat="1" ht="15" customHeight="1">
      <c r="A64" s="1084"/>
      <c r="B64" s="1085"/>
      <c r="C64" s="1084"/>
      <c r="D64" s="1085"/>
      <c r="E64" s="1086" t="s">
        <v>991</v>
      </c>
      <c r="F64" s="1087"/>
      <c r="G64" s="458" t="s">
        <v>0</v>
      </c>
      <c r="H64" s="459">
        <f t="shared" si="24"/>
        <v>850000</v>
      </c>
      <c r="I64" s="459">
        <f t="shared" si="25"/>
        <v>850000</v>
      </c>
      <c r="J64" s="459">
        <v>0</v>
      </c>
      <c r="K64" s="459">
        <v>850000</v>
      </c>
      <c r="L64" s="459">
        <f t="shared" si="26"/>
        <v>0</v>
      </c>
      <c r="M64" s="459">
        <v>0</v>
      </c>
      <c r="N64" s="459">
        <v>0</v>
      </c>
    </row>
    <row r="65" spans="1:14" s="480" customFormat="1" ht="15" customHeight="1">
      <c r="A65" s="1084"/>
      <c r="B65" s="1092"/>
      <c r="C65" s="1084"/>
      <c r="D65" s="1092"/>
      <c r="E65" s="1088"/>
      <c r="F65" s="1089"/>
      <c r="G65" s="458" t="s">
        <v>1</v>
      </c>
      <c r="H65" s="459">
        <f t="shared" si="24"/>
        <v>550000</v>
      </c>
      <c r="I65" s="459">
        <f t="shared" si="25"/>
        <v>550000</v>
      </c>
      <c r="J65" s="459">
        <v>0</v>
      </c>
      <c r="K65" s="459">
        <v>550000</v>
      </c>
      <c r="L65" s="459">
        <f t="shared" si="26"/>
        <v>0</v>
      </c>
      <c r="M65" s="459">
        <v>0</v>
      </c>
      <c r="N65" s="459">
        <v>0</v>
      </c>
    </row>
    <row r="66" spans="1:14" s="480" customFormat="1" ht="15" customHeight="1">
      <c r="A66" s="1093"/>
      <c r="B66" s="1094"/>
      <c r="C66" s="1093"/>
      <c r="D66" s="1094"/>
      <c r="E66" s="1090"/>
      <c r="F66" s="1091"/>
      <c r="G66" s="458" t="s">
        <v>2</v>
      </c>
      <c r="H66" s="459">
        <f t="shared" si="24"/>
        <v>1400000</v>
      </c>
      <c r="I66" s="459">
        <f t="shared" si="25"/>
        <v>1400000</v>
      </c>
      <c r="J66" s="459">
        <f>J64+J65</f>
        <v>0</v>
      </c>
      <c r="K66" s="459">
        <f>K64+K65</f>
        <v>1400000</v>
      </c>
      <c r="L66" s="459">
        <f t="shared" si="26"/>
        <v>0</v>
      </c>
      <c r="M66" s="459">
        <f>M64+M65</f>
        <v>0</v>
      </c>
      <c r="N66" s="459">
        <f>N64+N65</f>
        <v>0</v>
      </c>
    </row>
    <row r="67" spans="1:14" s="407" customFormat="1" ht="15.2" customHeight="1">
      <c r="A67" s="1097"/>
      <c r="B67" s="1098"/>
      <c r="C67" s="1097"/>
      <c r="D67" s="1098"/>
      <c r="E67" s="1086" t="s">
        <v>992</v>
      </c>
      <c r="F67" s="1087"/>
      <c r="G67" s="458" t="s">
        <v>0</v>
      </c>
      <c r="H67" s="459">
        <f t="shared" si="24"/>
        <v>1401000</v>
      </c>
      <c r="I67" s="459">
        <f t="shared" si="25"/>
        <v>1401000</v>
      </c>
      <c r="J67" s="459">
        <f>J70+J73</f>
        <v>0</v>
      </c>
      <c r="K67" s="459">
        <f>K70+K73</f>
        <v>1401000</v>
      </c>
      <c r="L67" s="459">
        <f t="shared" si="26"/>
        <v>0</v>
      </c>
      <c r="M67" s="459">
        <f>M70+M73</f>
        <v>0</v>
      </c>
      <c r="N67" s="459">
        <f>N70+N73</f>
        <v>0</v>
      </c>
    </row>
    <row r="68" spans="1:14" s="407" customFormat="1" ht="15.2" customHeight="1">
      <c r="A68" s="1095"/>
      <c r="B68" s="1092"/>
      <c r="C68" s="1095"/>
      <c r="D68" s="1092"/>
      <c r="E68" s="1088"/>
      <c r="F68" s="1089"/>
      <c r="G68" s="458" t="s">
        <v>1</v>
      </c>
      <c r="H68" s="459">
        <f t="shared" si="24"/>
        <v>15979</v>
      </c>
      <c r="I68" s="459">
        <f t="shared" si="25"/>
        <v>15979</v>
      </c>
      <c r="J68" s="459">
        <f t="shared" ref="J68:K68" si="27">J71+J74</f>
        <v>0</v>
      </c>
      <c r="K68" s="459">
        <f t="shared" si="27"/>
        <v>15979</v>
      </c>
      <c r="L68" s="459">
        <f t="shared" si="26"/>
        <v>0</v>
      </c>
      <c r="M68" s="459">
        <f t="shared" ref="M68:N68" si="28">M71+M74</f>
        <v>0</v>
      </c>
      <c r="N68" s="459">
        <f t="shared" si="28"/>
        <v>0</v>
      </c>
    </row>
    <row r="69" spans="1:14" s="407" customFormat="1" ht="15.2" customHeight="1">
      <c r="A69" s="1095"/>
      <c r="B69" s="1092"/>
      <c r="C69" s="1095"/>
      <c r="D69" s="1092"/>
      <c r="E69" s="1090"/>
      <c r="F69" s="1091"/>
      <c r="G69" s="458" t="s">
        <v>2</v>
      </c>
      <c r="H69" s="459">
        <f t="shared" si="24"/>
        <v>1416979</v>
      </c>
      <c r="I69" s="459">
        <f t="shared" si="25"/>
        <v>1416979</v>
      </c>
      <c r="J69" s="459">
        <f>J67+J68</f>
        <v>0</v>
      </c>
      <c r="K69" s="459">
        <f>K67+K68</f>
        <v>1416979</v>
      </c>
      <c r="L69" s="459">
        <f t="shared" si="26"/>
        <v>0</v>
      </c>
      <c r="M69" s="459">
        <f>M67+M68</f>
        <v>0</v>
      </c>
      <c r="N69" s="459">
        <f>N67+N68</f>
        <v>0</v>
      </c>
    </row>
    <row r="70" spans="1:14" s="484" customFormat="1" ht="15.2" customHeight="1">
      <c r="A70" s="1149"/>
      <c r="B70" s="1150"/>
      <c r="C70" s="1149"/>
      <c r="D70" s="1150"/>
      <c r="E70" s="1121" t="s">
        <v>993</v>
      </c>
      <c r="F70" s="1151"/>
      <c r="G70" s="481" t="s">
        <v>0</v>
      </c>
      <c r="H70" s="482">
        <f t="shared" si="24"/>
        <v>1315007</v>
      </c>
      <c r="I70" s="482">
        <f t="shared" si="25"/>
        <v>1315007</v>
      </c>
      <c r="J70" s="482">
        <v>0</v>
      </c>
      <c r="K70" s="482">
        <v>1315007</v>
      </c>
      <c r="L70" s="483">
        <f>M70+N70</f>
        <v>0</v>
      </c>
      <c r="M70" s="482">
        <v>0</v>
      </c>
      <c r="N70" s="482">
        <v>0</v>
      </c>
    </row>
    <row r="71" spans="1:14" s="484" customFormat="1" ht="15.2" customHeight="1">
      <c r="A71" s="1149"/>
      <c r="B71" s="1092"/>
      <c r="C71" s="1149"/>
      <c r="D71" s="1092"/>
      <c r="E71" s="1088"/>
      <c r="F71" s="1089"/>
      <c r="G71" s="481" t="s">
        <v>1</v>
      </c>
      <c r="H71" s="482">
        <f t="shared" si="24"/>
        <v>15979</v>
      </c>
      <c r="I71" s="482">
        <f t="shared" si="25"/>
        <v>15979</v>
      </c>
      <c r="J71" s="482">
        <v>0</v>
      </c>
      <c r="K71" s="482">
        <v>15979</v>
      </c>
      <c r="L71" s="483">
        <f t="shared" ref="L71:L72" si="29">M71+N71</f>
        <v>0</v>
      </c>
      <c r="M71" s="482">
        <v>0</v>
      </c>
      <c r="N71" s="482">
        <v>0</v>
      </c>
    </row>
    <row r="72" spans="1:14" s="484" customFormat="1" ht="15.2" customHeight="1">
      <c r="A72" s="1149"/>
      <c r="B72" s="1092"/>
      <c r="C72" s="1149"/>
      <c r="D72" s="1092"/>
      <c r="E72" s="1090"/>
      <c r="F72" s="1091"/>
      <c r="G72" s="481" t="s">
        <v>2</v>
      </c>
      <c r="H72" s="483">
        <f t="shared" si="24"/>
        <v>1330986</v>
      </c>
      <c r="I72" s="483">
        <f t="shared" si="25"/>
        <v>1330986</v>
      </c>
      <c r="J72" s="483">
        <f>J70+J71</f>
        <v>0</v>
      </c>
      <c r="K72" s="483">
        <f>K70+K71</f>
        <v>1330986</v>
      </c>
      <c r="L72" s="483">
        <f t="shared" si="29"/>
        <v>0</v>
      </c>
      <c r="M72" s="483">
        <f>M70+M71</f>
        <v>0</v>
      </c>
      <c r="N72" s="483">
        <f>N70+N71</f>
        <v>0</v>
      </c>
    </row>
    <row r="73" spans="1:14" s="484" customFormat="1" ht="15" hidden="1" customHeight="1">
      <c r="A73" s="1149"/>
      <c r="B73" s="1150"/>
      <c r="C73" s="1149"/>
      <c r="D73" s="1150"/>
      <c r="E73" s="1121" t="s">
        <v>994</v>
      </c>
      <c r="F73" s="1151"/>
      <c r="G73" s="485" t="s">
        <v>0</v>
      </c>
      <c r="H73" s="483">
        <f t="shared" si="24"/>
        <v>85993</v>
      </c>
      <c r="I73" s="483">
        <f t="shared" si="25"/>
        <v>85993</v>
      </c>
      <c r="J73" s="483">
        <v>0</v>
      </c>
      <c r="K73" s="483">
        <v>85993</v>
      </c>
      <c r="L73" s="483">
        <f>M73+N73</f>
        <v>0</v>
      </c>
      <c r="M73" s="483">
        <v>0</v>
      </c>
      <c r="N73" s="483">
        <v>0</v>
      </c>
    </row>
    <row r="74" spans="1:14" s="484" customFormat="1" ht="15" hidden="1" customHeight="1">
      <c r="A74" s="1149"/>
      <c r="B74" s="1092"/>
      <c r="C74" s="1149"/>
      <c r="D74" s="1092"/>
      <c r="E74" s="1088"/>
      <c r="F74" s="1089"/>
      <c r="G74" s="485" t="s">
        <v>1</v>
      </c>
      <c r="H74" s="483">
        <f t="shared" si="24"/>
        <v>0</v>
      </c>
      <c r="I74" s="483">
        <f t="shared" si="25"/>
        <v>0</v>
      </c>
      <c r="J74" s="483">
        <v>0</v>
      </c>
      <c r="K74" s="483">
        <v>0</v>
      </c>
      <c r="L74" s="483">
        <f t="shared" ref="L74:L114" si="30">M74+N74</f>
        <v>0</v>
      </c>
      <c r="M74" s="483">
        <v>0</v>
      </c>
      <c r="N74" s="483">
        <v>0</v>
      </c>
    </row>
    <row r="75" spans="1:14" s="484" customFormat="1" ht="15" hidden="1" customHeight="1">
      <c r="A75" s="1149"/>
      <c r="B75" s="1092"/>
      <c r="C75" s="1149"/>
      <c r="D75" s="1092"/>
      <c r="E75" s="1090"/>
      <c r="F75" s="1091"/>
      <c r="G75" s="485" t="s">
        <v>2</v>
      </c>
      <c r="H75" s="483">
        <f t="shared" si="24"/>
        <v>85993</v>
      </c>
      <c r="I75" s="483">
        <f t="shared" si="25"/>
        <v>85993</v>
      </c>
      <c r="J75" s="483">
        <f>J73+J74</f>
        <v>0</v>
      </c>
      <c r="K75" s="483">
        <f>K73+K74</f>
        <v>85993</v>
      </c>
      <c r="L75" s="483">
        <f t="shared" si="30"/>
        <v>0</v>
      </c>
      <c r="M75" s="483">
        <f>M73+M74</f>
        <v>0</v>
      </c>
      <c r="N75" s="483">
        <f>N73+N74</f>
        <v>0</v>
      </c>
    </row>
    <row r="76" spans="1:14" s="407" customFormat="1" ht="15.2" customHeight="1">
      <c r="A76" s="1095"/>
      <c r="B76" s="1096"/>
      <c r="C76" s="1095"/>
      <c r="D76" s="1096"/>
      <c r="E76" s="1086" t="s">
        <v>995</v>
      </c>
      <c r="F76" s="1087"/>
      <c r="G76" s="458" t="s">
        <v>0</v>
      </c>
      <c r="H76" s="459">
        <f t="shared" si="24"/>
        <v>2595000</v>
      </c>
      <c r="I76" s="459">
        <f t="shared" si="25"/>
        <v>2595000</v>
      </c>
      <c r="J76" s="459">
        <v>0</v>
      </c>
      <c r="K76" s="459">
        <v>2595000</v>
      </c>
      <c r="L76" s="459">
        <f t="shared" si="30"/>
        <v>0</v>
      </c>
      <c r="M76" s="459">
        <v>0</v>
      </c>
      <c r="N76" s="459">
        <v>0</v>
      </c>
    </row>
    <row r="77" spans="1:14" s="407" customFormat="1" ht="15.2" customHeight="1">
      <c r="A77" s="1095"/>
      <c r="B77" s="1092"/>
      <c r="C77" s="1095"/>
      <c r="D77" s="1092"/>
      <c r="E77" s="1088"/>
      <c r="F77" s="1089"/>
      <c r="G77" s="458" t="s">
        <v>1</v>
      </c>
      <c r="H77" s="459">
        <f t="shared" si="24"/>
        <v>26102</v>
      </c>
      <c r="I77" s="459">
        <f t="shared" si="25"/>
        <v>26102</v>
      </c>
      <c r="J77" s="459">
        <v>0</v>
      </c>
      <c r="K77" s="459">
        <v>26102</v>
      </c>
      <c r="L77" s="459">
        <f t="shared" si="30"/>
        <v>0</v>
      </c>
      <c r="M77" s="459">
        <v>0</v>
      </c>
      <c r="N77" s="459">
        <v>0</v>
      </c>
    </row>
    <row r="78" spans="1:14" s="407" customFormat="1" ht="15.2" customHeight="1">
      <c r="A78" s="1095"/>
      <c r="B78" s="1092"/>
      <c r="C78" s="1101"/>
      <c r="D78" s="1094"/>
      <c r="E78" s="1090"/>
      <c r="F78" s="1091"/>
      <c r="G78" s="458" t="s">
        <v>2</v>
      </c>
      <c r="H78" s="459">
        <f t="shared" si="24"/>
        <v>2621102</v>
      </c>
      <c r="I78" s="459">
        <f t="shared" si="25"/>
        <v>2621102</v>
      </c>
      <c r="J78" s="459">
        <f>J76+J77</f>
        <v>0</v>
      </c>
      <c r="K78" s="459">
        <f>K76+K77</f>
        <v>2621102</v>
      </c>
      <c r="L78" s="459">
        <f t="shared" si="30"/>
        <v>0</v>
      </c>
      <c r="M78" s="459">
        <f>M76+M77</f>
        <v>0</v>
      </c>
      <c r="N78" s="459">
        <f>N76+N77</f>
        <v>0</v>
      </c>
    </row>
    <row r="79" spans="1:14" s="407" customFormat="1" ht="15.2" customHeight="1">
      <c r="A79" s="1095"/>
      <c r="B79" s="1096"/>
      <c r="C79" s="1097" t="s">
        <v>494</v>
      </c>
      <c r="D79" s="1098"/>
      <c r="E79" s="1086" t="s">
        <v>996</v>
      </c>
      <c r="F79" s="1087"/>
      <c r="G79" s="458" t="s">
        <v>0</v>
      </c>
      <c r="H79" s="459">
        <f t="shared" si="24"/>
        <v>1905000</v>
      </c>
      <c r="I79" s="459">
        <f t="shared" si="25"/>
        <v>1905000</v>
      </c>
      <c r="J79" s="459">
        <v>0</v>
      </c>
      <c r="K79" s="459">
        <v>1905000</v>
      </c>
      <c r="L79" s="459">
        <f t="shared" si="30"/>
        <v>0</v>
      </c>
      <c r="M79" s="459">
        <v>0</v>
      </c>
      <c r="N79" s="459">
        <v>0</v>
      </c>
    </row>
    <row r="80" spans="1:14" s="407" customFormat="1" ht="15.2" customHeight="1">
      <c r="A80" s="1095"/>
      <c r="B80" s="1123"/>
      <c r="C80" s="1095"/>
      <c r="D80" s="1123"/>
      <c r="E80" s="1088"/>
      <c r="F80" s="1089"/>
      <c r="G80" s="458" t="s">
        <v>1</v>
      </c>
      <c r="H80" s="459">
        <f t="shared" si="24"/>
        <v>47875</v>
      </c>
      <c r="I80" s="459">
        <f t="shared" si="25"/>
        <v>47875</v>
      </c>
      <c r="J80" s="459">
        <v>0</v>
      </c>
      <c r="K80" s="459">
        <v>47875</v>
      </c>
      <c r="L80" s="459">
        <f t="shared" si="30"/>
        <v>0</v>
      </c>
      <c r="M80" s="459">
        <v>0</v>
      </c>
      <c r="N80" s="459">
        <v>0</v>
      </c>
    </row>
    <row r="81" spans="1:14" s="407" customFormat="1" ht="15.2" customHeight="1">
      <c r="A81" s="1095"/>
      <c r="B81" s="1123"/>
      <c r="C81" s="1095"/>
      <c r="D81" s="1123"/>
      <c r="E81" s="1090"/>
      <c r="F81" s="1091"/>
      <c r="G81" s="458" t="s">
        <v>2</v>
      </c>
      <c r="H81" s="459">
        <f t="shared" si="24"/>
        <v>1952875</v>
      </c>
      <c r="I81" s="459">
        <f t="shared" si="25"/>
        <v>1952875</v>
      </c>
      <c r="J81" s="459">
        <f>J79+J80</f>
        <v>0</v>
      </c>
      <c r="K81" s="459">
        <f>K79+K80</f>
        <v>1952875</v>
      </c>
      <c r="L81" s="459">
        <f t="shared" si="30"/>
        <v>0</v>
      </c>
      <c r="M81" s="459">
        <f>M79+M80</f>
        <v>0</v>
      </c>
      <c r="N81" s="459">
        <f>N79+N80</f>
        <v>0</v>
      </c>
    </row>
    <row r="82" spans="1:14" s="407" customFormat="1" ht="15.2" customHeight="1">
      <c r="A82" s="1095"/>
      <c r="B82" s="1096"/>
      <c r="C82" s="1095"/>
      <c r="D82" s="1096"/>
      <c r="E82" s="1086" t="s">
        <v>997</v>
      </c>
      <c r="F82" s="1087"/>
      <c r="G82" s="458" t="s">
        <v>0</v>
      </c>
      <c r="H82" s="459">
        <f t="shared" si="24"/>
        <v>2437000</v>
      </c>
      <c r="I82" s="459">
        <f t="shared" si="25"/>
        <v>2437000</v>
      </c>
      <c r="J82" s="459">
        <v>0</v>
      </c>
      <c r="K82" s="459">
        <v>2437000</v>
      </c>
      <c r="L82" s="459">
        <f t="shared" si="30"/>
        <v>0</v>
      </c>
      <c r="M82" s="459">
        <v>0</v>
      </c>
      <c r="N82" s="459">
        <v>0</v>
      </c>
    </row>
    <row r="83" spans="1:14" s="407" customFormat="1" ht="15.2" customHeight="1">
      <c r="A83" s="1095"/>
      <c r="B83" s="1123"/>
      <c r="C83" s="1095"/>
      <c r="D83" s="1123"/>
      <c r="E83" s="1088"/>
      <c r="F83" s="1089"/>
      <c r="G83" s="458" t="s">
        <v>1</v>
      </c>
      <c r="H83" s="459">
        <f t="shared" si="24"/>
        <v>46131</v>
      </c>
      <c r="I83" s="459">
        <f t="shared" si="25"/>
        <v>46131</v>
      </c>
      <c r="J83" s="459">
        <v>0</v>
      </c>
      <c r="K83" s="459">
        <v>46131</v>
      </c>
      <c r="L83" s="459">
        <f t="shared" si="30"/>
        <v>0</v>
      </c>
      <c r="M83" s="459">
        <v>0</v>
      </c>
      <c r="N83" s="459">
        <v>0</v>
      </c>
    </row>
    <row r="84" spans="1:14" s="407" customFormat="1" ht="15.2" customHeight="1">
      <c r="A84" s="1095"/>
      <c r="B84" s="1123"/>
      <c r="C84" s="1101"/>
      <c r="D84" s="1124"/>
      <c r="E84" s="1090"/>
      <c r="F84" s="1091"/>
      <c r="G84" s="458" t="s">
        <v>2</v>
      </c>
      <c r="H84" s="459">
        <f t="shared" si="24"/>
        <v>2483131</v>
      </c>
      <c r="I84" s="459">
        <f t="shared" si="25"/>
        <v>2483131</v>
      </c>
      <c r="J84" s="459">
        <f>J82+J83</f>
        <v>0</v>
      </c>
      <c r="K84" s="459">
        <f>K82+K83</f>
        <v>2483131</v>
      </c>
      <c r="L84" s="459">
        <f t="shared" si="30"/>
        <v>0</v>
      </c>
      <c r="M84" s="459">
        <f>M82+M83</f>
        <v>0</v>
      </c>
      <c r="N84" s="459">
        <f>N82+N83</f>
        <v>0</v>
      </c>
    </row>
    <row r="85" spans="1:14" s="407" customFormat="1" ht="15.2" customHeight="1">
      <c r="A85" s="1095"/>
      <c r="B85" s="1096"/>
      <c r="C85" s="1097" t="s">
        <v>998</v>
      </c>
      <c r="D85" s="1098"/>
      <c r="E85" s="1086" t="s">
        <v>999</v>
      </c>
      <c r="F85" s="1087"/>
      <c r="G85" s="458" t="s">
        <v>0</v>
      </c>
      <c r="H85" s="459">
        <f t="shared" si="24"/>
        <v>1609500</v>
      </c>
      <c r="I85" s="459">
        <f t="shared" si="25"/>
        <v>1609500</v>
      </c>
      <c r="J85" s="459">
        <v>0</v>
      </c>
      <c r="K85" s="459">
        <v>1609500</v>
      </c>
      <c r="L85" s="459">
        <f t="shared" si="30"/>
        <v>0</v>
      </c>
      <c r="M85" s="459">
        <v>0</v>
      </c>
      <c r="N85" s="459">
        <v>0</v>
      </c>
    </row>
    <row r="86" spans="1:14" s="407" customFormat="1" ht="15.2" customHeight="1">
      <c r="A86" s="1095"/>
      <c r="B86" s="1123"/>
      <c r="C86" s="1095"/>
      <c r="D86" s="1123"/>
      <c r="E86" s="1088"/>
      <c r="F86" s="1089"/>
      <c r="G86" s="458" t="s">
        <v>1</v>
      </c>
      <c r="H86" s="459">
        <f t="shared" si="24"/>
        <v>300000</v>
      </c>
      <c r="I86" s="459">
        <f t="shared" si="25"/>
        <v>300000</v>
      </c>
      <c r="J86" s="459">
        <v>0</v>
      </c>
      <c r="K86" s="459">
        <v>300000</v>
      </c>
      <c r="L86" s="459">
        <f t="shared" si="30"/>
        <v>0</v>
      </c>
      <c r="M86" s="459">
        <v>0</v>
      </c>
      <c r="N86" s="459">
        <v>0</v>
      </c>
    </row>
    <row r="87" spans="1:14" s="407" customFormat="1" ht="15.2" customHeight="1">
      <c r="A87" s="1095"/>
      <c r="B87" s="1123"/>
      <c r="C87" s="1101"/>
      <c r="D87" s="1124"/>
      <c r="E87" s="1090"/>
      <c r="F87" s="1091"/>
      <c r="G87" s="458" t="s">
        <v>2</v>
      </c>
      <c r="H87" s="459">
        <f t="shared" si="24"/>
        <v>1909500</v>
      </c>
      <c r="I87" s="459">
        <f t="shared" si="25"/>
        <v>1909500</v>
      </c>
      <c r="J87" s="459">
        <f>J85+J86</f>
        <v>0</v>
      </c>
      <c r="K87" s="459">
        <f>K85+K86</f>
        <v>1909500</v>
      </c>
      <c r="L87" s="459">
        <f t="shared" si="30"/>
        <v>0</v>
      </c>
      <c r="M87" s="459">
        <f>M85+M86</f>
        <v>0</v>
      </c>
      <c r="N87" s="459">
        <f>N85+N86</f>
        <v>0</v>
      </c>
    </row>
    <row r="88" spans="1:14" s="480" customFormat="1" ht="15.2" customHeight="1">
      <c r="A88" s="1084"/>
      <c r="B88" s="1085"/>
      <c r="C88" s="1099" t="s">
        <v>499</v>
      </c>
      <c r="D88" s="1100"/>
      <c r="E88" s="1086" t="s">
        <v>1000</v>
      </c>
      <c r="F88" s="1087"/>
      <c r="G88" s="458" t="s">
        <v>0</v>
      </c>
      <c r="H88" s="459">
        <f t="shared" si="24"/>
        <v>17061953</v>
      </c>
      <c r="I88" s="459">
        <f t="shared" si="25"/>
        <v>17061953</v>
      </c>
      <c r="J88" s="459">
        <f>J91+J94</f>
        <v>0</v>
      </c>
      <c r="K88" s="459">
        <f>K91+K94</f>
        <v>17061953</v>
      </c>
      <c r="L88" s="459">
        <f t="shared" si="30"/>
        <v>0</v>
      </c>
      <c r="M88" s="459">
        <f>M91+M94</f>
        <v>0</v>
      </c>
      <c r="N88" s="459">
        <f>N91+N94</f>
        <v>0</v>
      </c>
    </row>
    <row r="89" spans="1:14" s="480" customFormat="1" ht="15.2" customHeight="1">
      <c r="A89" s="1084"/>
      <c r="B89" s="1092"/>
      <c r="C89" s="1084"/>
      <c r="D89" s="1092"/>
      <c r="E89" s="1088"/>
      <c r="F89" s="1089"/>
      <c r="G89" s="458" t="s">
        <v>1</v>
      </c>
      <c r="H89" s="459">
        <f t="shared" si="24"/>
        <v>74940</v>
      </c>
      <c r="I89" s="459">
        <f t="shared" si="25"/>
        <v>74940</v>
      </c>
      <c r="J89" s="459">
        <f t="shared" ref="J89:K89" si="31">J92+J95</f>
        <v>0</v>
      </c>
      <c r="K89" s="459">
        <f t="shared" si="31"/>
        <v>74940</v>
      </c>
      <c r="L89" s="459">
        <f t="shared" si="30"/>
        <v>0</v>
      </c>
      <c r="M89" s="459">
        <f t="shared" ref="M89:N89" si="32">M92+M95</f>
        <v>0</v>
      </c>
      <c r="N89" s="459">
        <f t="shared" si="32"/>
        <v>0</v>
      </c>
    </row>
    <row r="90" spans="1:14" s="480" customFormat="1" ht="15.2" customHeight="1">
      <c r="A90" s="1084"/>
      <c r="B90" s="1092"/>
      <c r="C90" s="1084"/>
      <c r="D90" s="1092"/>
      <c r="E90" s="1090"/>
      <c r="F90" s="1091"/>
      <c r="G90" s="458" t="s">
        <v>2</v>
      </c>
      <c r="H90" s="459">
        <f t="shared" si="24"/>
        <v>17136893</v>
      </c>
      <c r="I90" s="459">
        <f t="shared" si="25"/>
        <v>17136893</v>
      </c>
      <c r="J90" s="459">
        <f>J88+J89</f>
        <v>0</v>
      </c>
      <c r="K90" s="459">
        <f>K88+K89</f>
        <v>17136893</v>
      </c>
      <c r="L90" s="459">
        <f t="shared" si="30"/>
        <v>0</v>
      </c>
      <c r="M90" s="459">
        <f>M88+M89</f>
        <v>0</v>
      </c>
      <c r="N90" s="459">
        <f>N88+N89</f>
        <v>0</v>
      </c>
    </row>
    <row r="91" spans="1:14" s="484" customFormat="1" ht="15.2" customHeight="1">
      <c r="A91" s="1149"/>
      <c r="B91" s="1150"/>
      <c r="C91" s="1149"/>
      <c r="D91" s="1150"/>
      <c r="E91" s="1117" t="s">
        <v>993</v>
      </c>
      <c r="F91" s="1153"/>
      <c r="G91" s="486" t="s">
        <v>0</v>
      </c>
      <c r="H91" s="487">
        <f t="shared" si="24"/>
        <v>14399000</v>
      </c>
      <c r="I91" s="487">
        <f t="shared" si="25"/>
        <v>14399000</v>
      </c>
      <c r="J91" s="487">
        <v>0</v>
      </c>
      <c r="K91" s="487">
        <v>14399000</v>
      </c>
      <c r="L91" s="487">
        <f t="shared" si="30"/>
        <v>0</v>
      </c>
      <c r="M91" s="487">
        <v>0</v>
      </c>
      <c r="N91" s="487">
        <v>0</v>
      </c>
    </row>
    <row r="92" spans="1:14" s="484" customFormat="1" ht="15.2" customHeight="1">
      <c r="A92" s="1149"/>
      <c r="B92" s="1092"/>
      <c r="C92" s="1149"/>
      <c r="D92" s="1092"/>
      <c r="E92" s="1088"/>
      <c r="F92" s="1089"/>
      <c r="G92" s="481" t="s">
        <v>1</v>
      </c>
      <c r="H92" s="482">
        <f t="shared" si="24"/>
        <v>74940</v>
      </c>
      <c r="I92" s="482">
        <f t="shared" si="25"/>
        <v>74940</v>
      </c>
      <c r="J92" s="482">
        <v>0</v>
      </c>
      <c r="K92" s="482">
        <v>74940</v>
      </c>
      <c r="L92" s="482">
        <f t="shared" si="30"/>
        <v>0</v>
      </c>
      <c r="M92" s="482">
        <v>0</v>
      </c>
      <c r="N92" s="482">
        <v>0</v>
      </c>
    </row>
    <row r="93" spans="1:14" s="484" customFormat="1" ht="15.2" customHeight="1">
      <c r="A93" s="1149"/>
      <c r="B93" s="1092"/>
      <c r="C93" s="1149"/>
      <c r="D93" s="1092"/>
      <c r="E93" s="1088"/>
      <c r="F93" s="1089"/>
      <c r="G93" s="481" t="s">
        <v>2</v>
      </c>
      <c r="H93" s="482">
        <f t="shared" si="24"/>
        <v>14473940</v>
      </c>
      <c r="I93" s="482">
        <f t="shared" si="25"/>
        <v>14473940</v>
      </c>
      <c r="J93" s="482">
        <f>J91+J92</f>
        <v>0</v>
      </c>
      <c r="K93" s="482">
        <f>K91+K92</f>
        <v>14473940</v>
      </c>
      <c r="L93" s="482">
        <f t="shared" si="30"/>
        <v>0</v>
      </c>
      <c r="M93" s="482">
        <f>M91+M92</f>
        <v>0</v>
      </c>
      <c r="N93" s="482">
        <f>N91+N92</f>
        <v>0</v>
      </c>
    </row>
    <row r="94" spans="1:14" s="484" customFormat="1" ht="15" hidden="1" customHeight="1">
      <c r="A94" s="1149"/>
      <c r="B94" s="1150"/>
      <c r="C94" s="1149"/>
      <c r="D94" s="1150"/>
      <c r="E94" s="1121" t="s">
        <v>1001</v>
      </c>
      <c r="F94" s="1151"/>
      <c r="G94" s="481" t="s">
        <v>0</v>
      </c>
      <c r="H94" s="482">
        <f t="shared" si="24"/>
        <v>2662953</v>
      </c>
      <c r="I94" s="482">
        <f t="shared" si="25"/>
        <v>2662953</v>
      </c>
      <c r="J94" s="482">
        <v>0</v>
      </c>
      <c r="K94" s="482">
        <v>2662953</v>
      </c>
      <c r="L94" s="482">
        <f t="shared" si="30"/>
        <v>0</v>
      </c>
      <c r="M94" s="482">
        <v>0</v>
      </c>
      <c r="N94" s="482">
        <v>0</v>
      </c>
    </row>
    <row r="95" spans="1:14" s="484" customFormat="1" ht="15" hidden="1" customHeight="1">
      <c r="A95" s="1149"/>
      <c r="B95" s="1092"/>
      <c r="C95" s="1149"/>
      <c r="D95" s="1092"/>
      <c r="E95" s="1088"/>
      <c r="F95" s="1089"/>
      <c r="G95" s="481" t="s">
        <v>1</v>
      </c>
      <c r="H95" s="482">
        <f t="shared" si="24"/>
        <v>0</v>
      </c>
      <c r="I95" s="482">
        <f t="shared" si="25"/>
        <v>0</v>
      </c>
      <c r="J95" s="482">
        <v>0</v>
      </c>
      <c r="K95" s="482">
        <v>0</v>
      </c>
      <c r="L95" s="482">
        <f t="shared" si="30"/>
        <v>0</v>
      </c>
      <c r="M95" s="482">
        <v>0</v>
      </c>
      <c r="N95" s="482">
        <v>0</v>
      </c>
    </row>
    <row r="96" spans="1:14" s="484" customFormat="1" ht="15" hidden="1" customHeight="1">
      <c r="A96" s="1149"/>
      <c r="B96" s="1092"/>
      <c r="C96" s="1149"/>
      <c r="D96" s="1092"/>
      <c r="E96" s="1090"/>
      <c r="F96" s="1091"/>
      <c r="G96" s="481" t="s">
        <v>2</v>
      </c>
      <c r="H96" s="483">
        <f t="shared" si="24"/>
        <v>2662953</v>
      </c>
      <c r="I96" s="483">
        <f t="shared" si="25"/>
        <v>2662953</v>
      </c>
      <c r="J96" s="483">
        <f>J94+J95</f>
        <v>0</v>
      </c>
      <c r="K96" s="483">
        <f>K94+K95</f>
        <v>2662953</v>
      </c>
      <c r="L96" s="483">
        <f t="shared" si="30"/>
        <v>0</v>
      </c>
      <c r="M96" s="483">
        <f>M94+M95</f>
        <v>0</v>
      </c>
      <c r="N96" s="483">
        <f>N94+N95</f>
        <v>0</v>
      </c>
    </row>
    <row r="97" spans="1:14" s="480" customFormat="1" ht="15.2" customHeight="1">
      <c r="A97" s="1084"/>
      <c r="B97" s="1085"/>
      <c r="C97" s="1084"/>
      <c r="D97" s="1085"/>
      <c r="E97" s="1086" t="s">
        <v>1002</v>
      </c>
      <c r="F97" s="1087"/>
      <c r="G97" s="458" t="s">
        <v>0</v>
      </c>
      <c r="H97" s="459">
        <f t="shared" si="24"/>
        <v>16498000</v>
      </c>
      <c r="I97" s="459">
        <f t="shared" si="25"/>
        <v>16498000</v>
      </c>
      <c r="J97" s="459">
        <f>J100+J103</f>
        <v>0</v>
      </c>
      <c r="K97" s="459">
        <f>K100+K103</f>
        <v>16498000</v>
      </c>
      <c r="L97" s="459">
        <f t="shared" si="30"/>
        <v>0</v>
      </c>
      <c r="M97" s="459">
        <f>M100+M103</f>
        <v>0</v>
      </c>
      <c r="N97" s="459">
        <f>N100+N103</f>
        <v>0</v>
      </c>
    </row>
    <row r="98" spans="1:14" s="480" customFormat="1" ht="15.2" customHeight="1">
      <c r="A98" s="1084"/>
      <c r="B98" s="1092"/>
      <c r="C98" s="1084"/>
      <c r="D98" s="1092"/>
      <c r="E98" s="1088"/>
      <c r="F98" s="1089"/>
      <c r="G98" s="458" t="s">
        <v>1</v>
      </c>
      <c r="H98" s="459">
        <f t="shared" si="24"/>
        <v>82979</v>
      </c>
      <c r="I98" s="459">
        <f t="shared" si="25"/>
        <v>82979</v>
      </c>
      <c r="J98" s="459">
        <f t="shared" ref="J98:K98" si="33">J101+J104</f>
        <v>0</v>
      </c>
      <c r="K98" s="459">
        <f t="shared" si="33"/>
        <v>82979</v>
      </c>
      <c r="L98" s="459">
        <f t="shared" si="30"/>
        <v>0</v>
      </c>
      <c r="M98" s="459">
        <f t="shared" ref="M98:N98" si="34">M101+M104</f>
        <v>0</v>
      </c>
      <c r="N98" s="459">
        <f t="shared" si="34"/>
        <v>0</v>
      </c>
    </row>
    <row r="99" spans="1:14" s="480" customFormat="1" ht="15.2" customHeight="1">
      <c r="A99" s="1084"/>
      <c r="B99" s="1092"/>
      <c r="C99" s="1084"/>
      <c r="D99" s="1092"/>
      <c r="E99" s="1090"/>
      <c r="F99" s="1091"/>
      <c r="G99" s="458" t="s">
        <v>2</v>
      </c>
      <c r="H99" s="459">
        <f t="shared" si="24"/>
        <v>16580979</v>
      </c>
      <c r="I99" s="459">
        <f t="shared" si="25"/>
        <v>16580979</v>
      </c>
      <c r="J99" s="459">
        <f>J97+J98</f>
        <v>0</v>
      </c>
      <c r="K99" s="459">
        <f>K97+K98</f>
        <v>16580979</v>
      </c>
      <c r="L99" s="459">
        <f t="shared" si="30"/>
        <v>0</v>
      </c>
      <c r="M99" s="459">
        <f>M97+M98</f>
        <v>0</v>
      </c>
      <c r="N99" s="459">
        <f>N97+N98</f>
        <v>0</v>
      </c>
    </row>
    <row r="100" spans="1:14" s="484" customFormat="1" ht="15.2" customHeight="1">
      <c r="A100" s="1149"/>
      <c r="B100" s="1150"/>
      <c r="C100" s="1149"/>
      <c r="D100" s="1150"/>
      <c r="E100" s="1121" t="s">
        <v>993</v>
      </c>
      <c r="F100" s="1151"/>
      <c r="G100" s="481" t="s">
        <v>0</v>
      </c>
      <c r="H100" s="482">
        <f t="shared" si="24"/>
        <v>14798000</v>
      </c>
      <c r="I100" s="482">
        <f t="shared" si="25"/>
        <v>14798000</v>
      </c>
      <c r="J100" s="482">
        <v>0</v>
      </c>
      <c r="K100" s="482">
        <v>14798000</v>
      </c>
      <c r="L100" s="482">
        <f t="shared" si="30"/>
        <v>0</v>
      </c>
      <c r="M100" s="482">
        <v>0</v>
      </c>
      <c r="N100" s="482">
        <v>0</v>
      </c>
    </row>
    <row r="101" spans="1:14" s="484" customFormat="1" ht="15.2" customHeight="1">
      <c r="A101" s="1149"/>
      <c r="B101" s="1092"/>
      <c r="C101" s="1149"/>
      <c r="D101" s="1092"/>
      <c r="E101" s="1088"/>
      <c r="F101" s="1089"/>
      <c r="G101" s="481" t="s">
        <v>1</v>
      </c>
      <c r="H101" s="482">
        <f t="shared" si="24"/>
        <v>82979</v>
      </c>
      <c r="I101" s="482">
        <f t="shared" si="25"/>
        <v>82979</v>
      </c>
      <c r="J101" s="482">
        <v>0</v>
      </c>
      <c r="K101" s="482">
        <v>82979</v>
      </c>
      <c r="L101" s="482">
        <f t="shared" si="30"/>
        <v>0</v>
      </c>
      <c r="M101" s="482">
        <v>0</v>
      </c>
      <c r="N101" s="482">
        <v>0</v>
      </c>
    </row>
    <row r="102" spans="1:14" s="484" customFormat="1" ht="15.2" customHeight="1">
      <c r="A102" s="1149"/>
      <c r="B102" s="1092"/>
      <c r="C102" s="1149"/>
      <c r="D102" s="1092"/>
      <c r="E102" s="1090"/>
      <c r="F102" s="1091"/>
      <c r="G102" s="481" t="s">
        <v>2</v>
      </c>
      <c r="H102" s="483">
        <f t="shared" si="24"/>
        <v>14880979</v>
      </c>
      <c r="I102" s="483">
        <f t="shared" si="25"/>
        <v>14880979</v>
      </c>
      <c r="J102" s="483">
        <f>J100+J101</f>
        <v>0</v>
      </c>
      <c r="K102" s="483">
        <f>K100+K101</f>
        <v>14880979</v>
      </c>
      <c r="L102" s="483">
        <f t="shared" si="30"/>
        <v>0</v>
      </c>
      <c r="M102" s="483">
        <f>M100+M101</f>
        <v>0</v>
      </c>
      <c r="N102" s="483">
        <f>N100+N101</f>
        <v>0</v>
      </c>
    </row>
    <row r="103" spans="1:14" s="484" customFormat="1" ht="15" hidden="1" customHeight="1">
      <c r="A103" s="1149"/>
      <c r="B103" s="1150"/>
      <c r="C103" s="1149"/>
      <c r="D103" s="1150"/>
      <c r="E103" s="1121" t="s">
        <v>1003</v>
      </c>
      <c r="F103" s="1151"/>
      <c r="G103" s="481" t="s">
        <v>0</v>
      </c>
      <c r="H103" s="482">
        <f t="shared" si="24"/>
        <v>1700000</v>
      </c>
      <c r="I103" s="482">
        <f t="shared" si="25"/>
        <v>1700000</v>
      </c>
      <c r="J103" s="482">
        <v>0</v>
      </c>
      <c r="K103" s="482">
        <v>1700000</v>
      </c>
      <c r="L103" s="482">
        <f t="shared" si="30"/>
        <v>0</v>
      </c>
      <c r="M103" s="482">
        <v>0</v>
      </c>
      <c r="N103" s="482">
        <v>0</v>
      </c>
    </row>
    <row r="104" spans="1:14" s="484" customFormat="1" ht="15" hidden="1" customHeight="1">
      <c r="A104" s="1149"/>
      <c r="B104" s="1092"/>
      <c r="C104" s="1149"/>
      <c r="D104" s="1092"/>
      <c r="E104" s="1088"/>
      <c r="F104" s="1089"/>
      <c r="G104" s="481" t="s">
        <v>1</v>
      </c>
      <c r="H104" s="482">
        <f t="shared" si="24"/>
        <v>0</v>
      </c>
      <c r="I104" s="482">
        <f t="shared" si="25"/>
        <v>0</v>
      </c>
      <c r="J104" s="482">
        <v>0</v>
      </c>
      <c r="K104" s="482">
        <v>0</v>
      </c>
      <c r="L104" s="482">
        <f t="shared" si="30"/>
        <v>0</v>
      </c>
      <c r="M104" s="482">
        <v>0</v>
      </c>
      <c r="N104" s="482">
        <v>0</v>
      </c>
    </row>
    <row r="105" spans="1:14" s="484" customFormat="1" ht="15" hidden="1" customHeight="1">
      <c r="A105" s="1149"/>
      <c r="B105" s="1092"/>
      <c r="C105" s="1152"/>
      <c r="D105" s="1094"/>
      <c r="E105" s="1090"/>
      <c r="F105" s="1091"/>
      <c r="G105" s="481" t="s">
        <v>2</v>
      </c>
      <c r="H105" s="483">
        <f t="shared" si="24"/>
        <v>1700000</v>
      </c>
      <c r="I105" s="483">
        <f t="shared" si="25"/>
        <v>1700000</v>
      </c>
      <c r="J105" s="483">
        <f>J103+J104</f>
        <v>0</v>
      </c>
      <c r="K105" s="483">
        <f>K103+K104</f>
        <v>1700000</v>
      </c>
      <c r="L105" s="483">
        <f t="shared" si="30"/>
        <v>0</v>
      </c>
      <c r="M105" s="483">
        <f>M103+M104</f>
        <v>0</v>
      </c>
      <c r="N105" s="483">
        <f>N103+N104</f>
        <v>0</v>
      </c>
    </row>
    <row r="106" spans="1:14" s="407" customFormat="1" ht="15.2" customHeight="1">
      <c r="A106" s="1095"/>
      <c r="B106" s="1096"/>
      <c r="C106" s="1097" t="s">
        <v>503</v>
      </c>
      <c r="D106" s="1098"/>
      <c r="E106" s="1086" t="s">
        <v>1004</v>
      </c>
      <c r="F106" s="1087"/>
      <c r="G106" s="458" t="s">
        <v>0</v>
      </c>
      <c r="H106" s="459">
        <f t="shared" si="24"/>
        <v>10343000</v>
      </c>
      <c r="I106" s="459">
        <f t="shared" si="25"/>
        <v>10343000</v>
      </c>
      <c r="J106" s="459">
        <v>0</v>
      </c>
      <c r="K106" s="459">
        <v>10343000</v>
      </c>
      <c r="L106" s="459">
        <f t="shared" si="30"/>
        <v>0</v>
      </c>
      <c r="M106" s="459">
        <v>0</v>
      </c>
      <c r="N106" s="459">
        <v>0</v>
      </c>
    </row>
    <row r="107" spans="1:14" s="407" customFormat="1" ht="15.2" customHeight="1">
      <c r="A107" s="1095"/>
      <c r="B107" s="1123"/>
      <c r="C107" s="1095"/>
      <c r="D107" s="1123"/>
      <c r="E107" s="1088"/>
      <c r="F107" s="1089"/>
      <c r="G107" s="458" t="s">
        <v>1</v>
      </c>
      <c r="H107" s="459">
        <f t="shared" si="24"/>
        <v>110381</v>
      </c>
      <c r="I107" s="459">
        <f t="shared" si="25"/>
        <v>110381</v>
      </c>
      <c r="J107" s="459">
        <v>0</v>
      </c>
      <c r="K107" s="459">
        <v>110381</v>
      </c>
      <c r="L107" s="459">
        <f t="shared" si="30"/>
        <v>0</v>
      </c>
      <c r="M107" s="459">
        <v>0</v>
      </c>
      <c r="N107" s="459">
        <v>0</v>
      </c>
    </row>
    <row r="108" spans="1:14" s="407" customFormat="1" ht="15.2" customHeight="1">
      <c r="A108" s="1095"/>
      <c r="B108" s="1123"/>
      <c r="C108" s="1095"/>
      <c r="D108" s="1123"/>
      <c r="E108" s="1090"/>
      <c r="F108" s="1091"/>
      <c r="G108" s="458" t="s">
        <v>2</v>
      </c>
      <c r="H108" s="459">
        <f t="shared" si="24"/>
        <v>10453381</v>
      </c>
      <c r="I108" s="459">
        <f t="shared" si="25"/>
        <v>10453381</v>
      </c>
      <c r="J108" s="459">
        <f>J106+J107</f>
        <v>0</v>
      </c>
      <c r="K108" s="459">
        <f>K106+K107</f>
        <v>10453381</v>
      </c>
      <c r="L108" s="459">
        <f t="shared" si="30"/>
        <v>0</v>
      </c>
      <c r="M108" s="459">
        <f>M106+M107</f>
        <v>0</v>
      </c>
      <c r="N108" s="459">
        <f>N106+N107</f>
        <v>0</v>
      </c>
    </row>
    <row r="109" spans="1:14" s="407" customFormat="1" ht="15.2" customHeight="1">
      <c r="A109" s="1095"/>
      <c r="B109" s="1096"/>
      <c r="C109" s="1095"/>
      <c r="D109" s="1096"/>
      <c r="E109" s="1086" t="s">
        <v>1005</v>
      </c>
      <c r="F109" s="1087"/>
      <c r="G109" s="458" t="s">
        <v>0</v>
      </c>
      <c r="H109" s="459">
        <f t="shared" si="24"/>
        <v>8944000</v>
      </c>
      <c r="I109" s="459">
        <f t="shared" si="25"/>
        <v>8944000</v>
      </c>
      <c r="J109" s="459">
        <v>0</v>
      </c>
      <c r="K109" s="459">
        <v>8944000</v>
      </c>
      <c r="L109" s="459">
        <f t="shared" si="30"/>
        <v>0</v>
      </c>
      <c r="M109" s="459">
        <v>0</v>
      </c>
      <c r="N109" s="459">
        <v>0</v>
      </c>
    </row>
    <row r="110" spans="1:14" s="407" customFormat="1" ht="15.2" customHeight="1">
      <c r="A110" s="1095"/>
      <c r="B110" s="1123"/>
      <c r="C110" s="1095"/>
      <c r="D110" s="1123"/>
      <c r="E110" s="1088"/>
      <c r="F110" s="1089"/>
      <c r="G110" s="458" t="s">
        <v>1</v>
      </c>
      <c r="H110" s="459">
        <f t="shared" si="24"/>
        <v>86715</v>
      </c>
      <c r="I110" s="459">
        <f t="shared" si="25"/>
        <v>86715</v>
      </c>
      <c r="J110" s="459">
        <v>0</v>
      </c>
      <c r="K110" s="459">
        <v>86715</v>
      </c>
      <c r="L110" s="459">
        <f t="shared" si="30"/>
        <v>0</v>
      </c>
      <c r="M110" s="459">
        <v>0</v>
      </c>
      <c r="N110" s="459">
        <v>0</v>
      </c>
    </row>
    <row r="111" spans="1:14" s="407" customFormat="1" ht="15.2" customHeight="1">
      <c r="A111" s="1095"/>
      <c r="B111" s="1123"/>
      <c r="C111" s="1095"/>
      <c r="D111" s="1123"/>
      <c r="E111" s="1090"/>
      <c r="F111" s="1091"/>
      <c r="G111" s="458" t="s">
        <v>2</v>
      </c>
      <c r="H111" s="459">
        <f t="shared" si="24"/>
        <v>9030715</v>
      </c>
      <c r="I111" s="459">
        <f t="shared" si="25"/>
        <v>9030715</v>
      </c>
      <c r="J111" s="459">
        <f>J109+J110</f>
        <v>0</v>
      </c>
      <c r="K111" s="459">
        <f>K109+K110</f>
        <v>9030715</v>
      </c>
      <c r="L111" s="459">
        <f t="shared" si="30"/>
        <v>0</v>
      </c>
      <c r="M111" s="459">
        <f>M109+M110</f>
        <v>0</v>
      </c>
      <c r="N111" s="459">
        <f>N109+N110</f>
        <v>0</v>
      </c>
    </row>
    <row r="112" spans="1:14" s="407" customFormat="1" ht="15" hidden="1" customHeight="1">
      <c r="A112" s="1095"/>
      <c r="B112" s="1148"/>
      <c r="C112" s="1095"/>
      <c r="D112" s="1096"/>
      <c r="E112" s="1086" t="s">
        <v>1006</v>
      </c>
      <c r="F112" s="1087"/>
      <c r="G112" s="458" t="s">
        <v>0</v>
      </c>
      <c r="H112" s="459">
        <f t="shared" si="24"/>
        <v>4925000</v>
      </c>
      <c r="I112" s="459">
        <f t="shared" si="25"/>
        <v>4925000</v>
      </c>
      <c r="J112" s="459">
        <v>0</v>
      </c>
      <c r="K112" s="459">
        <v>4925000</v>
      </c>
      <c r="L112" s="459">
        <f t="shared" si="30"/>
        <v>0</v>
      </c>
      <c r="M112" s="459">
        <v>0</v>
      </c>
      <c r="N112" s="459">
        <v>0</v>
      </c>
    </row>
    <row r="113" spans="1:14" s="407" customFormat="1" ht="15" hidden="1" customHeight="1">
      <c r="A113" s="1095"/>
      <c r="B113" s="1123"/>
      <c r="C113" s="1095"/>
      <c r="D113" s="1123"/>
      <c r="E113" s="1088"/>
      <c r="F113" s="1089"/>
      <c r="G113" s="458" t="s">
        <v>1</v>
      </c>
      <c r="H113" s="459">
        <f t="shared" ref="H113:H114" si="35">I113+L113</f>
        <v>0</v>
      </c>
      <c r="I113" s="459">
        <f t="shared" ref="I113:I114" si="36">J113+K113</f>
        <v>0</v>
      </c>
      <c r="J113" s="459">
        <v>0</v>
      </c>
      <c r="K113" s="459">
        <v>0</v>
      </c>
      <c r="L113" s="459">
        <f t="shared" si="30"/>
        <v>0</v>
      </c>
      <c r="M113" s="459">
        <v>0</v>
      </c>
      <c r="N113" s="459">
        <v>0</v>
      </c>
    </row>
    <row r="114" spans="1:14" s="407" customFormat="1" ht="15" hidden="1" customHeight="1">
      <c r="A114" s="1101"/>
      <c r="B114" s="1124"/>
      <c r="C114" s="1101"/>
      <c r="D114" s="1124"/>
      <c r="E114" s="1090"/>
      <c r="F114" s="1091"/>
      <c r="G114" s="458" t="s">
        <v>2</v>
      </c>
      <c r="H114" s="459">
        <f t="shared" si="35"/>
        <v>4925000</v>
      </c>
      <c r="I114" s="459">
        <f t="shared" si="36"/>
        <v>4925000</v>
      </c>
      <c r="J114" s="459">
        <f>J112+J113</f>
        <v>0</v>
      </c>
      <c r="K114" s="459">
        <f>K112+K113</f>
        <v>4925000</v>
      </c>
      <c r="L114" s="459">
        <f t="shared" si="30"/>
        <v>0</v>
      </c>
      <c r="M114" s="459">
        <f>M112+M113</f>
        <v>0</v>
      </c>
      <c r="N114" s="459">
        <f>N112+N113</f>
        <v>0</v>
      </c>
    </row>
    <row r="115" spans="1:14" s="441" customFormat="1" ht="5.25" customHeight="1">
      <c r="A115" s="461"/>
      <c r="B115" s="462"/>
      <c r="C115" s="462"/>
      <c r="D115" s="462"/>
      <c r="E115" s="463"/>
      <c r="F115" s="464"/>
      <c r="G115" s="465"/>
      <c r="H115" s="466"/>
      <c r="I115" s="467"/>
      <c r="J115" s="467"/>
      <c r="K115" s="467"/>
      <c r="L115" s="467"/>
      <c r="M115" s="467"/>
      <c r="N115" s="468"/>
    </row>
    <row r="116" spans="1:14" s="450" customFormat="1" ht="15" customHeight="1">
      <c r="A116" s="1143" t="s">
        <v>1007</v>
      </c>
      <c r="B116" s="1144"/>
      <c r="C116" s="1144"/>
      <c r="D116" s="1144"/>
      <c r="E116" s="1144"/>
      <c r="F116" s="1144"/>
      <c r="G116" s="448" t="s">
        <v>0</v>
      </c>
      <c r="H116" s="469">
        <f>I116+L116</f>
        <v>345102749</v>
      </c>
      <c r="I116" s="469">
        <f>J116+K116</f>
        <v>247232132</v>
      </c>
      <c r="J116" s="469">
        <f t="shared" ref="J116:K118" si="37">J203+J120+J295</f>
        <v>205856264</v>
      </c>
      <c r="K116" s="469">
        <f t="shared" si="37"/>
        <v>41375868</v>
      </c>
      <c r="L116" s="469">
        <f>M116+N116</f>
        <v>97870617</v>
      </c>
      <c r="M116" s="469">
        <f t="shared" ref="M116:N118" si="38">M203+M120+M295</f>
        <v>1530259</v>
      </c>
      <c r="N116" s="469">
        <f t="shared" si="38"/>
        <v>96340358</v>
      </c>
    </row>
    <row r="117" spans="1:14" s="450" customFormat="1" ht="15" customHeight="1">
      <c r="A117" s="1129"/>
      <c r="B117" s="1130"/>
      <c r="C117" s="1130"/>
      <c r="D117" s="1130"/>
      <c r="E117" s="1130"/>
      <c r="F117" s="1130"/>
      <c r="G117" s="448" t="s">
        <v>1</v>
      </c>
      <c r="H117" s="469">
        <f t="shared" ref="H117:H118" si="39">I117+L117</f>
        <v>24874062</v>
      </c>
      <c r="I117" s="469">
        <f t="shared" ref="I117:I118" si="40">J117+K117</f>
        <v>25145440</v>
      </c>
      <c r="J117" s="469">
        <f t="shared" si="37"/>
        <v>23014290</v>
      </c>
      <c r="K117" s="469">
        <f t="shared" si="37"/>
        <v>2131150</v>
      </c>
      <c r="L117" s="469">
        <f t="shared" ref="L117:L118" si="41">M117+N117</f>
        <v>-271378</v>
      </c>
      <c r="M117" s="469">
        <f t="shared" si="38"/>
        <v>96759</v>
      </c>
      <c r="N117" s="469">
        <f t="shared" si="38"/>
        <v>-368137</v>
      </c>
    </row>
    <row r="118" spans="1:14" s="450" customFormat="1" ht="15" customHeight="1">
      <c r="A118" s="1132"/>
      <c r="B118" s="1133"/>
      <c r="C118" s="1133"/>
      <c r="D118" s="1133"/>
      <c r="E118" s="1133"/>
      <c r="F118" s="1133"/>
      <c r="G118" s="448" t="s">
        <v>2</v>
      </c>
      <c r="H118" s="469">
        <f t="shared" si="39"/>
        <v>369976811</v>
      </c>
      <c r="I118" s="469">
        <f t="shared" si="40"/>
        <v>272377572</v>
      </c>
      <c r="J118" s="469">
        <f t="shared" si="37"/>
        <v>228870554</v>
      </c>
      <c r="K118" s="469">
        <f t="shared" si="37"/>
        <v>43507018</v>
      </c>
      <c r="L118" s="469">
        <f t="shared" si="41"/>
        <v>97599239</v>
      </c>
      <c r="M118" s="469">
        <f t="shared" si="38"/>
        <v>1627018</v>
      </c>
      <c r="N118" s="469">
        <f t="shared" si="38"/>
        <v>95972221</v>
      </c>
    </row>
    <row r="119" spans="1:14" s="441" customFormat="1" ht="5.25" customHeight="1">
      <c r="A119" s="488"/>
      <c r="B119" s="489"/>
      <c r="C119" s="489"/>
      <c r="D119" s="489"/>
      <c r="E119" s="490"/>
      <c r="F119" s="490"/>
      <c r="G119" s="491"/>
      <c r="H119" s="492"/>
      <c r="I119" s="493"/>
      <c r="J119" s="493"/>
      <c r="K119" s="493"/>
      <c r="L119" s="493"/>
      <c r="M119" s="493"/>
      <c r="N119" s="494"/>
    </row>
    <row r="120" spans="1:14" s="497" customFormat="1" ht="14.45" customHeight="1">
      <c r="A120" s="1145" t="s">
        <v>1008</v>
      </c>
      <c r="B120" s="1146"/>
      <c r="C120" s="1146"/>
      <c r="D120" s="1146"/>
      <c r="E120" s="1146"/>
      <c r="F120" s="1147"/>
      <c r="G120" s="495" t="s">
        <v>0</v>
      </c>
      <c r="H120" s="496">
        <f>I120+L120</f>
        <v>14671727</v>
      </c>
      <c r="I120" s="496">
        <f>J120+K120</f>
        <v>11281844</v>
      </c>
      <c r="J120" s="496">
        <f>J124+J127+J130+J133+J136+J139+J142+J145+J148+J151+J154+J157+J160+J163+J166++J169+J172+J175+J178+J181+J184+J187+J190+J193+J196+J199</f>
        <v>10378572</v>
      </c>
      <c r="K120" s="496">
        <f>K124+K127+K130+K133+K136+K139+K142+K145+K148+K151+K154+K157+K160+K163+K166++K169+K172+K175+K178+K181+K184+K187+K190+K193+K196+K199</f>
        <v>903272</v>
      </c>
      <c r="L120" s="496">
        <f>M120+N120</f>
        <v>3389883</v>
      </c>
      <c r="M120" s="496">
        <f>M124+M127+M130+M133+M136+M139+M142+M145+M148+M151+M154+M157+M160+M163+M166++M169+M172+M175+M178+M181+M184+M187+M190+M193+M196+M199</f>
        <v>406142</v>
      </c>
      <c r="N120" s="496">
        <f>N124+N127+N130+N133+N136+N139+N142+N145+N148+N151+N154+N157+N160+N163+N166++N169+N172+N175+N178+N181+N184+N187+N190+N193+N196+N199</f>
        <v>2983741</v>
      </c>
    </row>
    <row r="121" spans="1:14" s="497" customFormat="1" ht="14.45" customHeight="1">
      <c r="A121" s="1129"/>
      <c r="B121" s="1130"/>
      <c r="C121" s="1130"/>
      <c r="D121" s="1130"/>
      <c r="E121" s="1130"/>
      <c r="F121" s="1131"/>
      <c r="G121" s="495" t="s">
        <v>1</v>
      </c>
      <c r="H121" s="496">
        <f t="shared" ref="H121:H122" si="42">I121+L121</f>
        <v>3482475</v>
      </c>
      <c r="I121" s="496">
        <f t="shared" ref="I121:I122" si="43">J121+K121</f>
        <v>5008784</v>
      </c>
      <c r="J121" s="496">
        <f t="shared" ref="J121:K122" si="44">J125+J128+J131+J134+J137+J140+J143+J146+J149+J152+J155+J158+J161+J164+J167++J170+J173+J176+J179+J182+J185+J188+J191+J194+J197+J200</f>
        <v>5515136</v>
      </c>
      <c r="K121" s="496">
        <f t="shared" si="44"/>
        <v>-506352</v>
      </c>
      <c r="L121" s="496">
        <f t="shared" ref="L121:L122" si="45">M121+N121</f>
        <v>-1526309</v>
      </c>
      <c r="M121" s="496">
        <f t="shared" ref="M121:N122" si="46">M125+M128+M131+M134+M137+M140+M143+M146+M149+M152+M155+M158+M161+M164+M167++M170+M173+M176+M179+M182+M185+M188+M191+M194+M197+M200</f>
        <v>140876</v>
      </c>
      <c r="N121" s="496">
        <f t="shared" si="46"/>
        <v>-1667185</v>
      </c>
    </row>
    <row r="122" spans="1:14" s="497" customFormat="1" ht="14.45" customHeight="1">
      <c r="A122" s="1132"/>
      <c r="B122" s="1133"/>
      <c r="C122" s="1133"/>
      <c r="D122" s="1133"/>
      <c r="E122" s="1133"/>
      <c r="F122" s="1134"/>
      <c r="G122" s="495" t="s">
        <v>2</v>
      </c>
      <c r="H122" s="496">
        <f t="shared" si="42"/>
        <v>18154202</v>
      </c>
      <c r="I122" s="496">
        <f t="shared" si="43"/>
        <v>16290628</v>
      </c>
      <c r="J122" s="496">
        <f t="shared" si="44"/>
        <v>15893708</v>
      </c>
      <c r="K122" s="496">
        <f t="shared" si="44"/>
        <v>396920</v>
      </c>
      <c r="L122" s="496">
        <f t="shared" si="45"/>
        <v>1863574</v>
      </c>
      <c r="M122" s="496">
        <f t="shared" si="46"/>
        <v>547018</v>
      </c>
      <c r="N122" s="496">
        <f t="shared" si="46"/>
        <v>1316556</v>
      </c>
    </row>
    <row r="123" spans="1:14" s="479" customFormat="1" ht="5.25" customHeight="1">
      <c r="A123" s="498"/>
      <c r="B123" s="499"/>
      <c r="C123" s="474"/>
      <c r="D123" s="474"/>
      <c r="E123" s="474"/>
      <c r="F123" s="474"/>
      <c r="G123" s="475"/>
      <c r="H123" s="476"/>
      <c r="I123" s="477"/>
      <c r="J123" s="477"/>
      <c r="K123" s="477"/>
      <c r="L123" s="477"/>
      <c r="M123" s="477"/>
      <c r="N123" s="478"/>
    </row>
    <row r="124" spans="1:14" s="407" customFormat="1" ht="14.1" hidden="1" customHeight="1">
      <c r="A124" s="1097" t="s">
        <v>87</v>
      </c>
      <c r="B124" s="1098"/>
      <c r="C124" s="1097" t="s">
        <v>192</v>
      </c>
      <c r="D124" s="1098"/>
      <c r="E124" s="500" t="s">
        <v>754</v>
      </c>
      <c r="F124" s="1135" t="s">
        <v>755</v>
      </c>
      <c r="G124" s="501" t="s">
        <v>0</v>
      </c>
      <c r="H124" s="502">
        <f t="shared" ref="H124:H190" si="47">I124+L124</f>
        <v>1</v>
      </c>
      <c r="I124" s="502">
        <f t="shared" ref="I124:I190" si="48">J124+K124</f>
        <v>0</v>
      </c>
      <c r="J124" s="502">
        <v>0</v>
      </c>
      <c r="K124" s="502">
        <v>0</v>
      </c>
      <c r="L124" s="502">
        <f t="shared" ref="L124:L190" si="49">M124+N124</f>
        <v>1</v>
      </c>
      <c r="M124" s="502">
        <v>0</v>
      </c>
      <c r="N124" s="502">
        <v>1</v>
      </c>
    </row>
    <row r="125" spans="1:14" s="407" customFormat="1" ht="14.1" hidden="1" customHeight="1">
      <c r="A125" s="1095"/>
      <c r="B125" s="1123"/>
      <c r="C125" s="1095"/>
      <c r="D125" s="1123"/>
      <c r="E125" s="503"/>
      <c r="F125" s="1136"/>
      <c r="G125" s="501" t="s">
        <v>1</v>
      </c>
      <c r="H125" s="502">
        <f t="shared" si="47"/>
        <v>0</v>
      </c>
      <c r="I125" s="502">
        <f t="shared" si="48"/>
        <v>0</v>
      </c>
      <c r="J125" s="502">
        <v>0</v>
      </c>
      <c r="K125" s="502">
        <v>0</v>
      </c>
      <c r="L125" s="502">
        <f t="shared" si="49"/>
        <v>0</v>
      </c>
      <c r="M125" s="502">
        <v>0</v>
      </c>
      <c r="N125" s="502">
        <v>0</v>
      </c>
    </row>
    <row r="126" spans="1:14" s="407" customFormat="1" ht="14.1" hidden="1" customHeight="1">
      <c r="A126" s="1095"/>
      <c r="B126" s="1123"/>
      <c r="C126" s="1095"/>
      <c r="D126" s="1123"/>
      <c r="E126" s="503"/>
      <c r="F126" s="1137"/>
      <c r="G126" s="501" t="s">
        <v>2</v>
      </c>
      <c r="H126" s="459">
        <f t="shared" si="47"/>
        <v>1</v>
      </c>
      <c r="I126" s="459">
        <f t="shared" si="48"/>
        <v>0</v>
      </c>
      <c r="J126" s="459">
        <f>J124+J125</f>
        <v>0</v>
      </c>
      <c r="K126" s="459">
        <f>K124+K125</f>
        <v>0</v>
      </c>
      <c r="L126" s="459">
        <f t="shared" si="49"/>
        <v>1</v>
      </c>
      <c r="M126" s="459">
        <f>M124+M125</f>
        <v>0</v>
      </c>
      <c r="N126" s="459">
        <f>N124+N125</f>
        <v>1</v>
      </c>
    </row>
    <row r="127" spans="1:14" s="407" customFormat="1" ht="14.1" hidden="1" customHeight="1">
      <c r="A127" s="1097" t="s">
        <v>51</v>
      </c>
      <c r="B127" s="1098"/>
      <c r="C127" s="1097" t="s">
        <v>220</v>
      </c>
      <c r="D127" s="1098"/>
      <c r="E127" s="500" t="s">
        <v>676</v>
      </c>
      <c r="F127" s="1135" t="s">
        <v>681</v>
      </c>
      <c r="G127" s="501" t="s">
        <v>0</v>
      </c>
      <c r="H127" s="502">
        <f t="shared" si="47"/>
        <v>398684</v>
      </c>
      <c r="I127" s="502">
        <f t="shared" si="48"/>
        <v>398684</v>
      </c>
      <c r="J127" s="502">
        <v>398684</v>
      </c>
      <c r="K127" s="502">
        <v>0</v>
      </c>
      <c r="L127" s="502">
        <f t="shared" si="49"/>
        <v>0</v>
      </c>
      <c r="M127" s="502">
        <v>0</v>
      </c>
      <c r="N127" s="502">
        <v>0</v>
      </c>
    </row>
    <row r="128" spans="1:14" s="407" customFormat="1" ht="14.1" hidden="1" customHeight="1">
      <c r="A128" s="1095"/>
      <c r="B128" s="1123"/>
      <c r="C128" s="1095"/>
      <c r="D128" s="1123"/>
      <c r="E128" s="503"/>
      <c r="F128" s="1136"/>
      <c r="G128" s="501" t="s">
        <v>1</v>
      </c>
      <c r="H128" s="502">
        <f t="shared" si="47"/>
        <v>0</v>
      </c>
      <c r="I128" s="502">
        <f t="shared" si="48"/>
        <v>0</v>
      </c>
      <c r="J128" s="502">
        <v>0</v>
      </c>
      <c r="K128" s="502">
        <v>0</v>
      </c>
      <c r="L128" s="502">
        <f t="shared" si="49"/>
        <v>0</v>
      </c>
      <c r="M128" s="502">
        <v>0</v>
      </c>
      <c r="N128" s="502">
        <v>0</v>
      </c>
    </row>
    <row r="129" spans="1:14" s="407" customFormat="1" ht="14.1" hidden="1" customHeight="1">
      <c r="A129" s="1095"/>
      <c r="B129" s="1123"/>
      <c r="C129" s="1095"/>
      <c r="D129" s="1123"/>
      <c r="E129" s="503"/>
      <c r="F129" s="1137"/>
      <c r="G129" s="501" t="s">
        <v>2</v>
      </c>
      <c r="H129" s="459">
        <f t="shared" si="47"/>
        <v>398684</v>
      </c>
      <c r="I129" s="459">
        <f t="shared" si="48"/>
        <v>398684</v>
      </c>
      <c r="J129" s="459">
        <f>J127+J128</f>
        <v>398684</v>
      </c>
      <c r="K129" s="459">
        <f>K127+K128</f>
        <v>0</v>
      </c>
      <c r="L129" s="459">
        <f t="shared" si="49"/>
        <v>0</v>
      </c>
      <c r="M129" s="459">
        <f>M127+M128</f>
        <v>0</v>
      </c>
      <c r="N129" s="459">
        <f>N127+N128</f>
        <v>0</v>
      </c>
    </row>
    <row r="130" spans="1:14" s="407" customFormat="1" ht="14.1" hidden="1" customHeight="1">
      <c r="A130" s="1095"/>
      <c r="B130" s="1096"/>
      <c r="C130" s="1095"/>
      <c r="D130" s="1096"/>
      <c r="E130" s="504"/>
      <c r="F130" s="1135" t="s">
        <v>678</v>
      </c>
      <c r="G130" s="501" t="s">
        <v>0</v>
      </c>
      <c r="H130" s="502">
        <f t="shared" si="47"/>
        <v>3327066</v>
      </c>
      <c r="I130" s="502">
        <f t="shared" si="48"/>
        <v>3327066</v>
      </c>
      <c r="J130" s="502">
        <v>3327066</v>
      </c>
      <c r="K130" s="502">
        <v>0</v>
      </c>
      <c r="L130" s="502">
        <f t="shared" si="49"/>
        <v>0</v>
      </c>
      <c r="M130" s="502">
        <v>0</v>
      </c>
      <c r="N130" s="502">
        <v>0</v>
      </c>
    </row>
    <row r="131" spans="1:14" s="407" customFormat="1" ht="14.1" hidden="1" customHeight="1">
      <c r="A131" s="1095"/>
      <c r="B131" s="1123"/>
      <c r="C131" s="1095"/>
      <c r="D131" s="1123"/>
      <c r="E131" s="503"/>
      <c r="F131" s="1136"/>
      <c r="G131" s="501" t="s">
        <v>1</v>
      </c>
      <c r="H131" s="502">
        <f t="shared" si="47"/>
        <v>0</v>
      </c>
      <c r="I131" s="502">
        <f t="shared" si="48"/>
        <v>0</v>
      </c>
      <c r="J131" s="502">
        <v>0</v>
      </c>
      <c r="K131" s="502">
        <v>0</v>
      </c>
      <c r="L131" s="502">
        <f t="shared" si="49"/>
        <v>0</v>
      </c>
      <c r="M131" s="502">
        <v>0</v>
      </c>
      <c r="N131" s="502">
        <v>0</v>
      </c>
    </row>
    <row r="132" spans="1:14" s="407" customFormat="1" ht="14.1" hidden="1" customHeight="1">
      <c r="A132" s="1095"/>
      <c r="B132" s="1123"/>
      <c r="C132" s="1095"/>
      <c r="D132" s="1123"/>
      <c r="E132" s="503"/>
      <c r="F132" s="1137"/>
      <c r="G132" s="501" t="s">
        <v>2</v>
      </c>
      <c r="H132" s="459">
        <f t="shared" si="47"/>
        <v>3327066</v>
      </c>
      <c r="I132" s="459">
        <f t="shared" si="48"/>
        <v>3327066</v>
      </c>
      <c r="J132" s="459">
        <f>J130+J131</f>
        <v>3327066</v>
      </c>
      <c r="K132" s="459">
        <f>K130+K131</f>
        <v>0</v>
      </c>
      <c r="L132" s="459">
        <f t="shared" si="49"/>
        <v>0</v>
      </c>
      <c r="M132" s="459">
        <f>M130+M131</f>
        <v>0</v>
      </c>
      <c r="N132" s="459">
        <f>N130+N131</f>
        <v>0</v>
      </c>
    </row>
    <row r="133" spans="1:14" s="407" customFormat="1" ht="14.1" hidden="1" customHeight="1">
      <c r="A133" s="1095"/>
      <c r="B133" s="1096"/>
      <c r="C133" s="1095"/>
      <c r="D133" s="1096"/>
      <c r="E133" s="500" t="s">
        <v>682</v>
      </c>
      <c r="F133" s="1135" t="s">
        <v>684</v>
      </c>
      <c r="G133" s="501" t="s">
        <v>0</v>
      </c>
      <c r="H133" s="502">
        <f t="shared" si="47"/>
        <v>403216</v>
      </c>
      <c r="I133" s="502">
        <f t="shared" si="48"/>
        <v>403216</v>
      </c>
      <c r="J133" s="502">
        <v>403216</v>
      </c>
      <c r="K133" s="502">
        <v>0</v>
      </c>
      <c r="L133" s="502">
        <f t="shared" si="49"/>
        <v>0</v>
      </c>
      <c r="M133" s="502">
        <v>0</v>
      </c>
      <c r="N133" s="502">
        <v>0</v>
      </c>
    </row>
    <row r="134" spans="1:14" s="407" customFormat="1" ht="14.1" hidden="1" customHeight="1">
      <c r="A134" s="1095"/>
      <c r="B134" s="1123"/>
      <c r="C134" s="1095"/>
      <c r="D134" s="1123"/>
      <c r="E134" s="503"/>
      <c r="F134" s="1136"/>
      <c r="G134" s="501" t="s">
        <v>1</v>
      </c>
      <c r="H134" s="502">
        <f t="shared" si="47"/>
        <v>0</v>
      </c>
      <c r="I134" s="502">
        <f t="shared" si="48"/>
        <v>0</v>
      </c>
      <c r="J134" s="502">
        <v>0</v>
      </c>
      <c r="K134" s="502">
        <v>0</v>
      </c>
      <c r="L134" s="502">
        <f t="shared" si="49"/>
        <v>0</v>
      </c>
      <c r="M134" s="502">
        <v>0</v>
      </c>
      <c r="N134" s="502">
        <v>0</v>
      </c>
    </row>
    <row r="135" spans="1:14" s="407" customFormat="1" ht="14.1" hidden="1" customHeight="1">
      <c r="A135" s="1095"/>
      <c r="B135" s="1123"/>
      <c r="C135" s="1095"/>
      <c r="D135" s="1123"/>
      <c r="E135" s="503"/>
      <c r="F135" s="1137"/>
      <c r="G135" s="501" t="s">
        <v>2</v>
      </c>
      <c r="H135" s="459">
        <f t="shared" si="47"/>
        <v>403216</v>
      </c>
      <c r="I135" s="459">
        <f t="shared" si="48"/>
        <v>403216</v>
      </c>
      <c r="J135" s="459">
        <f>J133+J134</f>
        <v>403216</v>
      </c>
      <c r="K135" s="459">
        <f>K133+K134</f>
        <v>0</v>
      </c>
      <c r="L135" s="459">
        <f t="shared" si="49"/>
        <v>0</v>
      </c>
      <c r="M135" s="459">
        <f>M133+M134</f>
        <v>0</v>
      </c>
      <c r="N135" s="459">
        <f>N133+N134</f>
        <v>0</v>
      </c>
    </row>
    <row r="136" spans="1:14" s="407" customFormat="1" ht="14.1" hidden="1" customHeight="1">
      <c r="A136" s="1097" t="s">
        <v>53</v>
      </c>
      <c r="B136" s="1098"/>
      <c r="C136" s="1097" t="s">
        <v>232</v>
      </c>
      <c r="D136" s="1098"/>
      <c r="E136" s="500" t="s">
        <v>670</v>
      </c>
      <c r="F136" s="1135" t="s">
        <v>675</v>
      </c>
      <c r="G136" s="501" t="s">
        <v>0</v>
      </c>
      <c r="H136" s="502">
        <f t="shared" si="47"/>
        <v>835582</v>
      </c>
      <c r="I136" s="502">
        <f t="shared" si="48"/>
        <v>0</v>
      </c>
      <c r="J136" s="502">
        <v>0</v>
      </c>
      <c r="K136" s="502">
        <v>0</v>
      </c>
      <c r="L136" s="502">
        <f t="shared" si="49"/>
        <v>835582</v>
      </c>
      <c r="M136" s="502">
        <v>0</v>
      </c>
      <c r="N136" s="502">
        <v>835582</v>
      </c>
    </row>
    <row r="137" spans="1:14" s="407" customFormat="1" ht="14.1" hidden="1" customHeight="1">
      <c r="A137" s="1095"/>
      <c r="B137" s="1123"/>
      <c r="C137" s="1095"/>
      <c r="D137" s="1123"/>
      <c r="E137" s="503"/>
      <c r="F137" s="1136"/>
      <c r="G137" s="501" t="s">
        <v>1</v>
      </c>
      <c r="H137" s="502">
        <f t="shared" si="47"/>
        <v>0</v>
      </c>
      <c r="I137" s="502">
        <f t="shared" si="48"/>
        <v>0</v>
      </c>
      <c r="J137" s="502">
        <v>0</v>
      </c>
      <c r="K137" s="502">
        <v>0</v>
      </c>
      <c r="L137" s="502">
        <f t="shared" si="49"/>
        <v>0</v>
      </c>
      <c r="M137" s="502">
        <v>0</v>
      </c>
      <c r="N137" s="502">
        <v>0</v>
      </c>
    </row>
    <row r="138" spans="1:14" s="407" customFormat="1" ht="14.1" hidden="1" customHeight="1">
      <c r="A138" s="1095"/>
      <c r="B138" s="1123"/>
      <c r="C138" s="1095"/>
      <c r="D138" s="1123"/>
      <c r="E138" s="503"/>
      <c r="F138" s="1137"/>
      <c r="G138" s="501" t="s">
        <v>2</v>
      </c>
      <c r="H138" s="459">
        <f t="shared" si="47"/>
        <v>835582</v>
      </c>
      <c r="I138" s="459">
        <f t="shared" si="48"/>
        <v>0</v>
      </c>
      <c r="J138" s="459">
        <f>J136+J137</f>
        <v>0</v>
      </c>
      <c r="K138" s="459">
        <f>K136+K137</f>
        <v>0</v>
      </c>
      <c r="L138" s="459">
        <f t="shared" si="49"/>
        <v>835582</v>
      </c>
      <c r="M138" s="459">
        <f>M136+M137</f>
        <v>0</v>
      </c>
      <c r="N138" s="459">
        <f>N136+N137</f>
        <v>835582</v>
      </c>
    </row>
    <row r="139" spans="1:14" s="480" customFormat="1" ht="15.6" hidden="1" customHeight="1">
      <c r="A139" s="1084"/>
      <c r="B139" s="1085"/>
      <c r="C139" s="1084"/>
      <c r="D139" s="1085"/>
      <c r="E139" s="505"/>
      <c r="F139" s="1135" t="s">
        <v>672</v>
      </c>
      <c r="G139" s="506" t="s">
        <v>0</v>
      </c>
      <c r="H139" s="459">
        <f t="shared" si="47"/>
        <v>27894</v>
      </c>
      <c r="I139" s="459">
        <f t="shared" si="48"/>
        <v>27894</v>
      </c>
      <c r="J139" s="459">
        <v>0</v>
      </c>
      <c r="K139" s="459">
        <v>27894</v>
      </c>
      <c r="L139" s="459">
        <f t="shared" si="49"/>
        <v>0</v>
      </c>
      <c r="M139" s="459">
        <v>0</v>
      </c>
      <c r="N139" s="459">
        <v>0</v>
      </c>
    </row>
    <row r="140" spans="1:14" s="480" customFormat="1" ht="15.6" hidden="1" customHeight="1">
      <c r="A140" s="1084"/>
      <c r="B140" s="1092"/>
      <c r="C140" s="1084"/>
      <c r="D140" s="1092"/>
      <c r="E140" s="505"/>
      <c r="F140" s="1136"/>
      <c r="G140" s="507" t="s">
        <v>1</v>
      </c>
      <c r="H140" s="459">
        <f t="shared" si="47"/>
        <v>0</v>
      </c>
      <c r="I140" s="459">
        <f t="shared" si="48"/>
        <v>0</v>
      </c>
      <c r="J140" s="459">
        <v>0</v>
      </c>
      <c r="K140" s="459">
        <v>0</v>
      </c>
      <c r="L140" s="459">
        <f t="shared" si="49"/>
        <v>0</v>
      </c>
      <c r="M140" s="459">
        <v>0</v>
      </c>
      <c r="N140" s="459">
        <v>0</v>
      </c>
    </row>
    <row r="141" spans="1:14" s="480" customFormat="1" ht="15.6" hidden="1" customHeight="1">
      <c r="A141" s="1084"/>
      <c r="B141" s="1092"/>
      <c r="C141" s="1084"/>
      <c r="D141" s="1092"/>
      <c r="E141" s="505"/>
      <c r="F141" s="1137"/>
      <c r="G141" s="507" t="s">
        <v>2</v>
      </c>
      <c r="H141" s="459">
        <f>I141+L141</f>
        <v>27894</v>
      </c>
      <c r="I141" s="459">
        <f t="shared" si="48"/>
        <v>27894</v>
      </c>
      <c r="J141" s="459">
        <f>J139+J140</f>
        <v>0</v>
      </c>
      <c r="K141" s="459">
        <f>K139+K140</f>
        <v>27894</v>
      </c>
      <c r="L141" s="459">
        <f t="shared" si="49"/>
        <v>0</v>
      </c>
      <c r="M141" s="459">
        <f>M139+M140</f>
        <v>0</v>
      </c>
      <c r="N141" s="459">
        <f>N139+N140</f>
        <v>0</v>
      </c>
    </row>
    <row r="142" spans="1:14" s="407" customFormat="1" ht="14.1" hidden="1" customHeight="1">
      <c r="A142" s="1097" t="s">
        <v>102</v>
      </c>
      <c r="B142" s="1098"/>
      <c r="C142" s="1097" t="s">
        <v>241</v>
      </c>
      <c r="D142" s="1098"/>
      <c r="E142" s="500" t="s">
        <v>699</v>
      </c>
      <c r="F142" s="1135" t="s">
        <v>701</v>
      </c>
      <c r="G142" s="501" t="s">
        <v>0</v>
      </c>
      <c r="H142" s="502">
        <f t="shared" si="47"/>
        <v>22881</v>
      </c>
      <c r="I142" s="502">
        <f t="shared" si="48"/>
        <v>0</v>
      </c>
      <c r="J142" s="502">
        <v>0</v>
      </c>
      <c r="K142" s="502">
        <v>0</v>
      </c>
      <c r="L142" s="502">
        <f t="shared" si="49"/>
        <v>22881</v>
      </c>
      <c r="M142" s="502">
        <v>17800</v>
      </c>
      <c r="N142" s="502">
        <v>5081</v>
      </c>
    </row>
    <row r="143" spans="1:14" s="407" customFormat="1" ht="14.1" hidden="1" customHeight="1">
      <c r="A143" s="1095"/>
      <c r="B143" s="1123"/>
      <c r="C143" s="1095"/>
      <c r="D143" s="1123"/>
      <c r="E143" s="503"/>
      <c r="F143" s="1136"/>
      <c r="G143" s="501" t="s">
        <v>1</v>
      </c>
      <c r="H143" s="502">
        <f t="shared" si="47"/>
        <v>0</v>
      </c>
      <c r="I143" s="502">
        <f t="shared" si="48"/>
        <v>0</v>
      </c>
      <c r="J143" s="502">
        <v>0</v>
      </c>
      <c r="K143" s="502">
        <v>0</v>
      </c>
      <c r="L143" s="502">
        <f t="shared" si="49"/>
        <v>0</v>
      </c>
      <c r="M143" s="502">
        <v>0</v>
      </c>
      <c r="N143" s="502">
        <v>0</v>
      </c>
    </row>
    <row r="144" spans="1:14" s="407" customFormat="1" ht="14.1" hidden="1" customHeight="1">
      <c r="A144" s="1101"/>
      <c r="B144" s="1124"/>
      <c r="C144" s="1101"/>
      <c r="D144" s="1124"/>
      <c r="E144" s="508"/>
      <c r="F144" s="1137"/>
      <c r="G144" s="509" t="s">
        <v>2</v>
      </c>
      <c r="H144" s="459">
        <f t="shared" si="47"/>
        <v>22881</v>
      </c>
      <c r="I144" s="459">
        <f t="shared" si="48"/>
        <v>0</v>
      </c>
      <c r="J144" s="459">
        <f>J142+J143</f>
        <v>0</v>
      </c>
      <c r="K144" s="459">
        <f>K142+K143</f>
        <v>0</v>
      </c>
      <c r="L144" s="459">
        <f t="shared" si="49"/>
        <v>22881</v>
      </c>
      <c r="M144" s="459">
        <f>M142+M143</f>
        <v>17800</v>
      </c>
      <c r="N144" s="459">
        <f>N142+N143</f>
        <v>5081</v>
      </c>
    </row>
    <row r="145" spans="1:14" s="407" customFormat="1" ht="14.1" hidden="1" customHeight="1">
      <c r="A145" s="1097" t="s">
        <v>59</v>
      </c>
      <c r="B145" s="1098"/>
      <c r="C145" s="1097" t="s">
        <v>1009</v>
      </c>
      <c r="D145" s="1098"/>
      <c r="E145" s="500" t="s">
        <v>714</v>
      </c>
      <c r="F145" s="1135" t="s">
        <v>716</v>
      </c>
      <c r="G145" s="501" t="s">
        <v>0</v>
      </c>
      <c r="H145" s="502">
        <f t="shared" si="47"/>
        <v>117362</v>
      </c>
      <c r="I145" s="502">
        <f t="shared" si="48"/>
        <v>117362</v>
      </c>
      <c r="J145" s="502">
        <v>117350</v>
      </c>
      <c r="K145" s="502">
        <v>12</v>
      </c>
      <c r="L145" s="502">
        <f t="shared" si="49"/>
        <v>0</v>
      </c>
      <c r="M145" s="502">
        <v>0</v>
      </c>
      <c r="N145" s="502">
        <v>0</v>
      </c>
    </row>
    <row r="146" spans="1:14" s="407" customFormat="1" ht="14.1" hidden="1" customHeight="1">
      <c r="A146" s="1095"/>
      <c r="B146" s="1123"/>
      <c r="C146" s="1095"/>
      <c r="D146" s="1123"/>
      <c r="E146" s="503"/>
      <c r="F146" s="1136"/>
      <c r="G146" s="501" t="s">
        <v>1</v>
      </c>
      <c r="H146" s="502">
        <f t="shared" si="47"/>
        <v>0</v>
      </c>
      <c r="I146" s="502">
        <f t="shared" si="48"/>
        <v>0</v>
      </c>
      <c r="J146" s="502">
        <v>0</v>
      </c>
      <c r="K146" s="502">
        <v>0</v>
      </c>
      <c r="L146" s="502">
        <f t="shared" si="49"/>
        <v>0</v>
      </c>
      <c r="M146" s="502">
        <v>0</v>
      </c>
      <c r="N146" s="502">
        <v>0</v>
      </c>
    </row>
    <row r="147" spans="1:14" s="407" customFormat="1" ht="14.1" hidden="1" customHeight="1">
      <c r="A147" s="1095"/>
      <c r="B147" s="1123"/>
      <c r="C147" s="1095"/>
      <c r="D147" s="1123"/>
      <c r="E147" s="503"/>
      <c r="F147" s="1137"/>
      <c r="G147" s="501" t="s">
        <v>2</v>
      </c>
      <c r="H147" s="459">
        <f t="shared" si="47"/>
        <v>117362</v>
      </c>
      <c r="I147" s="459">
        <f t="shared" si="48"/>
        <v>117362</v>
      </c>
      <c r="J147" s="459">
        <f>J145+J146</f>
        <v>117350</v>
      </c>
      <c r="K147" s="459">
        <f>K145+K146</f>
        <v>12</v>
      </c>
      <c r="L147" s="459">
        <f t="shared" si="49"/>
        <v>0</v>
      </c>
      <c r="M147" s="459">
        <f>M145+M146</f>
        <v>0</v>
      </c>
      <c r="N147" s="459">
        <f>N145+N146</f>
        <v>0</v>
      </c>
    </row>
    <row r="148" spans="1:14" s="407" customFormat="1" ht="14.1" hidden="1" customHeight="1">
      <c r="A148" s="1095"/>
      <c r="B148" s="1096"/>
      <c r="C148" s="1097" t="s">
        <v>259</v>
      </c>
      <c r="D148" s="1098"/>
      <c r="E148" s="500" t="s">
        <v>718</v>
      </c>
      <c r="F148" s="1135" t="s">
        <v>720</v>
      </c>
      <c r="G148" s="501" t="s">
        <v>0</v>
      </c>
      <c r="H148" s="502">
        <f t="shared" si="47"/>
        <v>2955</v>
      </c>
      <c r="I148" s="502">
        <f t="shared" si="48"/>
        <v>0</v>
      </c>
      <c r="J148" s="502">
        <v>0</v>
      </c>
      <c r="K148" s="502">
        <v>0</v>
      </c>
      <c r="L148" s="502">
        <f t="shared" si="49"/>
        <v>2955</v>
      </c>
      <c r="M148" s="502">
        <v>2856</v>
      </c>
      <c r="N148" s="502">
        <v>99</v>
      </c>
    </row>
    <row r="149" spans="1:14" s="407" customFormat="1" ht="14.1" hidden="1" customHeight="1">
      <c r="A149" s="1095"/>
      <c r="B149" s="1123"/>
      <c r="C149" s="1095"/>
      <c r="D149" s="1123"/>
      <c r="E149" s="503"/>
      <c r="F149" s="1136"/>
      <c r="G149" s="501" t="s">
        <v>1</v>
      </c>
      <c r="H149" s="502">
        <f t="shared" si="47"/>
        <v>0</v>
      </c>
      <c r="I149" s="502">
        <f t="shared" si="48"/>
        <v>0</v>
      </c>
      <c r="J149" s="502">
        <v>0</v>
      </c>
      <c r="K149" s="502">
        <v>0</v>
      </c>
      <c r="L149" s="502">
        <f t="shared" si="49"/>
        <v>0</v>
      </c>
      <c r="M149" s="502">
        <v>0</v>
      </c>
      <c r="N149" s="502">
        <v>0</v>
      </c>
    </row>
    <row r="150" spans="1:14" s="407" customFormat="1" ht="14.1" hidden="1" customHeight="1">
      <c r="A150" s="1095"/>
      <c r="B150" s="1123"/>
      <c r="C150" s="1095"/>
      <c r="D150" s="1123"/>
      <c r="E150" s="503"/>
      <c r="F150" s="1137"/>
      <c r="G150" s="501" t="s">
        <v>2</v>
      </c>
      <c r="H150" s="459">
        <f t="shared" si="47"/>
        <v>2955</v>
      </c>
      <c r="I150" s="459">
        <f t="shared" si="48"/>
        <v>0</v>
      </c>
      <c r="J150" s="459">
        <f>J148+J149</f>
        <v>0</v>
      </c>
      <c r="K150" s="459">
        <f>K148+K149</f>
        <v>0</v>
      </c>
      <c r="L150" s="459">
        <f t="shared" si="49"/>
        <v>2955</v>
      </c>
      <c r="M150" s="459">
        <f>M148+M149</f>
        <v>2856</v>
      </c>
      <c r="N150" s="459">
        <f>N148+N149</f>
        <v>99</v>
      </c>
    </row>
    <row r="151" spans="1:14" s="407" customFormat="1" ht="14.1" hidden="1" customHeight="1">
      <c r="A151" s="1095"/>
      <c r="B151" s="1096"/>
      <c r="C151" s="1097" t="s">
        <v>277</v>
      </c>
      <c r="D151" s="1098"/>
      <c r="E151" s="500" t="s">
        <v>696</v>
      </c>
      <c r="F151" s="1135" t="s">
        <v>697</v>
      </c>
      <c r="G151" s="501" t="s">
        <v>0</v>
      </c>
      <c r="H151" s="502">
        <f t="shared" si="47"/>
        <v>58071</v>
      </c>
      <c r="I151" s="502">
        <f t="shared" si="48"/>
        <v>58071</v>
      </c>
      <c r="J151" s="502">
        <v>57325</v>
      </c>
      <c r="K151" s="502">
        <v>746</v>
      </c>
      <c r="L151" s="502">
        <f t="shared" si="49"/>
        <v>0</v>
      </c>
      <c r="M151" s="502">
        <v>0</v>
      </c>
      <c r="N151" s="502">
        <v>0</v>
      </c>
    </row>
    <row r="152" spans="1:14" s="407" customFormat="1" ht="14.1" hidden="1" customHeight="1">
      <c r="A152" s="1095"/>
      <c r="B152" s="1123"/>
      <c r="C152" s="1095"/>
      <c r="D152" s="1123"/>
      <c r="E152" s="503"/>
      <c r="F152" s="1136"/>
      <c r="G152" s="501" t="s">
        <v>1</v>
      </c>
      <c r="H152" s="502">
        <f t="shared" si="47"/>
        <v>0</v>
      </c>
      <c r="I152" s="502">
        <f t="shared" si="48"/>
        <v>0</v>
      </c>
      <c r="J152" s="502">
        <v>0</v>
      </c>
      <c r="K152" s="502">
        <v>0</v>
      </c>
      <c r="L152" s="502">
        <f t="shared" si="49"/>
        <v>0</v>
      </c>
      <c r="M152" s="502">
        <v>0</v>
      </c>
      <c r="N152" s="502">
        <v>0</v>
      </c>
    </row>
    <row r="153" spans="1:14" s="407" customFormat="1" ht="14.1" hidden="1" customHeight="1">
      <c r="A153" s="1095"/>
      <c r="B153" s="1123"/>
      <c r="C153" s="1095"/>
      <c r="D153" s="1123"/>
      <c r="E153" s="503"/>
      <c r="F153" s="1137"/>
      <c r="G153" s="501" t="s">
        <v>2</v>
      </c>
      <c r="H153" s="459">
        <f t="shared" si="47"/>
        <v>58071</v>
      </c>
      <c r="I153" s="459">
        <f t="shared" si="48"/>
        <v>58071</v>
      </c>
      <c r="J153" s="459">
        <f>J151+J152</f>
        <v>57325</v>
      </c>
      <c r="K153" s="459">
        <f>K151+K152</f>
        <v>746</v>
      </c>
      <c r="L153" s="459">
        <f t="shared" si="49"/>
        <v>0</v>
      </c>
      <c r="M153" s="459">
        <f>M151+M152</f>
        <v>0</v>
      </c>
      <c r="N153" s="459">
        <f>N151+N152</f>
        <v>0</v>
      </c>
    </row>
    <row r="154" spans="1:14" s="407" customFormat="1" ht="14.1" hidden="1" customHeight="1">
      <c r="A154" s="1095"/>
      <c r="B154" s="1096"/>
      <c r="C154" s="1095"/>
      <c r="D154" s="1096"/>
      <c r="E154" s="500" t="s">
        <v>747</v>
      </c>
      <c r="F154" s="1135" t="s">
        <v>749</v>
      </c>
      <c r="G154" s="501" t="s">
        <v>0</v>
      </c>
      <c r="H154" s="502">
        <f t="shared" si="47"/>
        <v>82372</v>
      </c>
      <c r="I154" s="502">
        <f t="shared" si="48"/>
        <v>82372</v>
      </c>
      <c r="J154" s="502">
        <v>0</v>
      </c>
      <c r="K154" s="502">
        <v>82372</v>
      </c>
      <c r="L154" s="502">
        <f t="shared" si="49"/>
        <v>0</v>
      </c>
      <c r="M154" s="502">
        <v>0</v>
      </c>
      <c r="N154" s="502">
        <v>0</v>
      </c>
    </row>
    <row r="155" spans="1:14" s="407" customFormat="1" ht="14.1" hidden="1" customHeight="1">
      <c r="A155" s="1095"/>
      <c r="B155" s="1123"/>
      <c r="C155" s="1095"/>
      <c r="D155" s="1123"/>
      <c r="E155" s="503"/>
      <c r="F155" s="1136"/>
      <c r="G155" s="501" t="s">
        <v>1</v>
      </c>
      <c r="H155" s="502">
        <f t="shared" si="47"/>
        <v>0</v>
      </c>
      <c r="I155" s="502">
        <f t="shared" si="48"/>
        <v>0</v>
      </c>
      <c r="J155" s="502">
        <v>0</v>
      </c>
      <c r="K155" s="502">
        <v>0</v>
      </c>
      <c r="L155" s="502">
        <f t="shared" si="49"/>
        <v>0</v>
      </c>
      <c r="M155" s="502">
        <v>0</v>
      </c>
      <c r="N155" s="502">
        <v>0</v>
      </c>
    </row>
    <row r="156" spans="1:14" s="407" customFormat="1" ht="14.1" hidden="1" customHeight="1">
      <c r="A156" s="1095"/>
      <c r="B156" s="1123"/>
      <c r="C156" s="1095"/>
      <c r="D156" s="1123"/>
      <c r="E156" s="503"/>
      <c r="F156" s="1137"/>
      <c r="G156" s="501" t="s">
        <v>2</v>
      </c>
      <c r="H156" s="459">
        <f t="shared" si="47"/>
        <v>82372</v>
      </c>
      <c r="I156" s="459">
        <f t="shared" si="48"/>
        <v>82372</v>
      </c>
      <c r="J156" s="459">
        <f>J154+J155</f>
        <v>0</v>
      </c>
      <c r="K156" s="459">
        <f>K154+K155</f>
        <v>82372</v>
      </c>
      <c r="L156" s="459">
        <f t="shared" si="49"/>
        <v>0</v>
      </c>
      <c r="M156" s="459">
        <f>M154+M155</f>
        <v>0</v>
      </c>
      <c r="N156" s="459">
        <f>N154+N155</f>
        <v>0</v>
      </c>
    </row>
    <row r="157" spans="1:14" s="407" customFormat="1" ht="14.1" customHeight="1">
      <c r="A157" s="1097" t="s">
        <v>59</v>
      </c>
      <c r="B157" s="1098"/>
      <c r="C157" s="1097" t="s">
        <v>277</v>
      </c>
      <c r="D157" s="1098"/>
      <c r="E157" s="500" t="s">
        <v>751</v>
      </c>
      <c r="F157" s="1135" t="s">
        <v>753</v>
      </c>
      <c r="G157" s="501" t="s">
        <v>0</v>
      </c>
      <c r="H157" s="502">
        <f t="shared" si="47"/>
        <v>34468</v>
      </c>
      <c r="I157" s="502">
        <f t="shared" si="48"/>
        <v>34468</v>
      </c>
      <c r="J157" s="502">
        <v>0</v>
      </c>
      <c r="K157" s="502">
        <v>34468</v>
      </c>
      <c r="L157" s="502">
        <f t="shared" si="49"/>
        <v>0</v>
      </c>
      <c r="M157" s="502">
        <v>0</v>
      </c>
      <c r="N157" s="502">
        <v>0</v>
      </c>
    </row>
    <row r="158" spans="1:14" s="407" customFormat="1" ht="14.1" customHeight="1">
      <c r="A158" s="1095"/>
      <c r="B158" s="1123"/>
      <c r="C158" s="1095"/>
      <c r="D158" s="1123"/>
      <c r="E158" s="503"/>
      <c r="F158" s="1136"/>
      <c r="G158" s="501" t="s">
        <v>1</v>
      </c>
      <c r="H158" s="502">
        <f t="shared" si="47"/>
        <v>-30733</v>
      </c>
      <c r="I158" s="502">
        <f t="shared" si="48"/>
        <v>-30733</v>
      </c>
      <c r="J158" s="502">
        <v>0</v>
      </c>
      <c r="K158" s="502">
        <v>-30733</v>
      </c>
      <c r="L158" s="502">
        <f t="shared" si="49"/>
        <v>0</v>
      </c>
      <c r="M158" s="502">
        <v>0</v>
      </c>
      <c r="N158" s="502">
        <v>0</v>
      </c>
    </row>
    <row r="159" spans="1:14" s="407" customFormat="1" ht="14.1" customHeight="1">
      <c r="A159" s="1095"/>
      <c r="B159" s="1123"/>
      <c r="C159" s="1095"/>
      <c r="D159" s="1123"/>
      <c r="E159" s="503"/>
      <c r="F159" s="1137"/>
      <c r="G159" s="501" t="s">
        <v>2</v>
      </c>
      <c r="H159" s="459">
        <f t="shared" si="47"/>
        <v>3735</v>
      </c>
      <c r="I159" s="459">
        <f t="shared" si="48"/>
        <v>3735</v>
      </c>
      <c r="J159" s="459">
        <f>J157+J158</f>
        <v>0</v>
      </c>
      <c r="K159" s="459">
        <f>K157+K158</f>
        <v>3735</v>
      </c>
      <c r="L159" s="459">
        <f t="shared" si="49"/>
        <v>0</v>
      </c>
      <c r="M159" s="459">
        <f>M157+M158</f>
        <v>0</v>
      </c>
      <c r="N159" s="459">
        <f>N157+N158</f>
        <v>0</v>
      </c>
    </row>
    <row r="160" spans="1:14" s="407" customFormat="1" ht="14.1" customHeight="1">
      <c r="A160" s="1097" t="s">
        <v>61</v>
      </c>
      <c r="B160" s="1098"/>
      <c r="C160" s="1097" t="s">
        <v>442</v>
      </c>
      <c r="D160" s="1098"/>
      <c r="E160" s="510" t="s">
        <v>703</v>
      </c>
      <c r="F160" s="1135" t="s">
        <v>705</v>
      </c>
      <c r="G160" s="501" t="s">
        <v>0</v>
      </c>
      <c r="H160" s="502">
        <f t="shared" si="47"/>
        <v>2580333</v>
      </c>
      <c r="I160" s="502">
        <f t="shared" si="48"/>
        <v>2307237</v>
      </c>
      <c r="J160" s="502">
        <v>1986880</v>
      </c>
      <c r="K160" s="502">
        <v>320357</v>
      </c>
      <c r="L160" s="502">
        <f t="shared" si="49"/>
        <v>273096</v>
      </c>
      <c r="M160" s="502">
        <v>240716</v>
      </c>
      <c r="N160" s="502">
        <v>32380</v>
      </c>
    </row>
    <row r="161" spans="1:14" s="407" customFormat="1" ht="14.1" customHeight="1">
      <c r="A161" s="1095"/>
      <c r="B161" s="1123"/>
      <c r="C161" s="1095"/>
      <c r="D161" s="1123"/>
      <c r="E161" s="503"/>
      <c r="F161" s="1136"/>
      <c r="G161" s="501" t="s">
        <v>1</v>
      </c>
      <c r="H161" s="502">
        <f t="shared" si="47"/>
        <v>4470841</v>
      </c>
      <c r="I161" s="502">
        <f t="shared" si="48"/>
        <v>4329965</v>
      </c>
      <c r="J161" s="502">
        <v>4579819</v>
      </c>
      <c r="K161" s="502">
        <v>-249854</v>
      </c>
      <c r="L161" s="502">
        <f t="shared" si="49"/>
        <v>140876</v>
      </c>
      <c r="M161" s="502">
        <v>140876</v>
      </c>
      <c r="N161" s="502">
        <v>0</v>
      </c>
    </row>
    <row r="162" spans="1:14" s="407" customFormat="1" ht="14.1" customHeight="1">
      <c r="A162" s="1095"/>
      <c r="B162" s="1123"/>
      <c r="C162" s="1101"/>
      <c r="D162" s="1124"/>
      <c r="E162" s="503"/>
      <c r="F162" s="1137"/>
      <c r="G162" s="501" t="s">
        <v>2</v>
      </c>
      <c r="H162" s="459">
        <f t="shared" si="47"/>
        <v>7051174</v>
      </c>
      <c r="I162" s="459">
        <f t="shared" si="48"/>
        <v>6637202</v>
      </c>
      <c r="J162" s="459">
        <f>J160+J161</f>
        <v>6566699</v>
      </c>
      <c r="K162" s="459">
        <f>K160+K161</f>
        <v>70503</v>
      </c>
      <c r="L162" s="459">
        <f t="shared" si="49"/>
        <v>413972</v>
      </c>
      <c r="M162" s="459">
        <f>M160+M161</f>
        <v>381592</v>
      </c>
      <c r="N162" s="459">
        <f>N160+N161</f>
        <v>32380</v>
      </c>
    </row>
    <row r="163" spans="1:14" s="407" customFormat="1" ht="14.1" hidden="1" customHeight="1">
      <c r="A163" s="1095"/>
      <c r="B163" s="1096"/>
      <c r="C163" s="1097" t="s">
        <v>279</v>
      </c>
      <c r="D163" s="1098"/>
      <c r="E163" s="510" t="s">
        <v>703</v>
      </c>
      <c r="F163" s="1135" t="s">
        <v>705</v>
      </c>
      <c r="G163" s="501" t="s">
        <v>0</v>
      </c>
      <c r="H163" s="502">
        <f t="shared" si="47"/>
        <v>18408</v>
      </c>
      <c r="I163" s="502">
        <f t="shared" si="48"/>
        <v>0</v>
      </c>
      <c r="J163" s="502">
        <v>0</v>
      </c>
      <c r="K163" s="502">
        <v>0</v>
      </c>
      <c r="L163" s="502">
        <f t="shared" si="49"/>
        <v>18408</v>
      </c>
      <c r="M163" s="502">
        <v>18408</v>
      </c>
      <c r="N163" s="502">
        <v>0</v>
      </c>
    </row>
    <row r="164" spans="1:14" s="407" customFormat="1" ht="14.1" hidden="1" customHeight="1">
      <c r="A164" s="1095"/>
      <c r="B164" s="1123"/>
      <c r="C164" s="1095"/>
      <c r="D164" s="1123"/>
      <c r="E164" s="503"/>
      <c r="F164" s="1136"/>
      <c r="G164" s="501" t="s">
        <v>1</v>
      </c>
      <c r="H164" s="502">
        <f t="shared" si="47"/>
        <v>0</v>
      </c>
      <c r="I164" s="502">
        <f t="shared" si="48"/>
        <v>0</v>
      </c>
      <c r="J164" s="502">
        <v>0</v>
      </c>
      <c r="K164" s="502">
        <v>0</v>
      </c>
      <c r="L164" s="502">
        <f t="shared" si="49"/>
        <v>0</v>
      </c>
      <c r="M164" s="502">
        <v>0</v>
      </c>
      <c r="N164" s="502">
        <v>0</v>
      </c>
    </row>
    <row r="165" spans="1:14" s="407" customFormat="1" ht="14.1" hidden="1" customHeight="1">
      <c r="A165" s="1095"/>
      <c r="B165" s="1123"/>
      <c r="C165" s="1101"/>
      <c r="D165" s="1124"/>
      <c r="E165" s="503"/>
      <c r="F165" s="1137"/>
      <c r="G165" s="501" t="s">
        <v>2</v>
      </c>
      <c r="H165" s="459">
        <f t="shared" si="47"/>
        <v>18408</v>
      </c>
      <c r="I165" s="459">
        <f t="shared" si="48"/>
        <v>0</v>
      </c>
      <c r="J165" s="459">
        <f>J163+J164</f>
        <v>0</v>
      </c>
      <c r="K165" s="459">
        <f>K163+K164</f>
        <v>0</v>
      </c>
      <c r="L165" s="459">
        <f t="shared" si="49"/>
        <v>18408</v>
      </c>
      <c r="M165" s="459">
        <f>M163+M164</f>
        <v>18408</v>
      </c>
      <c r="N165" s="459">
        <f>N163+N164</f>
        <v>0</v>
      </c>
    </row>
    <row r="166" spans="1:14" s="407" customFormat="1" ht="14.1" customHeight="1">
      <c r="A166" s="1095"/>
      <c r="B166" s="1096"/>
      <c r="C166" s="1097" t="s">
        <v>1010</v>
      </c>
      <c r="D166" s="1098"/>
      <c r="E166" s="500" t="s">
        <v>731</v>
      </c>
      <c r="F166" s="1135" t="s">
        <v>1011</v>
      </c>
      <c r="G166" s="501" t="s">
        <v>0</v>
      </c>
      <c r="H166" s="502">
        <f t="shared" si="47"/>
        <v>204491</v>
      </c>
      <c r="I166" s="502">
        <f t="shared" si="48"/>
        <v>0</v>
      </c>
      <c r="J166" s="502">
        <v>0</v>
      </c>
      <c r="K166" s="502">
        <v>0</v>
      </c>
      <c r="L166" s="502">
        <f t="shared" si="49"/>
        <v>204491</v>
      </c>
      <c r="M166" s="502">
        <v>0</v>
      </c>
      <c r="N166" s="502">
        <v>204491</v>
      </c>
    </row>
    <row r="167" spans="1:14" s="407" customFormat="1" ht="14.1" customHeight="1">
      <c r="A167" s="1095"/>
      <c r="B167" s="1123"/>
      <c r="C167" s="1095"/>
      <c r="D167" s="1123"/>
      <c r="E167" s="503"/>
      <c r="F167" s="1136"/>
      <c r="G167" s="501" t="s">
        <v>1</v>
      </c>
      <c r="H167" s="502">
        <f t="shared" si="47"/>
        <v>-204491</v>
      </c>
      <c r="I167" s="502">
        <f t="shared" si="48"/>
        <v>0</v>
      </c>
      <c r="J167" s="502">
        <v>0</v>
      </c>
      <c r="K167" s="502">
        <v>0</v>
      </c>
      <c r="L167" s="502">
        <f t="shared" si="49"/>
        <v>-204491</v>
      </c>
      <c r="M167" s="502">
        <v>0</v>
      </c>
      <c r="N167" s="502">
        <v>-204491</v>
      </c>
    </row>
    <row r="168" spans="1:14" s="407" customFormat="1" ht="14.1" customHeight="1">
      <c r="A168" s="1095"/>
      <c r="B168" s="1123"/>
      <c r="C168" s="1095"/>
      <c r="D168" s="1123"/>
      <c r="E168" s="503"/>
      <c r="F168" s="1137"/>
      <c r="G168" s="501" t="s">
        <v>2</v>
      </c>
      <c r="H168" s="459">
        <f t="shared" si="47"/>
        <v>0</v>
      </c>
      <c r="I168" s="459">
        <f t="shared" si="48"/>
        <v>0</v>
      </c>
      <c r="J168" s="459">
        <f>J166+J167</f>
        <v>0</v>
      </c>
      <c r="K168" s="459">
        <f>K166+K167</f>
        <v>0</v>
      </c>
      <c r="L168" s="459">
        <f t="shared" si="49"/>
        <v>0</v>
      </c>
      <c r="M168" s="459">
        <f>M166+M167</f>
        <v>0</v>
      </c>
      <c r="N168" s="459">
        <f>N166+N167</f>
        <v>0</v>
      </c>
    </row>
    <row r="169" spans="1:14" s="407" customFormat="1" ht="14.1" customHeight="1">
      <c r="A169" s="1095"/>
      <c r="B169" s="1096"/>
      <c r="C169" s="1097" t="s">
        <v>458</v>
      </c>
      <c r="D169" s="1098"/>
      <c r="E169" s="500" t="s">
        <v>727</v>
      </c>
      <c r="F169" s="1135" t="s">
        <v>1012</v>
      </c>
      <c r="G169" s="501" t="s">
        <v>0</v>
      </c>
      <c r="H169" s="502">
        <f t="shared" si="47"/>
        <v>99570</v>
      </c>
      <c r="I169" s="502">
        <f t="shared" si="48"/>
        <v>57883</v>
      </c>
      <c r="J169" s="502">
        <v>0</v>
      </c>
      <c r="K169" s="502">
        <v>57883</v>
      </c>
      <c r="L169" s="502">
        <f t="shared" si="49"/>
        <v>41687</v>
      </c>
      <c r="M169" s="502">
        <v>0</v>
      </c>
      <c r="N169" s="502">
        <v>41687</v>
      </c>
    </row>
    <row r="170" spans="1:14" s="407" customFormat="1" ht="14.1" customHeight="1">
      <c r="A170" s="1095"/>
      <c r="B170" s="1123"/>
      <c r="C170" s="1095"/>
      <c r="D170" s="1123"/>
      <c r="E170" s="503"/>
      <c r="F170" s="1136"/>
      <c r="G170" s="501" t="s">
        <v>1</v>
      </c>
      <c r="H170" s="502">
        <f t="shared" si="47"/>
        <v>-70216</v>
      </c>
      <c r="I170" s="502">
        <f t="shared" si="48"/>
        <v>-34198</v>
      </c>
      <c r="J170" s="502">
        <v>0</v>
      </c>
      <c r="K170" s="502">
        <v>-34198</v>
      </c>
      <c r="L170" s="502">
        <f t="shared" si="49"/>
        <v>-36018</v>
      </c>
      <c r="M170" s="502">
        <v>0</v>
      </c>
      <c r="N170" s="502">
        <v>-36018</v>
      </c>
    </row>
    <row r="171" spans="1:14" s="407" customFormat="1" ht="14.1" customHeight="1">
      <c r="A171" s="1095"/>
      <c r="B171" s="1123"/>
      <c r="C171" s="1095"/>
      <c r="D171" s="1123"/>
      <c r="E171" s="508"/>
      <c r="F171" s="1137"/>
      <c r="G171" s="509" t="s">
        <v>2</v>
      </c>
      <c r="H171" s="459">
        <f t="shared" si="47"/>
        <v>29354</v>
      </c>
      <c r="I171" s="459">
        <f t="shared" si="48"/>
        <v>23685</v>
      </c>
      <c r="J171" s="459">
        <f>J169+J170</f>
        <v>0</v>
      </c>
      <c r="K171" s="459">
        <f>K169+K170</f>
        <v>23685</v>
      </c>
      <c r="L171" s="459">
        <f t="shared" si="49"/>
        <v>5669</v>
      </c>
      <c r="M171" s="459">
        <f>M169+M170</f>
        <v>0</v>
      </c>
      <c r="N171" s="459">
        <f>N169+N170</f>
        <v>5669</v>
      </c>
    </row>
    <row r="172" spans="1:14" s="407" customFormat="1" ht="14.1" customHeight="1">
      <c r="A172" s="1095"/>
      <c r="B172" s="1096"/>
      <c r="C172" s="1095"/>
      <c r="D172" s="1096"/>
      <c r="E172" s="500" t="s">
        <v>738</v>
      </c>
      <c r="F172" s="1135" t="s">
        <v>740</v>
      </c>
      <c r="G172" s="501" t="s">
        <v>0</v>
      </c>
      <c r="H172" s="502">
        <f t="shared" si="47"/>
        <v>145434</v>
      </c>
      <c r="I172" s="502">
        <f t="shared" si="48"/>
        <v>0</v>
      </c>
      <c r="J172" s="502">
        <v>0</v>
      </c>
      <c r="K172" s="502">
        <v>0</v>
      </c>
      <c r="L172" s="502">
        <f t="shared" si="49"/>
        <v>145434</v>
      </c>
      <c r="M172" s="502">
        <v>0</v>
      </c>
      <c r="N172" s="502">
        <v>145434</v>
      </c>
    </row>
    <row r="173" spans="1:14" s="407" customFormat="1" ht="14.1" customHeight="1">
      <c r="A173" s="1095"/>
      <c r="B173" s="1123"/>
      <c r="C173" s="1095"/>
      <c r="D173" s="1123"/>
      <c r="E173" s="503"/>
      <c r="F173" s="1136"/>
      <c r="G173" s="501" t="s">
        <v>1</v>
      </c>
      <c r="H173" s="502">
        <f t="shared" si="47"/>
        <v>-59768</v>
      </c>
      <c r="I173" s="502">
        <f t="shared" si="48"/>
        <v>0</v>
      </c>
      <c r="J173" s="502">
        <v>0</v>
      </c>
      <c r="K173" s="502">
        <v>0</v>
      </c>
      <c r="L173" s="502">
        <f t="shared" si="49"/>
        <v>-59768</v>
      </c>
      <c r="M173" s="502">
        <v>0</v>
      </c>
      <c r="N173" s="502">
        <v>-59768</v>
      </c>
    </row>
    <row r="174" spans="1:14" s="407" customFormat="1" ht="14.1" customHeight="1">
      <c r="A174" s="1095"/>
      <c r="B174" s="1123"/>
      <c r="C174" s="1101"/>
      <c r="D174" s="1124"/>
      <c r="E174" s="508"/>
      <c r="F174" s="1137"/>
      <c r="G174" s="509" t="s">
        <v>2</v>
      </c>
      <c r="H174" s="459">
        <f t="shared" si="47"/>
        <v>85666</v>
      </c>
      <c r="I174" s="459">
        <f t="shared" si="48"/>
        <v>0</v>
      </c>
      <c r="J174" s="459">
        <f>J172+J173</f>
        <v>0</v>
      </c>
      <c r="K174" s="459">
        <f>K172+K173</f>
        <v>0</v>
      </c>
      <c r="L174" s="459">
        <f t="shared" si="49"/>
        <v>85666</v>
      </c>
      <c r="M174" s="459">
        <f>M172+M173</f>
        <v>0</v>
      </c>
      <c r="N174" s="459">
        <f>N172+N173</f>
        <v>85666</v>
      </c>
    </row>
    <row r="175" spans="1:14" s="407" customFormat="1" ht="14.1" hidden="1" customHeight="1">
      <c r="A175" s="1095" t="s">
        <v>25</v>
      </c>
      <c r="B175" s="1096"/>
      <c r="C175" s="1097" t="s">
        <v>1013</v>
      </c>
      <c r="D175" s="1098"/>
      <c r="E175" s="500" t="s">
        <v>743</v>
      </c>
      <c r="F175" s="1135" t="s">
        <v>745</v>
      </c>
      <c r="G175" s="501" t="s">
        <v>0</v>
      </c>
      <c r="H175" s="502">
        <f t="shared" si="47"/>
        <v>39599</v>
      </c>
      <c r="I175" s="502">
        <f t="shared" si="48"/>
        <v>0</v>
      </c>
      <c r="J175" s="502">
        <v>0</v>
      </c>
      <c r="K175" s="502">
        <v>0</v>
      </c>
      <c r="L175" s="502">
        <f t="shared" si="49"/>
        <v>39599</v>
      </c>
      <c r="M175" s="502">
        <v>0</v>
      </c>
      <c r="N175" s="502">
        <v>39599</v>
      </c>
    </row>
    <row r="176" spans="1:14" s="407" customFormat="1" ht="14.1" hidden="1" customHeight="1">
      <c r="A176" s="1095"/>
      <c r="B176" s="1123"/>
      <c r="C176" s="1095"/>
      <c r="D176" s="1123"/>
      <c r="E176" s="503"/>
      <c r="F176" s="1136"/>
      <c r="G176" s="501" t="s">
        <v>1</v>
      </c>
      <c r="H176" s="502">
        <f t="shared" si="47"/>
        <v>0</v>
      </c>
      <c r="I176" s="502">
        <f t="shared" si="48"/>
        <v>0</v>
      </c>
      <c r="J176" s="502">
        <v>0</v>
      </c>
      <c r="K176" s="502">
        <v>0</v>
      </c>
      <c r="L176" s="502">
        <f t="shared" si="49"/>
        <v>0</v>
      </c>
      <c r="M176" s="502">
        <v>0</v>
      </c>
      <c r="N176" s="502">
        <v>0</v>
      </c>
    </row>
    <row r="177" spans="1:14" s="407" customFormat="1" ht="14.1" hidden="1" customHeight="1">
      <c r="A177" s="1095"/>
      <c r="B177" s="1123"/>
      <c r="C177" s="1095"/>
      <c r="D177" s="1123"/>
      <c r="E177" s="503"/>
      <c r="F177" s="1137"/>
      <c r="G177" s="501" t="s">
        <v>2</v>
      </c>
      <c r="H177" s="459">
        <f t="shared" si="47"/>
        <v>39599</v>
      </c>
      <c r="I177" s="459">
        <f t="shared" si="48"/>
        <v>0</v>
      </c>
      <c r="J177" s="459">
        <f>J175+J176</f>
        <v>0</v>
      </c>
      <c r="K177" s="459">
        <f>K175+K176</f>
        <v>0</v>
      </c>
      <c r="L177" s="459">
        <f t="shared" si="49"/>
        <v>39599</v>
      </c>
      <c r="M177" s="459">
        <f>M175+M176</f>
        <v>0</v>
      </c>
      <c r="N177" s="459">
        <f>N175+N176</f>
        <v>39599</v>
      </c>
    </row>
    <row r="178" spans="1:14" s="407" customFormat="1" ht="14.1" customHeight="1">
      <c r="A178" s="1095"/>
      <c r="B178" s="1096"/>
      <c r="C178" s="1097" t="s">
        <v>1014</v>
      </c>
      <c r="D178" s="1098"/>
      <c r="E178" s="510" t="s">
        <v>707</v>
      </c>
      <c r="F178" s="1135" t="s">
        <v>709</v>
      </c>
      <c r="G178" s="501" t="s">
        <v>0</v>
      </c>
      <c r="H178" s="502">
        <f t="shared" si="47"/>
        <v>837027</v>
      </c>
      <c r="I178" s="502">
        <f t="shared" si="48"/>
        <v>772020</v>
      </c>
      <c r="J178" s="502">
        <v>754848</v>
      </c>
      <c r="K178" s="502">
        <v>17172</v>
      </c>
      <c r="L178" s="502">
        <f t="shared" si="49"/>
        <v>65007</v>
      </c>
      <c r="M178" s="502">
        <v>58091</v>
      </c>
      <c r="N178" s="502">
        <v>6916</v>
      </c>
    </row>
    <row r="179" spans="1:14" s="407" customFormat="1" ht="14.1" customHeight="1">
      <c r="A179" s="1095"/>
      <c r="B179" s="1123"/>
      <c r="C179" s="1095"/>
      <c r="D179" s="1123"/>
      <c r="E179" s="511"/>
      <c r="F179" s="1136"/>
      <c r="G179" s="501" t="s">
        <v>1</v>
      </c>
      <c r="H179" s="502">
        <f t="shared" si="47"/>
        <v>649942</v>
      </c>
      <c r="I179" s="502">
        <f t="shared" si="48"/>
        <v>649942</v>
      </c>
      <c r="J179" s="502">
        <v>646609</v>
      </c>
      <c r="K179" s="502">
        <v>3333</v>
      </c>
      <c r="L179" s="502">
        <f t="shared" si="49"/>
        <v>0</v>
      </c>
      <c r="M179" s="502">
        <v>0</v>
      </c>
      <c r="N179" s="502">
        <v>0</v>
      </c>
    </row>
    <row r="180" spans="1:14" s="407" customFormat="1" ht="14.1" customHeight="1">
      <c r="A180" s="1095"/>
      <c r="B180" s="1123"/>
      <c r="C180" s="1095"/>
      <c r="D180" s="1123"/>
      <c r="E180" s="512"/>
      <c r="F180" s="1137"/>
      <c r="G180" s="501" t="s">
        <v>2</v>
      </c>
      <c r="H180" s="459">
        <f t="shared" si="47"/>
        <v>1486969</v>
      </c>
      <c r="I180" s="459">
        <f t="shared" si="48"/>
        <v>1421962</v>
      </c>
      <c r="J180" s="459">
        <f>J178+J179</f>
        <v>1401457</v>
      </c>
      <c r="K180" s="459">
        <f>K178+K179</f>
        <v>20505</v>
      </c>
      <c r="L180" s="459">
        <f t="shared" si="49"/>
        <v>65007</v>
      </c>
      <c r="M180" s="459">
        <f>M178+M179</f>
        <v>58091</v>
      </c>
      <c r="N180" s="459">
        <f>N178+N179</f>
        <v>6916</v>
      </c>
    </row>
    <row r="181" spans="1:14" s="407" customFormat="1" ht="14.1" customHeight="1">
      <c r="A181" s="1095"/>
      <c r="B181" s="1096"/>
      <c r="C181" s="1095"/>
      <c r="D181" s="1096"/>
      <c r="E181" s="500" t="s">
        <v>734</v>
      </c>
      <c r="F181" s="1135" t="s">
        <v>736</v>
      </c>
      <c r="G181" s="501" t="s">
        <v>0</v>
      </c>
      <c r="H181" s="502">
        <f t="shared" si="47"/>
        <v>48873</v>
      </c>
      <c r="I181" s="502">
        <f t="shared" si="48"/>
        <v>0</v>
      </c>
      <c r="J181" s="502">
        <v>0</v>
      </c>
      <c r="K181" s="502">
        <v>0</v>
      </c>
      <c r="L181" s="502">
        <f t="shared" si="49"/>
        <v>48873</v>
      </c>
      <c r="M181" s="502">
        <v>0</v>
      </c>
      <c r="N181" s="502">
        <v>48873</v>
      </c>
    </row>
    <row r="182" spans="1:14" s="407" customFormat="1" ht="14.1" customHeight="1">
      <c r="A182" s="1095"/>
      <c r="B182" s="1123"/>
      <c r="C182" s="1095"/>
      <c r="D182" s="1123"/>
      <c r="E182" s="511"/>
      <c r="F182" s="1136"/>
      <c r="G182" s="501" t="s">
        <v>1</v>
      </c>
      <c r="H182" s="502">
        <f t="shared" si="47"/>
        <v>-35984</v>
      </c>
      <c r="I182" s="502">
        <f t="shared" si="48"/>
        <v>0</v>
      </c>
      <c r="J182" s="502">
        <v>0</v>
      </c>
      <c r="K182" s="502">
        <v>0</v>
      </c>
      <c r="L182" s="502">
        <f t="shared" si="49"/>
        <v>-35984</v>
      </c>
      <c r="M182" s="502">
        <v>0</v>
      </c>
      <c r="N182" s="502">
        <v>-35984</v>
      </c>
    </row>
    <row r="183" spans="1:14" s="407" customFormat="1" ht="14.1" customHeight="1">
      <c r="A183" s="1095"/>
      <c r="B183" s="1123"/>
      <c r="C183" s="1095"/>
      <c r="D183" s="1123"/>
      <c r="E183" s="512"/>
      <c r="F183" s="1137"/>
      <c r="G183" s="501" t="s">
        <v>2</v>
      </c>
      <c r="H183" s="459">
        <f t="shared" si="47"/>
        <v>12889</v>
      </c>
      <c r="I183" s="459">
        <f t="shared" si="48"/>
        <v>0</v>
      </c>
      <c r="J183" s="459">
        <f>J181+J182</f>
        <v>0</v>
      </c>
      <c r="K183" s="459">
        <f>K181+K182</f>
        <v>0</v>
      </c>
      <c r="L183" s="459">
        <f t="shared" si="49"/>
        <v>12889</v>
      </c>
      <c r="M183" s="459">
        <f>M181+M182</f>
        <v>0</v>
      </c>
      <c r="N183" s="459">
        <f>N181+N182</f>
        <v>12889</v>
      </c>
    </row>
    <row r="184" spans="1:14" s="407" customFormat="1" ht="14.1" customHeight="1">
      <c r="A184" s="1095"/>
      <c r="B184" s="1096"/>
      <c r="C184" s="1095"/>
      <c r="D184" s="1096"/>
      <c r="E184" s="510" t="s">
        <v>741</v>
      </c>
      <c r="F184" s="1135" t="s">
        <v>742</v>
      </c>
      <c r="G184" s="501" t="s">
        <v>0</v>
      </c>
      <c r="H184" s="502">
        <f t="shared" si="47"/>
        <v>1935192</v>
      </c>
      <c r="I184" s="502">
        <f t="shared" si="48"/>
        <v>300000</v>
      </c>
      <c r="J184" s="502">
        <v>0</v>
      </c>
      <c r="K184" s="502">
        <v>300000</v>
      </c>
      <c r="L184" s="502">
        <f t="shared" si="49"/>
        <v>1635192</v>
      </c>
      <c r="M184" s="502">
        <v>11760</v>
      </c>
      <c r="N184" s="502">
        <v>1623432</v>
      </c>
    </row>
    <row r="185" spans="1:14" s="407" customFormat="1" ht="14.1" customHeight="1">
      <c r="A185" s="1095"/>
      <c r="B185" s="1123"/>
      <c r="C185" s="1095"/>
      <c r="D185" s="1123"/>
      <c r="E185" s="511"/>
      <c r="F185" s="1136"/>
      <c r="G185" s="501" t="s">
        <v>1</v>
      </c>
      <c r="H185" s="502">
        <f t="shared" si="47"/>
        <v>-1527048</v>
      </c>
      <c r="I185" s="502">
        <f t="shared" si="48"/>
        <v>-195176</v>
      </c>
      <c r="J185" s="502">
        <v>0</v>
      </c>
      <c r="K185" s="502">
        <f>-33143-162033</f>
        <v>-195176</v>
      </c>
      <c r="L185" s="502">
        <f t="shared" si="49"/>
        <v>-1331872</v>
      </c>
      <c r="M185" s="502">
        <v>0</v>
      </c>
      <c r="N185" s="502">
        <v>-1331872</v>
      </c>
    </row>
    <row r="186" spans="1:14" s="407" customFormat="1" ht="14.1" customHeight="1">
      <c r="A186" s="1095"/>
      <c r="B186" s="1123"/>
      <c r="C186" s="1101"/>
      <c r="D186" s="1124"/>
      <c r="E186" s="512"/>
      <c r="F186" s="1137"/>
      <c r="G186" s="501" t="s">
        <v>2</v>
      </c>
      <c r="H186" s="459">
        <f t="shared" si="47"/>
        <v>408144</v>
      </c>
      <c r="I186" s="459">
        <f t="shared" si="48"/>
        <v>104824</v>
      </c>
      <c r="J186" s="459">
        <f>J184+J185</f>
        <v>0</v>
      </c>
      <c r="K186" s="459">
        <f>K184+K185</f>
        <v>104824</v>
      </c>
      <c r="L186" s="459">
        <f t="shared" si="49"/>
        <v>303320</v>
      </c>
      <c r="M186" s="459">
        <f>M184+M185</f>
        <v>11760</v>
      </c>
      <c r="N186" s="459">
        <f>N184+N185</f>
        <v>291560</v>
      </c>
    </row>
    <row r="187" spans="1:14" s="407" customFormat="1" ht="14.1" hidden="1" customHeight="1">
      <c r="A187" s="1095" t="s">
        <v>65</v>
      </c>
      <c r="B187" s="1096"/>
      <c r="C187" s="1097" t="s">
        <v>312</v>
      </c>
      <c r="D187" s="1098"/>
      <c r="E187" s="500" t="s">
        <v>692</v>
      </c>
      <c r="F187" s="1135" t="s">
        <v>694</v>
      </c>
      <c r="G187" s="501" t="s">
        <v>0</v>
      </c>
      <c r="H187" s="502">
        <f t="shared" si="47"/>
        <v>37802</v>
      </c>
      <c r="I187" s="502">
        <f t="shared" si="48"/>
        <v>37802</v>
      </c>
      <c r="J187" s="502">
        <v>34616</v>
      </c>
      <c r="K187" s="502">
        <v>3186</v>
      </c>
      <c r="L187" s="502">
        <f t="shared" si="49"/>
        <v>0</v>
      </c>
      <c r="M187" s="502">
        <v>0</v>
      </c>
      <c r="N187" s="502">
        <v>0</v>
      </c>
    </row>
    <row r="188" spans="1:14" s="407" customFormat="1" ht="14.1" hidden="1" customHeight="1">
      <c r="A188" s="1095"/>
      <c r="B188" s="1123"/>
      <c r="C188" s="1095"/>
      <c r="D188" s="1123"/>
      <c r="E188" s="503"/>
      <c r="F188" s="1136"/>
      <c r="G188" s="501" t="s">
        <v>1</v>
      </c>
      <c r="H188" s="502">
        <f t="shared" si="47"/>
        <v>0</v>
      </c>
      <c r="I188" s="502">
        <f t="shared" si="48"/>
        <v>0</v>
      </c>
      <c r="J188" s="502">
        <v>0</v>
      </c>
      <c r="K188" s="502">
        <v>0</v>
      </c>
      <c r="L188" s="502">
        <f t="shared" si="49"/>
        <v>0</v>
      </c>
      <c r="M188" s="502">
        <v>0</v>
      </c>
      <c r="N188" s="502">
        <v>0</v>
      </c>
    </row>
    <row r="189" spans="1:14" s="407" customFormat="1" ht="14.1" hidden="1" customHeight="1">
      <c r="A189" s="1095"/>
      <c r="B189" s="1123"/>
      <c r="C189" s="1095"/>
      <c r="D189" s="1123"/>
      <c r="E189" s="503"/>
      <c r="F189" s="1137"/>
      <c r="G189" s="501" t="s">
        <v>2</v>
      </c>
      <c r="H189" s="459">
        <f t="shared" si="47"/>
        <v>37802</v>
      </c>
      <c r="I189" s="459">
        <f t="shared" si="48"/>
        <v>37802</v>
      </c>
      <c r="J189" s="459">
        <f>J187+J188</f>
        <v>34616</v>
      </c>
      <c r="K189" s="459">
        <f>K187+K188</f>
        <v>3186</v>
      </c>
      <c r="L189" s="459">
        <f t="shared" si="49"/>
        <v>0</v>
      </c>
      <c r="M189" s="459">
        <f>M187+M188</f>
        <v>0</v>
      </c>
      <c r="N189" s="459">
        <f>N187+N188</f>
        <v>0</v>
      </c>
    </row>
    <row r="190" spans="1:14" s="407" customFormat="1" ht="14.1" hidden="1" customHeight="1">
      <c r="A190" s="1095"/>
      <c r="B190" s="1096"/>
      <c r="C190" s="1097" t="s">
        <v>1015</v>
      </c>
      <c r="D190" s="1098"/>
      <c r="E190" s="500" t="s">
        <v>687</v>
      </c>
      <c r="F190" s="1135" t="s">
        <v>1016</v>
      </c>
      <c r="G190" s="501" t="s">
        <v>0</v>
      </c>
      <c r="H190" s="502">
        <f t="shared" si="47"/>
        <v>20579</v>
      </c>
      <c r="I190" s="502">
        <f t="shared" si="48"/>
        <v>20579</v>
      </c>
      <c r="J190" s="502">
        <v>18579</v>
      </c>
      <c r="K190" s="502">
        <v>2000</v>
      </c>
      <c r="L190" s="502">
        <f t="shared" si="49"/>
        <v>0</v>
      </c>
      <c r="M190" s="502">
        <v>0</v>
      </c>
      <c r="N190" s="502">
        <v>0</v>
      </c>
    </row>
    <row r="191" spans="1:14" s="407" customFormat="1" ht="14.1" hidden="1" customHeight="1">
      <c r="A191" s="1095"/>
      <c r="B191" s="1123"/>
      <c r="C191" s="1095"/>
      <c r="D191" s="1123"/>
      <c r="E191" s="503"/>
      <c r="F191" s="1136"/>
      <c r="G191" s="501" t="s">
        <v>1</v>
      </c>
      <c r="H191" s="502">
        <f t="shared" ref="H191:H201" si="50">I191+L191</f>
        <v>0</v>
      </c>
      <c r="I191" s="502">
        <f t="shared" ref="I191:I201" si="51">J191+K191</f>
        <v>0</v>
      </c>
      <c r="J191" s="502">
        <v>0</v>
      </c>
      <c r="K191" s="502">
        <v>0</v>
      </c>
      <c r="L191" s="502">
        <f t="shared" ref="L191:L201" si="52">M191+N191</f>
        <v>0</v>
      </c>
      <c r="M191" s="502">
        <v>0</v>
      </c>
      <c r="N191" s="502">
        <v>0</v>
      </c>
    </row>
    <row r="192" spans="1:14" s="407" customFormat="1" ht="14.1" hidden="1" customHeight="1">
      <c r="A192" s="1095"/>
      <c r="B192" s="1123"/>
      <c r="C192" s="1095"/>
      <c r="D192" s="1123"/>
      <c r="E192" s="503"/>
      <c r="F192" s="1137"/>
      <c r="G192" s="501" t="s">
        <v>2</v>
      </c>
      <c r="H192" s="459">
        <f t="shared" si="50"/>
        <v>20579</v>
      </c>
      <c r="I192" s="459">
        <f t="shared" si="51"/>
        <v>20579</v>
      </c>
      <c r="J192" s="459">
        <f>J190+J191</f>
        <v>18579</v>
      </c>
      <c r="K192" s="459">
        <f>K190+K191</f>
        <v>2000</v>
      </c>
      <c r="L192" s="459">
        <f t="shared" si="52"/>
        <v>0</v>
      </c>
      <c r="M192" s="459">
        <f>M190+M191</f>
        <v>0</v>
      </c>
      <c r="N192" s="459">
        <f>N190+N191</f>
        <v>0</v>
      </c>
    </row>
    <row r="193" spans="1:14" s="407" customFormat="1" ht="14.1" customHeight="1">
      <c r="A193" s="1095"/>
      <c r="B193" s="1096"/>
      <c r="C193" s="1097" t="s">
        <v>1015</v>
      </c>
      <c r="D193" s="1098"/>
      <c r="E193" s="510" t="s">
        <v>711</v>
      </c>
      <c r="F193" s="1135" t="s">
        <v>713</v>
      </c>
      <c r="G193" s="501" t="s">
        <v>0</v>
      </c>
      <c r="H193" s="502">
        <f t="shared" si="50"/>
        <v>1827142</v>
      </c>
      <c r="I193" s="502">
        <f t="shared" si="51"/>
        <v>1827142</v>
      </c>
      <c r="J193" s="502">
        <v>1771230</v>
      </c>
      <c r="K193" s="502">
        <v>55912</v>
      </c>
      <c r="L193" s="502">
        <f t="shared" si="52"/>
        <v>0</v>
      </c>
      <c r="M193" s="502">
        <v>0</v>
      </c>
      <c r="N193" s="502">
        <v>0</v>
      </c>
    </row>
    <row r="194" spans="1:14" s="407" customFormat="1" ht="14.1" customHeight="1">
      <c r="A194" s="1095"/>
      <c r="B194" s="1123"/>
      <c r="C194" s="1095"/>
      <c r="D194" s="1123"/>
      <c r="E194" s="511"/>
      <c r="F194" s="1136"/>
      <c r="G194" s="501" t="s">
        <v>1</v>
      </c>
      <c r="H194" s="502">
        <f t="shared" si="50"/>
        <v>284569</v>
      </c>
      <c r="I194" s="502">
        <f t="shared" si="51"/>
        <v>284569</v>
      </c>
      <c r="J194" s="502">
        <v>284569</v>
      </c>
      <c r="K194" s="502">
        <v>0</v>
      </c>
      <c r="L194" s="502">
        <f t="shared" si="52"/>
        <v>0</v>
      </c>
      <c r="M194" s="502">
        <v>0</v>
      </c>
      <c r="N194" s="502">
        <v>0</v>
      </c>
    </row>
    <row r="195" spans="1:14" s="407" customFormat="1" ht="14.1" customHeight="1">
      <c r="A195" s="1095"/>
      <c r="B195" s="1123"/>
      <c r="C195" s="1095"/>
      <c r="D195" s="1123"/>
      <c r="E195" s="512"/>
      <c r="F195" s="1137"/>
      <c r="G195" s="501" t="s">
        <v>2</v>
      </c>
      <c r="H195" s="459">
        <f t="shared" si="50"/>
        <v>2111711</v>
      </c>
      <c r="I195" s="459">
        <f t="shared" si="51"/>
        <v>2111711</v>
      </c>
      <c r="J195" s="459">
        <f>J193+J194</f>
        <v>2055799</v>
      </c>
      <c r="K195" s="459">
        <f>K193+K194</f>
        <v>55912</v>
      </c>
      <c r="L195" s="459">
        <f t="shared" si="52"/>
        <v>0</v>
      </c>
      <c r="M195" s="459">
        <f>M193+M194</f>
        <v>0</v>
      </c>
      <c r="N195" s="459">
        <f>N193+N194</f>
        <v>0</v>
      </c>
    </row>
    <row r="196" spans="1:14" s="407" customFormat="1" ht="14.1" customHeight="1">
      <c r="A196" s="1095"/>
      <c r="B196" s="1096"/>
      <c r="C196" s="1095"/>
      <c r="D196" s="1096"/>
      <c r="E196" s="510" t="s">
        <v>722</v>
      </c>
      <c r="F196" s="1135" t="s">
        <v>723</v>
      </c>
      <c r="G196" s="501" t="s">
        <v>0</v>
      </c>
      <c r="H196" s="502">
        <f t="shared" si="50"/>
        <v>1338989</v>
      </c>
      <c r="I196" s="502">
        <f t="shared" si="51"/>
        <v>1287663</v>
      </c>
      <c r="J196" s="502">
        <v>1287663</v>
      </c>
      <c r="K196" s="502">
        <v>0</v>
      </c>
      <c r="L196" s="502">
        <f t="shared" si="52"/>
        <v>51326</v>
      </c>
      <c r="M196" s="502">
        <v>51326</v>
      </c>
      <c r="N196" s="502">
        <v>0</v>
      </c>
    </row>
    <row r="197" spans="1:14" s="407" customFormat="1" ht="14.1" customHeight="1">
      <c r="A197" s="1095"/>
      <c r="B197" s="1123"/>
      <c r="C197" s="1095"/>
      <c r="D197" s="1123"/>
      <c r="E197" s="511"/>
      <c r="F197" s="1136"/>
      <c r="G197" s="501" t="s">
        <v>1</v>
      </c>
      <c r="H197" s="502">
        <f t="shared" si="50"/>
        <v>4415</v>
      </c>
      <c r="I197" s="502">
        <f t="shared" si="51"/>
        <v>4415</v>
      </c>
      <c r="J197" s="502">
        <f>4139</f>
        <v>4139</v>
      </c>
      <c r="K197" s="502">
        <v>276</v>
      </c>
      <c r="L197" s="502">
        <f t="shared" si="52"/>
        <v>0</v>
      </c>
      <c r="M197" s="502">
        <v>0</v>
      </c>
      <c r="N197" s="502">
        <v>0</v>
      </c>
    </row>
    <row r="198" spans="1:14" s="407" customFormat="1" ht="14.1" customHeight="1">
      <c r="A198" s="1095"/>
      <c r="B198" s="1123"/>
      <c r="C198" s="1095"/>
      <c r="D198" s="1123"/>
      <c r="E198" s="512"/>
      <c r="F198" s="1137"/>
      <c r="G198" s="501" t="s">
        <v>2</v>
      </c>
      <c r="H198" s="459">
        <f t="shared" si="50"/>
        <v>1343404</v>
      </c>
      <c r="I198" s="459">
        <f t="shared" si="51"/>
        <v>1292078</v>
      </c>
      <c r="J198" s="459">
        <f>J196+J197</f>
        <v>1291802</v>
      </c>
      <c r="K198" s="459">
        <f>K196+K197</f>
        <v>276</v>
      </c>
      <c r="L198" s="459">
        <f t="shared" si="52"/>
        <v>51326</v>
      </c>
      <c r="M198" s="459">
        <f>M196+M197</f>
        <v>51326</v>
      </c>
      <c r="N198" s="459">
        <f>N196+N197</f>
        <v>0</v>
      </c>
    </row>
    <row r="199" spans="1:14" s="407" customFormat="1" ht="14.1" customHeight="1">
      <c r="A199" s="1095"/>
      <c r="B199" s="1096"/>
      <c r="C199" s="1095"/>
      <c r="D199" s="1096"/>
      <c r="E199" s="500" t="s">
        <v>724</v>
      </c>
      <c r="F199" s="1135" t="s">
        <v>726</v>
      </c>
      <c r="G199" s="501" t="s">
        <v>0</v>
      </c>
      <c r="H199" s="502">
        <f t="shared" si="50"/>
        <v>227736</v>
      </c>
      <c r="I199" s="502">
        <f t="shared" si="51"/>
        <v>222385</v>
      </c>
      <c r="J199" s="502">
        <v>221115</v>
      </c>
      <c r="K199" s="502">
        <v>1270</v>
      </c>
      <c r="L199" s="502">
        <f t="shared" si="52"/>
        <v>5351</v>
      </c>
      <c r="M199" s="502">
        <v>5185</v>
      </c>
      <c r="N199" s="502">
        <v>166</v>
      </c>
    </row>
    <row r="200" spans="1:14" s="407" customFormat="1" ht="14.1" customHeight="1">
      <c r="A200" s="1095"/>
      <c r="B200" s="1123"/>
      <c r="C200" s="1095"/>
      <c r="D200" s="1123"/>
      <c r="E200" s="503"/>
      <c r="F200" s="1136"/>
      <c r="G200" s="501" t="s">
        <v>1</v>
      </c>
      <c r="H200" s="502">
        <f t="shared" si="50"/>
        <v>948</v>
      </c>
      <c r="I200" s="502">
        <f t="shared" si="51"/>
        <v>0</v>
      </c>
      <c r="J200" s="502">
        <v>0</v>
      </c>
      <c r="K200" s="502">
        <v>0</v>
      </c>
      <c r="L200" s="502">
        <f t="shared" si="52"/>
        <v>948</v>
      </c>
      <c r="M200" s="502">
        <v>0</v>
      </c>
      <c r="N200" s="502">
        <v>948</v>
      </c>
    </row>
    <row r="201" spans="1:14" s="407" customFormat="1" ht="14.1" customHeight="1">
      <c r="A201" s="1095"/>
      <c r="B201" s="1123"/>
      <c r="C201" s="1095"/>
      <c r="D201" s="1123"/>
      <c r="E201" s="503"/>
      <c r="F201" s="1137"/>
      <c r="G201" s="501" t="s">
        <v>2</v>
      </c>
      <c r="H201" s="459">
        <f t="shared" si="50"/>
        <v>228684</v>
      </c>
      <c r="I201" s="459">
        <f t="shared" si="51"/>
        <v>222385</v>
      </c>
      <c r="J201" s="459">
        <f>J199+J200</f>
        <v>221115</v>
      </c>
      <c r="K201" s="459">
        <f>K199+K200</f>
        <v>1270</v>
      </c>
      <c r="L201" s="459">
        <f t="shared" si="52"/>
        <v>6299</v>
      </c>
      <c r="M201" s="459">
        <f>M199+M200</f>
        <v>5185</v>
      </c>
      <c r="N201" s="459">
        <f>N199+N200</f>
        <v>1114</v>
      </c>
    </row>
    <row r="202" spans="1:14" s="479" customFormat="1" ht="5.0999999999999996" customHeight="1">
      <c r="A202" s="473"/>
      <c r="B202" s="474"/>
      <c r="C202" s="474"/>
      <c r="D202" s="474"/>
      <c r="E202" s="474"/>
      <c r="F202" s="474"/>
      <c r="G202" s="475"/>
      <c r="H202" s="476"/>
      <c r="I202" s="477"/>
      <c r="J202" s="477"/>
      <c r="K202" s="477"/>
      <c r="L202" s="477"/>
      <c r="M202" s="477"/>
      <c r="N202" s="478"/>
    </row>
    <row r="203" spans="1:14" s="497" customFormat="1" ht="15" customHeight="1">
      <c r="A203" s="1140" t="s">
        <v>1017</v>
      </c>
      <c r="B203" s="1141"/>
      <c r="C203" s="1141"/>
      <c r="D203" s="1141"/>
      <c r="E203" s="1141"/>
      <c r="F203" s="1142"/>
      <c r="G203" s="513" t="s">
        <v>0</v>
      </c>
      <c r="H203" s="496">
        <f>I203+L203</f>
        <v>39101709</v>
      </c>
      <c r="I203" s="496">
        <f>J203+K203</f>
        <v>28790161</v>
      </c>
      <c r="J203" s="496">
        <f>J207+J210+J213+J216+J219+J222+J225+J228+J231+J234+J237+J240+J243+J246+J249+J252+J255+J258+J261+J264+J267+J270+J273+J276+J279+J282+J285+J288+J291</f>
        <v>6586581</v>
      </c>
      <c r="K203" s="496">
        <f>K207+K210+K213+K216+K219+K222+K225+K228+K231+K234+K237+K240+K243+K246+K249+K252+K255+K258+K261+K264+K267+K270+K273+K276+K279+K282+K285+K288+K291</f>
        <v>22203580</v>
      </c>
      <c r="L203" s="496">
        <f>M203+N203</f>
        <v>10311548</v>
      </c>
      <c r="M203" s="496">
        <f>M207+M210+M213+M216+M219+M222+M225+M228+M231+M234+M237+M240+M243+M246+M249+M252+M255+M258+M261+M264+M267+M270+M273+M276+M279+M282+M285+M288+M291</f>
        <v>44117</v>
      </c>
      <c r="N203" s="496">
        <f>N207+N210+N213+N216+N219+N222+N225+N228+N231+N234+N237+N240+N243+N246+N249+N252+N255+N258+N261+N264+N267+N270+N273+N276+N279+N282+N285+N288+N291</f>
        <v>10267431</v>
      </c>
    </row>
    <row r="204" spans="1:14" s="497" customFormat="1" ht="15" customHeight="1">
      <c r="A204" s="1078"/>
      <c r="B204" s="1079"/>
      <c r="C204" s="1079"/>
      <c r="D204" s="1079"/>
      <c r="E204" s="1079"/>
      <c r="F204" s="1080"/>
      <c r="G204" s="513" t="s">
        <v>1</v>
      </c>
      <c r="H204" s="496">
        <f t="shared" ref="H204:H205" si="53">I204+L204</f>
        <v>2593694</v>
      </c>
      <c r="I204" s="496">
        <f t="shared" ref="I204:I205" si="54">J204+K204</f>
        <v>2108763</v>
      </c>
      <c r="J204" s="496">
        <f t="shared" ref="J204:K205" si="55">J208+J211+J214+J217+J220+J223+J226+J229+J232+J235+J238+J241+J244+J247+J250+J253+J256+J259+J262+J265+J268+J271+J274+J277+J280+J283+J286+J289+J292</f>
        <v>308773</v>
      </c>
      <c r="K204" s="496">
        <f t="shared" si="55"/>
        <v>1799990</v>
      </c>
      <c r="L204" s="496">
        <f t="shared" ref="L204:L205" si="56">M204+N204</f>
        <v>484931</v>
      </c>
      <c r="M204" s="496">
        <f t="shared" ref="M204:N205" si="57">M208+M211+M214+M217+M220+M223+M226+M229+M232+M235+M238+M241+M244+M247+M250+M253+M256+M259+M262+M265+M268+M271+M274+M277+M280+M283+M286+M289+M292</f>
        <v>-44117</v>
      </c>
      <c r="N204" s="496">
        <f t="shared" si="57"/>
        <v>529048</v>
      </c>
    </row>
    <row r="205" spans="1:14" s="497" customFormat="1" ht="15" customHeight="1">
      <c r="A205" s="1081"/>
      <c r="B205" s="1082"/>
      <c r="C205" s="1082"/>
      <c r="D205" s="1082"/>
      <c r="E205" s="1082"/>
      <c r="F205" s="1083"/>
      <c r="G205" s="513" t="s">
        <v>2</v>
      </c>
      <c r="H205" s="496">
        <f t="shared" si="53"/>
        <v>41695403</v>
      </c>
      <c r="I205" s="496">
        <f t="shared" si="54"/>
        <v>30898924</v>
      </c>
      <c r="J205" s="496">
        <f t="shared" si="55"/>
        <v>6895354</v>
      </c>
      <c r="K205" s="496">
        <f t="shared" si="55"/>
        <v>24003570</v>
      </c>
      <c r="L205" s="496">
        <f t="shared" si="56"/>
        <v>10796479</v>
      </c>
      <c r="M205" s="496">
        <f t="shared" si="57"/>
        <v>0</v>
      </c>
      <c r="N205" s="496">
        <f t="shared" si="57"/>
        <v>10796479</v>
      </c>
    </row>
    <row r="206" spans="1:14" s="441" customFormat="1" ht="5.25" customHeight="1">
      <c r="A206" s="488"/>
      <c r="B206" s="489"/>
      <c r="C206" s="489"/>
      <c r="D206" s="489"/>
      <c r="E206" s="490"/>
      <c r="F206" s="490"/>
      <c r="G206" s="491"/>
      <c r="H206" s="492"/>
      <c r="I206" s="493"/>
      <c r="J206" s="493"/>
      <c r="K206" s="493"/>
      <c r="L206" s="493"/>
      <c r="M206" s="493"/>
      <c r="N206" s="494"/>
    </row>
    <row r="207" spans="1:14" s="407" customFormat="1" ht="15" hidden="1" customHeight="1">
      <c r="A207" s="1097" t="s">
        <v>51</v>
      </c>
      <c r="B207" s="1098"/>
      <c r="C207" s="1097" t="s">
        <v>220</v>
      </c>
      <c r="D207" s="1098"/>
      <c r="E207" s="510" t="s">
        <v>1018</v>
      </c>
      <c r="F207" s="1135" t="s">
        <v>770</v>
      </c>
      <c r="G207" s="458" t="s">
        <v>0</v>
      </c>
      <c r="H207" s="459">
        <f t="shared" ref="H207:H290" si="58">I207+L207</f>
        <v>1997500</v>
      </c>
      <c r="I207" s="459">
        <f t="shared" ref="I207:I290" si="59">J207+K207</f>
        <v>1997500</v>
      </c>
      <c r="J207" s="459">
        <v>1997500</v>
      </c>
      <c r="K207" s="459">
        <v>0</v>
      </c>
      <c r="L207" s="459">
        <f t="shared" ref="L207:L290" si="60">M207+N207</f>
        <v>0</v>
      </c>
      <c r="M207" s="459">
        <v>0</v>
      </c>
      <c r="N207" s="459">
        <v>0</v>
      </c>
    </row>
    <row r="208" spans="1:14" s="407" customFormat="1" ht="15" hidden="1" customHeight="1">
      <c r="A208" s="1095"/>
      <c r="B208" s="1123"/>
      <c r="C208" s="1095"/>
      <c r="D208" s="1123"/>
      <c r="E208" s="514"/>
      <c r="F208" s="1136"/>
      <c r="G208" s="458" t="s">
        <v>1</v>
      </c>
      <c r="H208" s="459">
        <f t="shared" si="58"/>
        <v>0</v>
      </c>
      <c r="I208" s="459">
        <f t="shared" si="59"/>
        <v>0</v>
      </c>
      <c r="J208" s="459">
        <v>0</v>
      </c>
      <c r="K208" s="459">
        <v>0</v>
      </c>
      <c r="L208" s="459">
        <f t="shared" si="60"/>
        <v>0</v>
      </c>
      <c r="M208" s="459">
        <v>0</v>
      </c>
      <c r="N208" s="459">
        <v>0</v>
      </c>
    </row>
    <row r="209" spans="1:14" s="407" customFormat="1" ht="15" hidden="1" customHeight="1">
      <c r="A209" s="1095"/>
      <c r="B209" s="1123"/>
      <c r="C209" s="1095"/>
      <c r="D209" s="1123"/>
      <c r="E209" s="514"/>
      <c r="F209" s="1137"/>
      <c r="G209" s="458" t="s">
        <v>2</v>
      </c>
      <c r="H209" s="459">
        <f t="shared" si="58"/>
        <v>1997500</v>
      </c>
      <c r="I209" s="459">
        <f t="shared" si="59"/>
        <v>1997500</v>
      </c>
      <c r="J209" s="459">
        <f>J207+J208</f>
        <v>1997500</v>
      </c>
      <c r="K209" s="459">
        <f>K207+K208</f>
        <v>0</v>
      </c>
      <c r="L209" s="459">
        <f t="shared" si="60"/>
        <v>0</v>
      </c>
      <c r="M209" s="459">
        <f>M207+M208</f>
        <v>0</v>
      </c>
      <c r="N209" s="459">
        <f>N207+N208</f>
        <v>0</v>
      </c>
    </row>
    <row r="210" spans="1:14" s="407" customFormat="1" ht="15" hidden="1" customHeight="1">
      <c r="A210" s="1095"/>
      <c r="B210" s="1096"/>
      <c r="C210" s="1095"/>
      <c r="D210" s="1096"/>
      <c r="E210" s="503"/>
      <c r="F210" s="1135" t="s">
        <v>773</v>
      </c>
      <c r="G210" s="458" t="s">
        <v>0</v>
      </c>
      <c r="H210" s="459">
        <f t="shared" si="58"/>
        <v>1385500</v>
      </c>
      <c r="I210" s="459">
        <f t="shared" si="59"/>
        <v>1385500</v>
      </c>
      <c r="J210" s="459">
        <v>1385500</v>
      </c>
      <c r="K210" s="459">
        <v>0</v>
      </c>
      <c r="L210" s="459">
        <f t="shared" si="60"/>
        <v>0</v>
      </c>
      <c r="M210" s="459">
        <v>0</v>
      </c>
      <c r="N210" s="459">
        <v>0</v>
      </c>
    </row>
    <row r="211" spans="1:14" s="407" customFormat="1" ht="15" hidden="1" customHeight="1">
      <c r="A211" s="1095"/>
      <c r="B211" s="1123"/>
      <c r="C211" s="1095"/>
      <c r="D211" s="1123"/>
      <c r="E211" s="503"/>
      <c r="F211" s="1136"/>
      <c r="G211" s="458" t="s">
        <v>1</v>
      </c>
      <c r="H211" s="459">
        <f t="shared" si="58"/>
        <v>0</v>
      </c>
      <c r="I211" s="459">
        <f t="shared" si="59"/>
        <v>0</v>
      </c>
      <c r="J211" s="459">
        <v>0</v>
      </c>
      <c r="K211" s="459">
        <v>0</v>
      </c>
      <c r="L211" s="459">
        <f t="shared" si="60"/>
        <v>0</v>
      </c>
      <c r="M211" s="459">
        <v>0</v>
      </c>
      <c r="N211" s="459">
        <v>0</v>
      </c>
    </row>
    <row r="212" spans="1:14" s="407" customFormat="1" ht="15" hidden="1" customHeight="1">
      <c r="A212" s="1095"/>
      <c r="B212" s="1123"/>
      <c r="C212" s="1095"/>
      <c r="D212" s="1123"/>
      <c r="E212" s="503"/>
      <c r="F212" s="1137"/>
      <c r="G212" s="458" t="s">
        <v>2</v>
      </c>
      <c r="H212" s="459">
        <f t="shared" si="58"/>
        <v>1385500</v>
      </c>
      <c r="I212" s="459">
        <f t="shared" si="59"/>
        <v>1385500</v>
      </c>
      <c r="J212" s="459">
        <f>J210+J211</f>
        <v>1385500</v>
      </c>
      <c r="K212" s="459">
        <f>K210+K211</f>
        <v>0</v>
      </c>
      <c r="L212" s="459">
        <f t="shared" si="60"/>
        <v>0</v>
      </c>
      <c r="M212" s="459">
        <f>M210+M211</f>
        <v>0</v>
      </c>
      <c r="N212" s="459">
        <f>N210+N211</f>
        <v>0</v>
      </c>
    </row>
    <row r="213" spans="1:14" s="407" customFormat="1" ht="15" hidden="1" customHeight="1">
      <c r="A213" s="1095"/>
      <c r="B213" s="1096"/>
      <c r="C213" s="1095"/>
      <c r="D213" s="1096"/>
      <c r="E213" s="503"/>
      <c r="F213" s="1135" t="s">
        <v>1019</v>
      </c>
      <c r="G213" s="458" t="s">
        <v>0</v>
      </c>
      <c r="H213" s="459">
        <f t="shared" si="58"/>
        <v>2089698</v>
      </c>
      <c r="I213" s="459">
        <f t="shared" si="59"/>
        <v>2089698</v>
      </c>
      <c r="J213" s="459">
        <v>2089698</v>
      </c>
      <c r="K213" s="459">
        <v>0</v>
      </c>
      <c r="L213" s="459">
        <f t="shared" si="60"/>
        <v>0</v>
      </c>
      <c r="M213" s="459">
        <v>0</v>
      </c>
      <c r="N213" s="459">
        <v>0</v>
      </c>
    </row>
    <row r="214" spans="1:14" s="407" customFormat="1" ht="15" hidden="1" customHeight="1">
      <c r="A214" s="1095"/>
      <c r="B214" s="1123"/>
      <c r="C214" s="1095"/>
      <c r="D214" s="1123"/>
      <c r="E214" s="503"/>
      <c r="F214" s="1136"/>
      <c r="G214" s="458" t="s">
        <v>1</v>
      </c>
      <c r="H214" s="459">
        <f t="shared" si="58"/>
        <v>0</v>
      </c>
      <c r="I214" s="459">
        <f t="shared" si="59"/>
        <v>0</v>
      </c>
      <c r="J214" s="459">
        <v>0</v>
      </c>
      <c r="K214" s="459">
        <v>0</v>
      </c>
      <c r="L214" s="459">
        <f t="shared" si="60"/>
        <v>0</v>
      </c>
      <c r="M214" s="459">
        <v>0</v>
      </c>
      <c r="N214" s="459">
        <v>0</v>
      </c>
    </row>
    <row r="215" spans="1:14" s="407" customFormat="1" ht="15" hidden="1" customHeight="1">
      <c r="A215" s="1101"/>
      <c r="B215" s="1124"/>
      <c r="C215" s="1101"/>
      <c r="D215" s="1124"/>
      <c r="E215" s="503"/>
      <c r="F215" s="1137"/>
      <c r="G215" s="458" t="s">
        <v>2</v>
      </c>
      <c r="H215" s="459">
        <f t="shared" si="58"/>
        <v>2089698</v>
      </c>
      <c r="I215" s="459">
        <f t="shared" si="59"/>
        <v>2089698</v>
      </c>
      <c r="J215" s="459">
        <f>J213+J214</f>
        <v>2089698</v>
      </c>
      <c r="K215" s="459">
        <f>K213+K214</f>
        <v>0</v>
      </c>
      <c r="L215" s="459">
        <f t="shared" si="60"/>
        <v>0</v>
      </c>
      <c r="M215" s="459">
        <f>M213+M214</f>
        <v>0</v>
      </c>
      <c r="N215" s="459">
        <f>N213+N214</f>
        <v>0</v>
      </c>
    </row>
    <row r="216" spans="1:14" s="407" customFormat="1" ht="15" hidden="1" customHeight="1">
      <c r="A216" s="1097" t="s">
        <v>53</v>
      </c>
      <c r="B216" s="1098"/>
      <c r="C216" s="1097" t="s">
        <v>236</v>
      </c>
      <c r="D216" s="1098"/>
      <c r="E216" s="510" t="s">
        <v>1020</v>
      </c>
      <c r="F216" s="1135" t="s">
        <v>1021</v>
      </c>
      <c r="G216" s="458" t="s">
        <v>0</v>
      </c>
      <c r="H216" s="459">
        <f t="shared" si="58"/>
        <v>2254799</v>
      </c>
      <c r="I216" s="459">
        <f t="shared" si="59"/>
        <v>2254799</v>
      </c>
      <c r="J216" s="459">
        <v>0</v>
      </c>
      <c r="K216" s="459">
        <v>2254799</v>
      </c>
      <c r="L216" s="459">
        <f t="shared" si="60"/>
        <v>0</v>
      </c>
      <c r="M216" s="459">
        <v>0</v>
      </c>
      <c r="N216" s="459">
        <v>0</v>
      </c>
    </row>
    <row r="217" spans="1:14" s="407" customFormat="1" ht="15" hidden="1" customHeight="1">
      <c r="A217" s="1095"/>
      <c r="B217" s="1092"/>
      <c r="C217" s="1095"/>
      <c r="D217" s="1092"/>
      <c r="E217" s="503"/>
      <c r="F217" s="1136"/>
      <c r="G217" s="458" t="s">
        <v>1</v>
      </c>
      <c r="H217" s="459">
        <f t="shared" si="58"/>
        <v>0</v>
      </c>
      <c r="I217" s="459">
        <f t="shared" si="59"/>
        <v>0</v>
      </c>
      <c r="J217" s="459">
        <v>0</v>
      </c>
      <c r="K217" s="459">
        <v>0</v>
      </c>
      <c r="L217" s="459">
        <f t="shared" si="60"/>
        <v>0</v>
      </c>
      <c r="M217" s="459">
        <v>0</v>
      </c>
      <c r="N217" s="459">
        <v>0</v>
      </c>
    </row>
    <row r="218" spans="1:14" s="407" customFormat="1" ht="15" hidden="1" customHeight="1">
      <c r="A218" s="1095"/>
      <c r="B218" s="1092"/>
      <c r="C218" s="1095"/>
      <c r="D218" s="1092"/>
      <c r="E218" s="508"/>
      <c r="F218" s="1137"/>
      <c r="G218" s="458" t="s">
        <v>2</v>
      </c>
      <c r="H218" s="459">
        <f t="shared" si="58"/>
        <v>2254799</v>
      </c>
      <c r="I218" s="459">
        <f t="shared" si="59"/>
        <v>2254799</v>
      </c>
      <c r="J218" s="459">
        <f>J216+J217</f>
        <v>0</v>
      </c>
      <c r="K218" s="459">
        <f>K216+K217</f>
        <v>2254799</v>
      </c>
      <c r="L218" s="459">
        <f t="shared" si="60"/>
        <v>0</v>
      </c>
      <c r="M218" s="459">
        <f>M216+M217</f>
        <v>0</v>
      </c>
      <c r="N218" s="459">
        <f>N216+N217</f>
        <v>0</v>
      </c>
    </row>
    <row r="219" spans="1:14" s="407" customFormat="1" ht="15" hidden="1" customHeight="1">
      <c r="A219" s="1095"/>
      <c r="B219" s="1096"/>
      <c r="C219" s="1095"/>
      <c r="D219" s="1096"/>
      <c r="E219" s="510" t="s">
        <v>1022</v>
      </c>
      <c r="F219" s="1135" t="s">
        <v>1023</v>
      </c>
      <c r="G219" s="458" t="s">
        <v>0</v>
      </c>
      <c r="H219" s="459">
        <f t="shared" si="58"/>
        <v>42500</v>
      </c>
      <c r="I219" s="459">
        <f t="shared" si="59"/>
        <v>42500</v>
      </c>
      <c r="J219" s="459">
        <v>0</v>
      </c>
      <c r="K219" s="459">
        <v>42500</v>
      </c>
      <c r="L219" s="459">
        <f t="shared" si="60"/>
        <v>0</v>
      </c>
      <c r="M219" s="459">
        <v>0</v>
      </c>
      <c r="N219" s="459">
        <v>0</v>
      </c>
    </row>
    <row r="220" spans="1:14" s="407" customFormat="1" ht="15" hidden="1" customHeight="1">
      <c r="A220" s="1095"/>
      <c r="B220" s="1092"/>
      <c r="C220" s="1095"/>
      <c r="D220" s="1092"/>
      <c r="E220" s="503"/>
      <c r="F220" s="1136"/>
      <c r="G220" s="458" t="s">
        <v>1</v>
      </c>
      <c r="H220" s="459">
        <f t="shared" si="58"/>
        <v>0</v>
      </c>
      <c r="I220" s="459">
        <f t="shared" si="59"/>
        <v>0</v>
      </c>
      <c r="J220" s="459">
        <v>0</v>
      </c>
      <c r="K220" s="459">
        <v>0</v>
      </c>
      <c r="L220" s="459">
        <f t="shared" si="60"/>
        <v>0</v>
      </c>
      <c r="M220" s="459">
        <v>0</v>
      </c>
      <c r="N220" s="459">
        <v>0</v>
      </c>
    </row>
    <row r="221" spans="1:14" s="407" customFormat="1" ht="15" hidden="1" customHeight="1">
      <c r="A221" s="1101"/>
      <c r="B221" s="1094"/>
      <c r="C221" s="1101"/>
      <c r="D221" s="1094"/>
      <c r="E221" s="508"/>
      <c r="F221" s="1137"/>
      <c r="G221" s="458" t="s">
        <v>2</v>
      </c>
      <c r="H221" s="459">
        <f t="shared" si="58"/>
        <v>42500</v>
      </c>
      <c r="I221" s="459">
        <f t="shared" si="59"/>
        <v>42500</v>
      </c>
      <c r="J221" s="459">
        <f>J219+J220</f>
        <v>0</v>
      </c>
      <c r="K221" s="459">
        <f>K219+K220</f>
        <v>42500</v>
      </c>
      <c r="L221" s="459">
        <f t="shared" si="60"/>
        <v>0</v>
      </c>
      <c r="M221" s="459">
        <f>M219+M220</f>
        <v>0</v>
      </c>
      <c r="N221" s="459">
        <f>N219+N220</f>
        <v>0</v>
      </c>
    </row>
    <row r="222" spans="1:14" s="480" customFormat="1" ht="14.85" customHeight="1">
      <c r="A222" s="1099" t="s">
        <v>59</v>
      </c>
      <c r="B222" s="1100"/>
      <c r="C222" s="1099" t="s">
        <v>1009</v>
      </c>
      <c r="D222" s="1100"/>
      <c r="E222" s="515" t="s">
        <v>1024</v>
      </c>
      <c r="F222" s="1135" t="s">
        <v>1025</v>
      </c>
      <c r="G222" s="458" t="s">
        <v>0</v>
      </c>
      <c r="H222" s="459">
        <f t="shared" si="58"/>
        <v>52074</v>
      </c>
      <c r="I222" s="459">
        <f t="shared" si="59"/>
        <v>52074</v>
      </c>
      <c r="J222" s="459">
        <v>52074</v>
      </c>
      <c r="K222" s="459">
        <v>0</v>
      </c>
      <c r="L222" s="459">
        <f t="shared" si="60"/>
        <v>0</v>
      </c>
      <c r="M222" s="459">
        <v>0</v>
      </c>
      <c r="N222" s="459">
        <v>0</v>
      </c>
    </row>
    <row r="223" spans="1:14" s="480" customFormat="1" ht="14.85" customHeight="1">
      <c r="A223" s="1084"/>
      <c r="B223" s="1092"/>
      <c r="C223" s="1084"/>
      <c r="D223" s="1092"/>
      <c r="E223" s="516"/>
      <c r="F223" s="1136"/>
      <c r="G223" s="458" t="s">
        <v>1</v>
      </c>
      <c r="H223" s="459">
        <f t="shared" si="58"/>
        <v>-52074</v>
      </c>
      <c r="I223" s="459">
        <f t="shared" si="59"/>
        <v>-52074</v>
      </c>
      <c r="J223" s="459">
        <v>-52074</v>
      </c>
      <c r="K223" s="459">
        <v>0</v>
      </c>
      <c r="L223" s="459">
        <f t="shared" si="60"/>
        <v>0</v>
      </c>
      <c r="M223" s="459">
        <v>0</v>
      </c>
      <c r="N223" s="459">
        <v>0</v>
      </c>
    </row>
    <row r="224" spans="1:14" s="480" customFormat="1" ht="14.85" customHeight="1">
      <c r="A224" s="1093"/>
      <c r="B224" s="1094"/>
      <c r="C224" s="1093"/>
      <c r="D224" s="1094"/>
      <c r="E224" s="517"/>
      <c r="F224" s="1137"/>
      <c r="G224" s="458" t="s">
        <v>2</v>
      </c>
      <c r="H224" s="459">
        <f t="shared" si="58"/>
        <v>0</v>
      </c>
      <c r="I224" s="459">
        <f t="shared" si="59"/>
        <v>0</v>
      </c>
      <c r="J224" s="459">
        <f>J222+J223</f>
        <v>0</v>
      </c>
      <c r="K224" s="459">
        <f>K222+K223</f>
        <v>0</v>
      </c>
      <c r="L224" s="459">
        <f t="shared" si="60"/>
        <v>0</v>
      </c>
      <c r="M224" s="459">
        <f>M222+M223</f>
        <v>0</v>
      </c>
      <c r="N224" s="459">
        <f>N222+N223</f>
        <v>0</v>
      </c>
    </row>
    <row r="225" spans="1:14" s="480" customFormat="1" ht="14.85" hidden="1" customHeight="1">
      <c r="A225" s="1084"/>
      <c r="B225" s="1085"/>
      <c r="C225" s="1084"/>
      <c r="D225" s="1085"/>
      <c r="E225" s="516" t="s">
        <v>1026</v>
      </c>
      <c r="F225" s="1139" t="s">
        <v>1027</v>
      </c>
      <c r="G225" s="518" t="s">
        <v>0</v>
      </c>
      <c r="H225" s="519">
        <f t="shared" si="58"/>
        <v>70710</v>
      </c>
      <c r="I225" s="519">
        <f t="shared" si="59"/>
        <v>70710</v>
      </c>
      <c r="J225" s="519">
        <v>0</v>
      </c>
      <c r="K225" s="519">
        <v>70710</v>
      </c>
      <c r="L225" s="519">
        <f t="shared" si="60"/>
        <v>0</v>
      </c>
      <c r="M225" s="519">
        <v>0</v>
      </c>
      <c r="N225" s="519">
        <v>0</v>
      </c>
    </row>
    <row r="226" spans="1:14" s="480" customFormat="1" ht="14.85" hidden="1" customHeight="1">
      <c r="A226" s="1084"/>
      <c r="B226" s="1092"/>
      <c r="C226" s="1084"/>
      <c r="D226" s="1092"/>
      <c r="E226" s="516"/>
      <c r="F226" s="1136"/>
      <c r="G226" s="458" t="s">
        <v>1</v>
      </c>
      <c r="H226" s="459">
        <f t="shared" si="58"/>
        <v>0</v>
      </c>
      <c r="I226" s="459">
        <f t="shared" si="59"/>
        <v>0</v>
      </c>
      <c r="J226" s="459">
        <v>0</v>
      </c>
      <c r="K226" s="459">
        <v>0</v>
      </c>
      <c r="L226" s="459">
        <f t="shared" si="60"/>
        <v>0</v>
      </c>
      <c r="M226" s="459">
        <v>0</v>
      </c>
      <c r="N226" s="459">
        <v>0</v>
      </c>
    </row>
    <row r="227" spans="1:14" s="480" customFormat="1" ht="14.85" hidden="1" customHeight="1">
      <c r="A227" s="1084"/>
      <c r="B227" s="1092"/>
      <c r="C227" s="1084"/>
      <c r="D227" s="1092"/>
      <c r="E227" s="517"/>
      <c r="F227" s="1137"/>
      <c r="G227" s="458" t="s">
        <v>2</v>
      </c>
      <c r="H227" s="459">
        <f t="shared" si="58"/>
        <v>70710</v>
      </c>
      <c r="I227" s="459">
        <f t="shared" si="59"/>
        <v>70710</v>
      </c>
      <c r="J227" s="459">
        <f>J225+J226</f>
        <v>0</v>
      </c>
      <c r="K227" s="459">
        <f>K225+K226</f>
        <v>70710</v>
      </c>
      <c r="L227" s="459">
        <f t="shared" si="60"/>
        <v>0</v>
      </c>
      <c r="M227" s="459">
        <f>M225+M226</f>
        <v>0</v>
      </c>
      <c r="N227" s="459">
        <f>N225+N226</f>
        <v>0</v>
      </c>
    </row>
    <row r="228" spans="1:14" s="480" customFormat="1" ht="14.85" hidden="1" customHeight="1">
      <c r="A228" s="1084"/>
      <c r="B228" s="1085"/>
      <c r="C228" s="1084"/>
      <c r="D228" s="1085"/>
      <c r="E228" s="515" t="s">
        <v>1028</v>
      </c>
      <c r="F228" s="1135" t="s">
        <v>807</v>
      </c>
      <c r="G228" s="458" t="s">
        <v>0</v>
      </c>
      <c r="H228" s="459">
        <f t="shared" si="58"/>
        <v>2969120</v>
      </c>
      <c r="I228" s="459">
        <f t="shared" si="59"/>
        <v>2969120</v>
      </c>
      <c r="J228" s="459">
        <v>0</v>
      </c>
      <c r="K228" s="459">
        <v>2969120</v>
      </c>
      <c r="L228" s="459">
        <f t="shared" si="60"/>
        <v>0</v>
      </c>
      <c r="M228" s="459">
        <v>0</v>
      </c>
      <c r="N228" s="459">
        <v>0</v>
      </c>
    </row>
    <row r="229" spans="1:14" s="480" customFormat="1" ht="14.85" hidden="1" customHeight="1">
      <c r="A229" s="1084"/>
      <c r="B229" s="1118"/>
      <c r="C229" s="1084"/>
      <c r="D229" s="1118"/>
      <c r="E229" s="516"/>
      <c r="F229" s="1136"/>
      <c r="G229" s="458" t="s">
        <v>1</v>
      </c>
      <c r="H229" s="459">
        <f t="shared" si="58"/>
        <v>0</v>
      </c>
      <c r="I229" s="459">
        <f t="shared" si="59"/>
        <v>0</v>
      </c>
      <c r="J229" s="459">
        <v>0</v>
      </c>
      <c r="K229" s="459">
        <v>0</v>
      </c>
      <c r="L229" s="459">
        <f t="shared" si="60"/>
        <v>0</v>
      </c>
      <c r="M229" s="459">
        <v>0</v>
      </c>
      <c r="N229" s="459">
        <v>0</v>
      </c>
    </row>
    <row r="230" spans="1:14" s="480" customFormat="1" ht="14.85" hidden="1" customHeight="1">
      <c r="A230" s="1084"/>
      <c r="B230" s="1118"/>
      <c r="C230" s="1084"/>
      <c r="D230" s="1118"/>
      <c r="E230" s="516"/>
      <c r="F230" s="1136"/>
      <c r="G230" s="520" t="s">
        <v>2</v>
      </c>
      <c r="H230" s="502">
        <f t="shared" si="58"/>
        <v>2969120</v>
      </c>
      <c r="I230" s="502">
        <f t="shared" si="59"/>
        <v>2969120</v>
      </c>
      <c r="J230" s="502">
        <f>J228+J229</f>
        <v>0</v>
      </c>
      <c r="K230" s="502">
        <f>K228+K229</f>
        <v>2969120</v>
      </c>
      <c r="L230" s="502">
        <f t="shared" si="60"/>
        <v>0</v>
      </c>
      <c r="M230" s="502">
        <f>M228+M229</f>
        <v>0</v>
      </c>
      <c r="N230" s="502">
        <f>N228+N229</f>
        <v>0</v>
      </c>
    </row>
    <row r="231" spans="1:14" s="480" customFormat="1" ht="14.45" customHeight="1">
      <c r="A231" s="1099"/>
      <c r="B231" s="1100"/>
      <c r="C231" s="1099" t="s">
        <v>277</v>
      </c>
      <c r="D231" s="1100"/>
      <c r="E231" s="515" t="s">
        <v>1024</v>
      </c>
      <c r="F231" s="1135" t="s">
        <v>1025</v>
      </c>
      <c r="G231" s="458" t="s">
        <v>0</v>
      </c>
      <c r="H231" s="459">
        <f t="shared" si="58"/>
        <v>61266</v>
      </c>
      <c r="I231" s="459">
        <f t="shared" si="59"/>
        <v>61266</v>
      </c>
      <c r="J231" s="459">
        <v>61266</v>
      </c>
      <c r="K231" s="459">
        <v>0</v>
      </c>
      <c r="L231" s="459">
        <f t="shared" si="60"/>
        <v>0</v>
      </c>
      <c r="M231" s="459">
        <v>0</v>
      </c>
      <c r="N231" s="459">
        <v>0</v>
      </c>
    </row>
    <row r="232" spans="1:14" s="480" customFormat="1" ht="14.45" customHeight="1">
      <c r="A232" s="1084"/>
      <c r="B232" s="1118"/>
      <c r="C232" s="1084"/>
      <c r="D232" s="1118"/>
      <c r="E232" s="516"/>
      <c r="F232" s="1136"/>
      <c r="G232" s="458" t="s">
        <v>1</v>
      </c>
      <c r="H232" s="459">
        <f t="shared" si="58"/>
        <v>-61266</v>
      </c>
      <c r="I232" s="459">
        <f t="shared" si="59"/>
        <v>-61266</v>
      </c>
      <c r="J232" s="459">
        <v>-61266</v>
      </c>
      <c r="K232" s="459">
        <v>0</v>
      </c>
      <c r="L232" s="459">
        <f t="shared" si="60"/>
        <v>0</v>
      </c>
      <c r="M232" s="459">
        <v>0</v>
      </c>
      <c r="N232" s="459">
        <v>0</v>
      </c>
    </row>
    <row r="233" spans="1:14" s="480" customFormat="1" ht="14.45" customHeight="1">
      <c r="A233" s="1084"/>
      <c r="B233" s="1118"/>
      <c r="C233" s="1084"/>
      <c r="D233" s="1118"/>
      <c r="E233" s="516"/>
      <c r="F233" s="1137"/>
      <c r="G233" s="458" t="s">
        <v>2</v>
      </c>
      <c r="H233" s="459">
        <f t="shared" si="58"/>
        <v>0</v>
      </c>
      <c r="I233" s="459">
        <f t="shared" si="59"/>
        <v>0</v>
      </c>
      <c r="J233" s="459">
        <f>J231+J232</f>
        <v>0</v>
      </c>
      <c r="K233" s="459">
        <f>K231+K232</f>
        <v>0</v>
      </c>
      <c r="L233" s="459">
        <f t="shared" si="60"/>
        <v>0</v>
      </c>
      <c r="M233" s="459">
        <f>M231+M232</f>
        <v>0</v>
      </c>
      <c r="N233" s="459">
        <f>N231+N232</f>
        <v>0</v>
      </c>
    </row>
    <row r="234" spans="1:14" s="480" customFormat="1" ht="14.45" customHeight="1">
      <c r="A234" s="1084"/>
      <c r="B234" s="1085"/>
      <c r="C234" s="1084"/>
      <c r="D234" s="1085"/>
      <c r="E234" s="516"/>
      <c r="F234" s="1135" t="s">
        <v>1029</v>
      </c>
      <c r="G234" s="458" t="s">
        <v>0</v>
      </c>
      <c r="H234" s="459">
        <f t="shared" si="58"/>
        <v>224240</v>
      </c>
      <c r="I234" s="459">
        <f t="shared" si="59"/>
        <v>224240</v>
      </c>
      <c r="J234" s="459">
        <v>224240</v>
      </c>
      <c r="K234" s="459">
        <v>0</v>
      </c>
      <c r="L234" s="459">
        <f t="shared" si="60"/>
        <v>0</v>
      </c>
      <c r="M234" s="459">
        <v>0</v>
      </c>
      <c r="N234" s="459">
        <v>0</v>
      </c>
    </row>
    <row r="235" spans="1:14" s="480" customFormat="1" ht="14.45" customHeight="1">
      <c r="A235" s="1084"/>
      <c r="B235" s="1118"/>
      <c r="C235" s="1084"/>
      <c r="D235" s="1118"/>
      <c r="E235" s="516"/>
      <c r="F235" s="1136"/>
      <c r="G235" s="458" t="s">
        <v>1</v>
      </c>
      <c r="H235" s="459">
        <f t="shared" si="58"/>
        <v>126218</v>
      </c>
      <c r="I235" s="459">
        <f t="shared" si="59"/>
        <v>126218</v>
      </c>
      <c r="J235" s="459">
        <v>126218</v>
      </c>
      <c r="K235" s="459">
        <v>0</v>
      </c>
      <c r="L235" s="459">
        <f t="shared" si="60"/>
        <v>0</v>
      </c>
      <c r="M235" s="459">
        <v>0</v>
      </c>
      <c r="N235" s="459">
        <v>0</v>
      </c>
    </row>
    <row r="236" spans="1:14" s="480" customFormat="1" ht="14.45" customHeight="1">
      <c r="A236" s="1084"/>
      <c r="B236" s="1118"/>
      <c r="C236" s="1084"/>
      <c r="D236" s="1118"/>
      <c r="E236" s="517"/>
      <c r="F236" s="1137"/>
      <c r="G236" s="458" t="s">
        <v>2</v>
      </c>
      <c r="H236" s="459">
        <f t="shared" si="58"/>
        <v>350458</v>
      </c>
      <c r="I236" s="459">
        <f t="shared" si="59"/>
        <v>350458</v>
      </c>
      <c r="J236" s="459">
        <f>J234+J235</f>
        <v>350458</v>
      </c>
      <c r="K236" s="459">
        <f>K234+K235</f>
        <v>0</v>
      </c>
      <c r="L236" s="459">
        <f t="shared" si="60"/>
        <v>0</v>
      </c>
      <c r="M236" s="459">
        <f>M234+M235</f>
        <v>0</v>
      </c>
      <c r="N236" s="459">
        <f>N234+N235</f>
        <v>0</v>
      </c>
    </row>
    <row r="237" spans="1:14" s="480" customFormat="1" ht="15.2" hidden="1" customHeight="1">
      <c r="A237" s="1084"/>
      <c r="B237" s="1085"/>
      <c r="C237" s="1084"/>
      <c r="D237" s="1085"/>
      <c r="E237" s="515" t="s">
        <v>1026</v>
      </c>
      <c r="F237" s="1135" t="s">
        <v>1027</v>
      </c>
      <c r="G237" s="458" t="s">
        <v>0</v>
      </c>
      <c r="H237" s="459">
        <f t="shared" si="58"/>
        <v>358053</v>
      </c>
      <c r="I237" s="459">
        <f t="shared" si="59"/>
        <v>358053</v>
      </c>
      <c r="J237" s="459">
        <v>159804</v>
      </c>
      <c r="K237" s="459">
        <v>198249</v>
      </c>
      <c r="L237" s="459">
        <f t="shared" si="60"/>
        <v>0</v>
      </c>
      <c r="M237" s="459">
        <v>0</v>
      </c>
      <c r="N237" s="459">
        <v>0</v>
      </c>
    </row>
    <row r="238" spans="1:14" s="480" customFormat="1" ht="15.2" hidden="1" customHeight="1">
      <c r="A238" s="1084"/>
      <c r="B238" s="1118"/>
      <c r="C238" s="1084"/>
      <c r="D238" s="1118"/>
      <c r="E238" s="516"/>
      <c r="F238" s="1136"/>
      <c r="G238" s="458" t="s">
        <v>1</v>
      </c>
      <c r="H238" s="459">
        <f t="shared" si="58"/>
        <v>0</v>
      </c>
      <c r="I238" s="459">
        <f t="shared" si="59"/>
        <v>0</v>
      </c>
      <c r="J238" s="459">
        <v>0</v>
      </c>
      <c r="K238" s="459">
        <v>0</v>
      </c>
      <c r="L238" s="459">
        <f t="shared" si="60"/>
        <v>0</v>
      </c>
      <c r="M238" s="459">
        <v>0</v>
      </c>
      <c r="N238" s="459">
        <v>0</v>
      </c>
    </row>
    <row r="239" spans="1:14" s="480" customFormat="1" ht="15.2" hidden="1" customHeight="1">
      <c r="A239" s="1084"/>
      <c r="B239" s="1118"/>
      <c r="C239" s="1084"/>
      <c r="D239" s="1118"/>
      <c r="E239" s="516"/>
      <c r="F239" s="1137"/>
      <c r="G239" s="458" t="s">
        <v>2</v>
      </c>
      <c r="H239" s="459">
        <f t="shared" si="58"/>
        <v>358053</v>
      </c>
      <c r="I239" s="459">
        <f t="shared" si="59"/>
        <v>358053</v>
      </c>
      <c r="J239" s="459">
        <f>J237+J238</f>
        <v>159804</v>
      </c>
      <c r="K239" s="459">
        <f>K237+K238</f>
        <v>198249</v>
      </c>
      <c r="L239" s="459">
        <f t="shared" si="60"/>
        <v>0</v>
      </c>
      <c r="M239" s="459">
        <f>M237+M238</f>
        <v>0</v>
      </c>
      <c r="N239" s="459">
        <f>N237+N238</f>
        <v>0</v>
      </c>
    </row>
    <row r="240" spans="1:14" s="480" customFormat="1" ht="14.45" customHeight="1">
      <c r="A240" s="1084"/>
      <c r="B240" s="1085"/>
      <c r="C240" s="1084"/>
      <c r="D240" s="1085"/>
      <c r="E240" s="516" t="s">
        <v>1026</v>
      </c>
      <c r="F240" s="1135" t="s">
        <v>1030</v>
      </c>
      <c r="G240" s="458" t="s">
        <v>0</v>
      </c>
      <c r="H240" s="459">
        <f t="shared" si="58"/>
        <v>184602</v>
      </c>
      <c r="I240" s="459">
        <f t="shared" si="59"/>
        <v>184602</v>
      </c>
      <c r="J240" s="459">
        <v>106196</v>
      </c>
      <c r="K240" s="459">
        <v>78406</v>
      </c>
      <c r="L240" s="459">
        <f t="shared" si="60"/>
        <v>0</v>
      </c>
      <c r="M240" s="459">
        <v>0</v>
      </c>
      <c r="N240" s="459">
        <v>0</v>
      </c>
    </row>
    <row r="241" spans="1:14" s="480" customFormat="1" ht="14.45" customHeight="1">
      <c r="A241" s="1084"/>
      <c r="B241" s="1118"/>
      <c r="C241" s="1084"/>
      <c r="D241" s="1118"/>
      <c r="E241" s="516"/>
      <c r="F241" s="1136"/>
      <c r="G241" s="458" t="s">
        <v>1</v>
      </c>
      <c r="H241" s="459">
        <f t="shared" si="58"/>
        <v>956398</v>
      </c>
      <c r="I241" s="459">
        <f t="shared" si="59"/>
        <v>956398</v>
      </c>
      <c r="J241" s="459">
        <v>34804</v>
      </c>
      <c r="K241" s="459">
        <v>921594</v>
      </c>
      <c r="L241" s="459">
        <f t="shared" si="60"/>
        <v>0</v>
      </c>
      <c r="M241" s="459">
        <v>0</v>
      </c>
      <c r="N241" s="459">
        <v>0</v>
      </c>
    </row>
    <row r="242" spans="1:14" s="480" customFormat="1" ht="14.45" customHeight="1">
      <c r="A242" s="1093"/>
      <c r="B242" s="1122"/>
      <c r="C242" s="1093"/>
      <c r="D242" s="1122"/>
      <c r="E242" s="517"/>
      <c r="F242" s="1137"/>
      <c r="G242" s="458" t="s">
        <v>2</v>
      </c>
      <c r="H242" s="459">
        <f t="shared" si="58"/>
        <v>1141000</v>
      </c>
      <c r="I242" s="459">
        <f t="shared" si="59"/>
        <v>1141000</v>
      </c>
      <c r="J242" s="459">
        <f>J240+J241</f>
        <v>141000</v>
      </c>
      <c r="K242" s="459">
        <f>K240+K241</f>
        <v>1000000</v>
      </c>
      <c r="L242" s="459">
        <f t="shared" si="60"/>
        <v>0</v>
      </c>
      <c r="M242" s="459">
        <f>M240+M241</f>
        <v>0</v>
      </c>
      <c r="N242" s="459">
        <f>N240+N241</f>
        <v>0</v>
      </c>
    </row>
    <row r="243" spans="1:14" s="480" customFormat="1" ht="14.45" customHeight="1">
      <c r="A243" s="1099" t="s">
        <v>61</v>
      </c>
      <c r="B243" s="1100"/>
      <c r="C243" s="1099" t="s">
        <v>458</v>
      </c>
      <c r="D243" s="1100"/>
      <c r="E243" s="515" t="s">
        <v>1026</v>
      </c>
      <c r="F243" s="1135" t="s">
        <v>1027</v>
      </c>
      <c r="G243" s="458" t="s">
        <v>0</v>
      </c>
      <c r="H243" s="459">
        <f t="shared" si="58"/>
        <v>75871</v>
      </c>
      <c r="I243" s="459">
        <f t="shared" si="59"/>
        <v>50871</v>
      </c>
      <c r="J243" s="459">
        <v>0</v>
      </c>
      <c r="K243" s="459">
        <f>25871+25000</f>
        <v>50871</v>
      </c>
      <c r="L243" s="459">
        <f t="shared" si="60"/>
        <v>25000</v>
      </c>
      <c r="M243" s="459">
        <v>0</v>
      </c>
      <c r="N243" s="459">
        <v>25000</v>
      </c>
    </row>
    <row r="244" spans="1:14" s="480" customFormat="1" ht="14.45" customHeight="1">
      <c r="A244" s="1084"/>
      <c r="B244" s="1118"/>
      <c r="C244" s="1084"/>
      <c r="D244" s="1118"/>
      <c r="E244" s="516"/>
      <c r="F244" s="1136"/>
      <c r="G244" s="458" t="s">
        <v>1</v>
      </c>
      <c r="H244" s="459">
        <f t="shared" si="58"/>
        <v>125000</v>
      </c>
      <c r="I244" s="459">
        <f t="shared" si="59"/>
        <v>125000</v>
      </c>
      <c r="J244" s="459">
        <v>0</v>
      </c>
      <c r="K244" s="459">
        <v>125000</v>
      </c>
      <c r="L244" s="459">
        <f t="shared" si="60"/>
        <v>0</v>
      </c>
      <c r="M244" s="459">
        <v>0</v>
      </c>
      <c r="N244" s="459">
        <v>0</v>
      </c>
    </row>
    <row r="245" spans="1:14" s="480" customFormat="1" ht="14.45" customHeight="1">
      <c r="A245" s="1093"/>
      <c r="B245" s="1122"/>
      <c r="C245" s="1093"/>
      <c r="D245" s="1122"/>
      <c r="E245" s="517"/>
      <c r="F245" s="1137"/>
      <c r="G245" s="458" t="s">
        <v>2</v>
      </c>
      <c r="H245" s="459">
        <f t="shared" si="58"/>
        <v>200871</v>
      </c>
      <c r="I245" s="459">
        <f t="shared" si="59"/>
        <v>175871</v>
      </c>
      <c r="J245" s="459">
        <f>J243+J244</f>
        <v>0</v>
      </c>
      <c r="K245" s="459">
        <f>K243+K244</f>
        <v>175871</v>
      </c>
      <c r="L245" s="459">
        <f t="shared" si="60"/>
        <v>25000</v>
      </c>
      <c r="M245" s="459">
        <f>M243+M244</f>
        <v>0</v>
      </c>
      <c r="N245" s="459">
        <f>N243+N244</f>
        <v>25000</v>
      </c>
    </row>
    <row r="246" spans="1:14" s="480" customFormat="1" ht="14.45" customHeight="1">
      <c r="A246" s="1099" t="s">
        <v>25</v>
      </c>
      <c r="B246" s="1100"/>
      <c r="C246" s="1099" t="s">
        <v>1013</v>
      </c>
      <c r="D246" s="1100"/>
      <c r="E246" s="515" t="s">
        <v>1026</v>
      </c>
      <c r="F246" s="1135" t="s">
        <v>1027</v>
      </c>
      <c r="G246" s="458" t="s">
        <v>0</v>
      </c>
      <c r="H246" s="459">
        <f t="shared" si="58"/>
        <v>1848880</v>
      </c>
      <c r="I246" s="459">
        <f t="shared" si="59"/>
        <v>0</v>
      </c>
      <c r="J246" s="459">
        <v>0</v>
      </c>
      <c r="K246" s="459">
        <v>0</v>
      </c>
      <c r="L246" s="459">
        <f t="shared" si="60"/>
        <v>1848880</v>
      </c>
      <c r="M246" s="459">
        <v>0</v>
      </c>
      <c r="N246" s="459">
        <v>1848880</v>
      </c>
    </row>
    <row r="247" spans="1:14" s="480" customFormat="1" ht="14.45" customHeight="1">
      <c r="A247" s="1084"/>
      <c r="B247" s="1118"/>
      <c r="C247" s="1084"/>
      <c r="D247" s="1118"/>
      <c r="E247" s="516"/>
      <c r="F247" s="1136"/>
      <c r="G247" s="458" t="s">
        <v>1</v>
      </c>
      <c r="H247" s="459">
        <f t="shared" si="58"/>
        <v>425000</v>
      </c>
      <c r="I247" s="459">
        <f t="shared" si="59"/>
        <v>0</v>
      </c>
      <c r="J247" s="459">
        <v>0</v>
      </c>
      <c r="K247" s="459">
        <v>0</v>
      </c>
      <c r="L247" s="459">
        <f t="shared" si="60"/>
        <v>425000</v>
      </c>
      <c r="M247" s="459">
        <v>0</v>
      </c>
      <c r="N247" s="459">
        <v>425000</v>
      </c>
    </row>
    <row r="248" spans="1:14" s="480" customFormat="1" ht="14.45" customHeight="1">
      <c r="A248" s="1084"/>
      <c r="B248" s="1118"/>
      <c r="C248" s="1093"/>
      <c r="D248" s="1122"/>
      <c r="E248" s="517"/>
      <c r="F248" s="1137"/>
      <c r="G248" s="458" t="s">
        <v>2</v>
      </c>
      <c r="H248" s="459">
        <f t="shared" si="58"/>
        <v>2273880</v>
      </c>
      <c r="I248" s="459">
        <f t="shared" si="59"/>
        <v>0</v>
      </c>
      <c r="J248" s="459">
        <f>J246+J247</f>
        <v>0</v>
      </c>
      <c r="K248" s="459">
        <f>K246+K247</f>
        <v>0</v>
      </c>
      <c r="L248" s="459">
        <f t="shared" si="60"/>
        <v>2273880</v>
      </c>
      <c r="M248" s="459">
        <f>M246+M247</f>
        <v>0</v>
      </c>
      <c r="N248" s="459">
        <f>N246+N247</f>
        <v>2273880</v>
      </c>
    </row>
    <row r="249" spans="1:14" s="480" customFormat="1" ht="14.45" customHeight="1">
      <c r="A249" s="1084"/>
      <c r="B249" s="1085"/>
      <c r="C249" s="1099" t="s">
        <v>294</v>
      </c>
      <c r="D249" s="1100"/>
      <c r="E249" s="515" t="s">
        <v>1026</v>
      </c>
      <c r="F249" s="1135" t="s">
        <v>1027</v>
      </c>
      <c r="G249" s="458" t="s">
        <v>0</v>
      </c>
      <c r="H249" s="459">
        <f t="shared" si="58"/>
        <v>0</v>
      </c>
      <c r="I249" s="459">
        <f t="shared" si="59"/>
        <v>0</v>
      </c>
      <c r="J249" s="459">
        <v>0</v>
      </c>
      <c r="K249" s="459">
        <v>0</v>
      </c>
      <c r="L249" s="459">
        <f t="shared" si="60"/>
        <v>0</v>
      </c>
      <c r="M249" s="459">
        <v>0</v>
      </c>
      <c r="N249" s="459">
        <v>0</v>
      </c>
    </row>
    <row r="250" spans="1:14" s="480" customFormat="1" ht="14.45" customHeight="1">
      <c r="A250" s="1084"/>
      <c r="B250" s="1118"/>
      <c r="C250" s="1084"/>
      <c r="D250" s="1118"/>
      <c r="E250" s="516"/>
      <c r="F250" s="1136"/>
      <c r="G250" s="458" t="s">
        <v>1</v>
      </c>
      <c r="H250" s="459">
        <f t="shared" si="58"/>
        <v>406350</v>
      </c>
      <c r="I250" s="459">
        <f t="shared" si="59"/>
        <v>406350</v>
      </c>
      <c r="J250" s="459">
        <f>95000+1350</f>
        <v>96350</v>
      </c>
      <c r="K250" s="459">
        <f>165000+145000</f>
        <v>310000</v>
      </c>
      <c r="L250" s="459">
        <f t="shared" si="60"/>
        <v>0</v>
      </c>
      <c r="M250" s="459">
        <v>0</v>
      </c>
      <c r="N250" s="459">
        <v>0</v>
      </c>
    </row>
    <row r="251" spans="1:14" s="480" customFormat="1" ht="14.45" customHeight="1">
      <c r="A251" s="1084"/>
      <c r="B251" s="1118"/>
      <c r="C251" s="1084"/>
      <c r="D251" s="1118"/>
      <c r="E251" s="516"/>
      <c r="F251" s="1137"/>
      <c r="G251" s="458" t="s">
        <v>2</v>
      </c>
      <c r="H251" s="459">
        <f t="shared" si="58"/>
        <v>406350</v>
      </c>
      <c r="I251" s="459">
        <f t="shared" si="59"/>
        <v>406350</v>
      </c>
      <c r="J251" s="459">
        <f>J249+J250</f>
        <v>96350</v>
      </c>
      <c r="K251" s="459">
        <f>K249+K250</f>
        <v>310000</v>
      </c>
      <c r="L251" s="459">
        <f t="shared" si="60"/>
        <v>0</v>
      </c>
      <c r="M251" s="459">
        <f>M249+M250</f>
        <v>0</v>
      </c>
      <c r="N251" s="459">
        <f>N249+N250</f>
        <v>0</v>
      </c>
    </row>
    <row r="252" spans="1:14" s="480" customFormat="1" ht="14.45" customHeight="1">
      <c r="A252" s="1084"/>
      <c r="B252" s="1085"/>
      <c r="C252" s="1099" t="s">
        <v>1014</v>
      </c>
      <c r="D252" s="1100"/>
      <c r="E252" s="515" t="s">
        <v>1024</v>
      </c>
      <c r="F252" s="1135" t="s">
        <v>1025</v>
      </c>
      <c r="G252" s="458" t="s">
        <v>0</v>
      </c>
      <c r="H252" s="459">
        <f t="shared" si="58"/>
        <v>141146</v>
      </c>
      <c r="I252" s="459">
        <f t="shared" si="59"/>
        <v>97029</v>
      </c>
      <c r="J252" s="459">
        <v>97029</v>
      </c>
      <c r="K252" s="459">
        <v>0</v>
      </c>
      <c r="L252" s="459">
        <f t="shared" si="60"/>
        <v>44117</v>
      </c>
      <c r="M252" s="459">
        <v>44117</v>
      </c>
      <c r="N252" s="459">
        <v>0</v>
      </c>
    </row>
    <row r="253" spans="1:14" s="480" customFormat="1" ht="14.45" customHeight="1">
      <c r="A253" s="1084"/>
      <c r="B253" s="1118"/>
      <c r="C253" s="1084"/>
      <c r="D253" s="1118"/>
      <c r="E253" s="516"/>
      <c r="F253" s="1136"/>
      <c r="G253" s="458" t="s">
        <v>1</v>
      </c>
      <c r="H253" s="459">
        <f t="shared" si="58"/>
        <v>-141146</v>
      </c>
      <c r="I253" s="459">
        <f t="shared" si="59"/>
        <v>-97029</v>
      </c>
      <c r="J253" s="459">
        <v>-97029</v>
      </c>
      <c r="K253" s="459">
        <v>0</v>
      </c>
      <c r="L253" s="459">
        <f t="shared" si="60"/>
        <v>-44117</v>
      </c>
      <c r="M253" s="459">
        <v>-44117</v>
      </c>
      <c r="N253" s="459">
        <v>0</v>
      </c>
    </row>
    <row r="254" spans="1:14" s="480" customFormat="1" ht="14.45" customHeight="1">
      <c r="A254" s="1084"/>
      <c r="B254" s="1118"/>
      <c r="C254" s="1084"/>
      <c r="D254" s="1118"/>
      <c r="E254" s="517"/>
      <c r="F254" s="1137"/>
      <c r="G254" s="458" t="s">
        <v>2</v>
      </c>
      <c r="H254" s="459">
        <f t="shared" si="58"/>
        <v>0</v>
      </c>
      <c r="I254" s="459">
        <f t="shared" si="59"/>
        <v>0</v>
      </c>
      <c r="J254" s="459">
        <f>J252+J253</f>
        <v>0</v>
      </c>
      <c r="K254" s="459">
        <f>K252+K253</f>
        <v>0</v>
      </c>
      <c r="L254" s="459">
        <f t="shared" si="60"/>
        <v>0</v>
      </c>
      <c r="M254" s="459">
        <f>M252+M253</f>
        <v>0</v>
      </c>
      <c r="N254" s="459">
        <f>N252+N253</f>
        <v>0</v>
      </c>
    </row>
    <row r="255" spans="1:14" s="480" customFormat="1" ht="14.45" customHeight="1">
      <c r="A255" s="1084"/>
      <c r="B255" s="1085"/>
      <c r="C255" s="1084"/>
      <c r="D255" s="1085"/>
      <c r="E255" s="515" t="s">
        <v>1026</v>
      </c>
      <c r="F255" s="1135" t="s">
        <v>1027</v>
      </c>
      <c r="G255" s="458" t="s">
        <v>0</v>
      </c>
      <c r="H255" s="459">
        <f t="shared" si="58"/>
        <v>106967</v>
      </c>
      <c r="I255" s="459">
        <f t="shared" si="59"/>
        <v>106967</v>
      </c>
      <c r="J255" s="459">
        <v>0</v>
      </c>
      <c r="K255" s="459">
        <v>106967</v>
      </c>
      <c r="L255" s="459">
        <f t="shared" si="60"/>
        <v>0</v>
      </c>
      <c r="M255" s="459">
        <v>0</v>
      </c>
      <c r="N255" s="459">
        <v>0</v>
      </c>
    </row>
    <row r="256" spans="1:14" s="480" customFormat="1" ht="14.45" customHeight="1">
      <c r="A256" s="1084"/>
      <c r="B256" s="1118"/>
      <c r="C256" s="1084"/>
      <c r="D256" s="1118"/>
      <c r="E256" s="516"/>
      <c r="F256" s="1136"/>
      <c r="G256" s="458" t="s">
        <v>1</v>
      </c>
      <c r="H256" s="459">
        <f t="shared" si="58"/>
        <v>517316</v>
      </c>
      <c r="I256" s="459">
        <f t="shared" si="59"/>
        <v>517316</v>
      </c>
      <c r="J256" s="459">
        <v>197316</v>
      </c>
      <c r="K256" s="459">
        <v>320000</v>
      </c>
      <c r="L256" s="459">
        <f t="shared" si="60"/>
        <v>0</v>
      </c>
      <c r="M256" s="459">
        <v>0</v>
      </c>
      <c r="N256" s="459">
        <v>0</v>
      </c>
    </row>
    <row r="257" spans="1:14" s="480" customFormat="1" ht="14.45" customHeight="1">
      <c r="A257" s="1084"/>
      <c r="B257" s="1118"/>
      <c r="C257" s="1084"/>
      <c r="D257" s="1118"/>
      <c r="E257" s="517"/>
      <c r="F257" s="1137"/>
      <c r="G257" s="458" t="s">
        <v>2</v>
      </c>
      <c r="H257" s="459">
        <f t="shared" si="58"/>
        <v>624283</v>
      </c>
      <c r="I257" s="459">
        <f t="shared" si="59"/>
        <v>624283</v>
      </c>
      <c r="J257" s="459">
        <f>J255+J256</f>
        <v>197316</v>
      </c>
      <c r="K257" s="459">
        <f>K255+K256</f>
        <v>426967</v>
      </c>
      <c r="L257" s="459">
        <f t="shared" si="60"/>
        <v>0</v>
      </c>
      <c r="M257" s="459">
        <f>M255+M256</f>
        <v>0</v>
      </c>
      <c r="N257" s="459">
        <f>N255+N256</f>
        <v>0</v>
      </c>
    </row>
    <row r="258" spans="1:14" s="480" customFormat="1" ht="15.6" hidden="1" customHeight="1">
      <c r="A258" s="1084"/>
      <c r="B258" s="1085"/>
      <c r="C258" s="1084"/>
      <c r="D258" s="1085"/>
      <c r="E258" s="515" t="s">
        <v>1031</v>
      </c>
      <c r="F258" s="1135" t="s">
        <v>825</v>
      </c>
      <c r="G258" s="458" t="s">
        <v>0</v>
      </c>
      <c r="H258" s="459">
        <f t="shared" si="58"/>
        <v>7430824</v>
      </c>
      <c r="I258" s="459">
        <f t="shared" si="59"/>
        <v>4312341</v>
      </c>
      <c r="J258" s="459">
        <v>0</v>
      </c>
      <c r="K258" s="459">
        <v>4312341</v>
      </c>
      <c r="L258" s="459">
        <f t="shared" si="60"/>
        <v>3118483</v>
      </c>
      <c r="M258" s="459">
        <v>0</v>
      </c>
      <c r="N258" s="459">
        <v>3118483</v>
      </c>
    </row>
    <row r="259" spans="1:14" s="480" customFormat="1" ht="15.6" hidden="1" customHeight="1">
      <c r="A259" s="1084"/>
      <c r="B259" s="1118"/>
      <c r="C259" s="1084"/>
      <c r="D259" s="1118"/>
      <c r="E259" s="516"/>
      <c r="F259" s="1136"/>
      <c r="G259" s="458" t="s">
        <v>1</v>
      </c>
      <c r="H259" s="459">
        <f t="shared" si="58"/>
        <v>0</v>
      </c>
      <c r="I259" s="459">
        <f t="shared" si="59"/>
        <v>0</v>
      </c>
      <c r="J259" s="459">
        <v>0</v>
      </c>
      <c r="K259" s="459">
        <v>0</v>
      </c>
      <c r="L259" s="459">
        <f t="shared" si="60"/>
        <v>0</v>
      </c>
      <c r="M259" s="459">
        <v>0</v>
      </c>
      <c r="N259" s="459">
        <v>0</v>
      </c>
    </row>
    <row r="260" spans="1:14" s="480" customFormat="1" ht="15.6" hidden="1" customHeight="1">
      <c r="A260" s="1084"/>
      <c r="B260" s="1118"/>
      <c r="C260" s="1084"/>
      <c r="D260" s="1118"/>
      <c r="E260" s="516"/>
      <c r="F260" s="1137"/>
      <c r="G260" s="458" t="s">
        <v>2</v>
      </c>
      <c r="H260" s="459">
        <f t="shared" si="58"/>
        <v>7430824</v>
      </c>
      <c r="I260" s="459">
        <f t="shared" si="59"/>
        <v>4312341</v>
      </c>
      <c r="J260" s="459">
        <f>J258+J259</f>
        <v>0</v>
      </c>
      <c r="K260" s="459">
        <f>K258+K259</f>
        <v>4312341</v>
      </c>
      <c r="L260" s="459">
        <f t="shared" si="60"/>
        <v>3118483</v>
      </c>
      <c r="M260" s="459">
        <f>M258+M259</f>
        <v>0</v>
      </c>
      <c r="N260" s="459">
        <f>N258+N259</f>
        <v>3118483</v>
      </c>
    </row>
    <row r="261" spans="1:14" s="480" customFormat="1" ht="15.6" hidden="1" customHeight="1">
      <c r="A261" s="1084"/>
      <c r="B261" s="1085"/>
      <c r="C261" s="1084"/>
      <c r="D261" s="1085"/>
      <c r="E261" s="516"/>
      <c r="F261" s="1135" t="s">
        <v>1032</v>
      </c>
      <c r="G261" s="458" t="s">
        <v>0</v>
      </c>
      <c r="H261" s="459">
        <f t="shared" si="58"/>
        <v>746150</v>
      </c>
      <c r="I261" s="459">
        <f t="shared" si="59"/>
        <v>0</v>
      </c>
      <c r="J261" s="459">
        <v>0</v>
      </c>
      <c r="K261" s="459">
        <v>0</v>
      </c>
      <c r="L261" s="459">
        <f t="shared" si="60"/>
        <v>746150</v>
      </c>
      <c r="M261" s="459">
        <v>0</v>
      </c>
      <c r="N261" s="459">
        <v>746150</v>
      </c>
    </row>
    <row r="262" spans="1:14" s="480" customFormat="1" ht="15.6" hidden="1" customHeight="1">
      <c r="A262" s="1084"/>
      <c r="B262" s="1118"/>
      <c r="C262" s="1084"/>
      <c r="D262" s="1118"/>
      <c r="E262" s="516"/>
      <c r="F262" s="1136"/>
      <c r="G262" s="458" t="s">
        <v>1</v>
      </c>
      <c r="H262" s="459">
        <f t="shared" si="58"/>
        <v>0</v>
      </c>
      <c r="I262" s="459">
        <f t="shared" si="59"/>
        <v>0</v>
      </c>
      <c r="J262" s="459">
        <v>0</v>
      </c>
      <c r="K262" s="459">
        <v>0</v>
      </c>
      <c r="L262" s="459">
        <f t="shared" si="60"/>
        <v>0</v>
      </c>
      <c r="M262" s="459">
        <v>0</v>
      </c>
      <c r="N262" s="459">
        <v>0</v>
      </c>
    </row>
    <row r="263" spans="1:14" s="480" customFormat="1" ht="15.6" hidden="1" customHeight="1">
      <c r="A263" s="1084"/>
      <c r="B263" s="1118"/>
      <c r="C263" s="1084"/>
      <c r="D263" s="1118"/>
      <c r="E263" s="517"/>
      <c r="F263" s="1137"/>
      <c r="G263" s="458" t="s">
        <v>2</v>
      </c>
      <c r="H263" s="459">
        <f t="shared" si="58"/>
        <v>746150</v>
      </c>
      <c r="I263" s="459">
        <f t="shared" si="59"/>
        <v>0</v>
      </c>
      <c r="J263" s="459">
        <f>J261+J262</f>
        <v>0</v>
      </c>
      <c r="K263" s="459">
        <f>K261+K262</f>
        <v>0</v>
      </c>
      <c r="L263" s="459">
        <f t="shared" si="60"/>
        <v>746150</v>
      </c>
      <c r="M263" s="459">
        <f>M261+M262</f>
        <v>0</v>
      </c>
      <c r="N263" s="459">
        <f>N261+N262</f>
        <v>746150</v>
      </c>
    </row>
    <row r="264" spans="1:14" s="480" customFormat="1" ht="14.45" customHeight="1">
      <c r="A264" s="1084"/>
      <c r="B264" s="1085"/>
      <c r="C264" s="1084"/>
      <c r="D264" s="1085"/>
      <c r="E264" s="515" t="s">
        <v>1033</v>
      </c>
      <c r="F264" s="1135" t="s">
        <v>1034</v>
      </c>
      <c r="G264" s="458" t="s">
        <v>0</v>
      </c>
      <c r="H264" s="459">
        <f t="shared" si="58"/>
        <v>1731485</v>
      </c>
      <c r="I264" s="459">
        <f t="shared" si="59"/>
        <v>1133385</v>
      </c>
      <c r="J264" s="459">
        <v>0</v>
      </c>
      <c r="K264" s="459">
        <v>1133385</v>
      </c>
      <c r="L264" s="459">
        <f t="shared" si="60"/>
        <v>598100</v>
      </c>
      <c r="M264" s="459">
        <v>0</v>
      </c>
      <c r="N264" s="459">
        <v>598100</v>
      </c>
    </row>
    <row r="265" spans="1:14" s="480" customFormat="1" ht="14.45" customHeight="1">
      <c r="A265" s="1084"/>
      <c r="B265" s="1118"/>
      <c r="C265" s="1084"/>
      <c r="D265" s="1118"/>
      <c r="E265" s="516"/>
      <c r="F265" s="1136"/>
      <c r="G265" s="458" t="s">
        <v>1</v>
      </c>
      <c r="H265" s="459">
        <f t="shared" si="58"/>
        <v>183680</v>
      </c>
      <c r="I265" s="459">
        <f t="shared" si="59"/>
        <v>88396</v>
      </c>
      <c r="J265" s="459">
        <v>0</v>
      </c>
      <c r="K265" s="459">
        <v>88396</v>
      </c>
      <c r="L265" s="459">
        <f t="shared" si="60"/>
        <v>95284</v>
      </c>
      <c r="M265" s="459">
        <v>0</v>
      </c>
      <c r="N265" s="459">
        <v>95284</v>
      </c>
    </row>
    <row r="266" spans="1:14" s="480" customFormat="1" ht="14.45" customHeight="1">
      <c r="A266" s="1084"/>
      <c r="B266" s="1118"/>
      <c r="C266" s="1084"/>
      <c r="D266" s="1118"/>
      <c r="E266" s="516"/>
      <c r="F266" s="1137"/>
      <c r="G266" s="458" t="s">
        <v>2</v>
      </c>
      <c r="H266" s="459">
        <f t="shared" si="58"/>
        <v>1915165</v>
      </c>
      <c r="I266" s="459">
        <f t="shared" si="59"/>
        <v>1221781</v>
      </c>
      <c r="J266" s="459">
        <f>J264+J265</f>
        <v>0</v>
      </c>
      <c r="K266" s="459">
        <f>K264+K265</f>
        <v>1221781</v>
      </c>
      <c r="L266" s="459">
        <f t="shared" si="60"/>
        <v>693384</v>
      </c>
      <c r="M266" s="459">
        <f>M264+M265</f>
        <v>0</v>
      </c>
      <c r="N266" s="459">
        <f>N264+N265</f>
        <v>693384</v>
      </c>
    </row>
    <row r="267" spans="1:14" s="480" customFormat="1" ht="15.6" hidden="1" customHeight="1">
      <c r="A267" s="1084"/>
      <c r="B267" s="1085"/>
      <c r="C267" s="1084"/>
      <c r="D267" s="1085"/>
      <c r="E267" s="516"/>
      <c r="F267" s="1135" t="s">
        <v>832</v>
      </c>
      <c r="G267" s="458" t="s">
        <v>0</v>
      </c>
      <c r="H267" s="459">
        <f t="shared" si="58"/>
        <v>0</v>
      </c>
      <c r="I267" s="459">
        <f t="shared" si="59"/>
        <v>0</v>
      </c>
      <c r="J267" s="459">
        <v>0</v>
      </c>
      <c r="K267" s="459">
        <v>0</v>
      </c>
      <c r="L267" s="459">
        <f t="shared" si="60"/>
        <v>0</v>
      </c>
      <c r="M267" s="459">
        <v>0</v>
      </c>
      <c r="N267" s="459">
        <v>0</v>
      </c>
    </row>
    <row r="268" spans="1:14" s="480" customFormat="1" ht="15.6" hidden="1" customHeight="1">
      <c r="A268" s="1084"/>
      <c r="B268" s="1118"/>
      <c r="C268" s="1084"/>
      <c r="D268" s="1118"/>
      <c r="E268" s="516"/>
      <c r="F268" s="1136"/>
      <c r="G268" s="458" t="s">
        <v>1</v>
      </c>
      <c r="H268" s="459">
        <f t="shared" si="58"/>
        <v>0</v>
      </c>
      <c r="I268" s="459">
        <f t="shared" si="59"/>
        <v>0</v>
      </c>
      <c r="J268" s="459">
        <v>0</v>
      </c>
      <c r="K268" s="459">
        <v>0</v>
      </c>
      <c r="L268" s="459">
        <f t="shared" si="60"/>
        <v>0</v>
      </c>
      <c r="M268" s="459">
        <v>0</v>
      </c>
      <c r="N268" s="459">
        <v>0</v>
      </c>
    </row>
    <row r="269" spans="1:14" s="480" customFormat="1" ht="15.6" hidden="1" customHeight="1">
      <c r="A269" s="1084"/>
      <c r="B269" s="1118"/>
      <c r="C269" s="1084"/>
      <c r="D269" s="1118"/>
      <c r="E269" s="516"/>
      <c r="F269" s="1137"/>
      <c r="G269" s="458" t="s">
        <v>2</v>
      </c>
      <c r="H269" s="459">
        <f t="shared" si="58"/>
        <v>0</v>
      </c>
      <c r="I269" s="459">
        <f t="shared" si="59"/>
        <v>0</v>
      </c>
      <c r="J269" s="459">
        <f>J267+J268</f>
        <v>0</v>
      </c>
      <c r="K269" s="459">
        <f>K267+K268</f>
        <v>0</v>
      </c>
      <c r="L269" s="459">
        <f t="shared" si="60"/>
        <v>0</v>
      </c>
      <c r="M269" s="459">
        <f>M267+M268</f>
        <v>0</v>
      </c>
      <c r="N269" s="459">
        <f>N267+N268</f>
        <v>0</v>
      </c>
    </row>
    <row r="270" spans="1:14" s="480" customFormat="1" ht="15.6" hidden="1" customHeight="1">
      <c r="A270" s="1084"/>
      <c r="B270" s="1085"/>
      <c r="C270" s="1084"/>
      <c r="D270" s="1085"/>
      <c r="E270" s="516"/>
      <c r="F270" s="1135" t="s">
        <v>831</v>
      </c>
      <c r="G270" s="458" t="s">
        <v>0</v>
      </c>
      <c r="H270" s="459">
        <f t="shared" si="58"/>
        <v>2204228</v>
      </c>
      <c r="I270" s="459">
        <f t="shared" si="59"/>
        <v>0</v>
      </c>
      <c r="J270" s="459">
        <v>0</v>
      </c>
      <c r="K270" s="459">
        <v>0</v>
      </c>
      <c r="L270" s="459">
        <f t="shared" si="60"/>
        <v>2204228</v>
      </c>
      <c r="M270" s="459">
        <v>0</v>
      </c>
      <c r="N270" s="459">
        <v>2204228</v>
      </c>
    </row>
    <row r="271" spans="1:14" s="480" customFormat="1" ht="15.6" hidden="1" customHeight="1">
      <c r="A271" s="1084"/>
      <c r="B271" s="1118"/>
      <c r="C271" s="1084"/>
      <c r="D271" s="1118"/>
      <c r="E271" s="516"/>
      <c r="F271" s="1136"/>
      <c r="G271" s="458" t="s">
        <v>1</v>
      </c>
      <c r="H271" s="459">
        <f t="shared" si="58"/>
        <v>0</v>
      </c>
      <c r="I271" s="459">
        <f t="shared" si="59"/>
        <v>0</v>
      </c>
      <c r="J271" s="459">
        <v>0</v>
      </c>
      <c r="K271" s="459">
        <v>0</v>
      </c>
      <c r="L271" s="459">
        <f t="shared" si="60"/>
        <v>0</v>
      </c>
      <c r="M271" s="459">
        <v>0</v>
      </c>
      <c r="N271" s="459">
        <v>0</v>
      </c>
    </row>
    <row r="272" spans="1:14" s="480" customFormat="1" ht="15.6" hidden="1" customHeight="1">
      <c r="A272" s="1093"/>
      <c r="B272" s="1122"/>
      <c r="C272" s="1093"/>
      <c r="D272" s="1122"/>
      <c r="E272" s="517"/>
      <c r="F272" s="1137"/>
      <c r="G272" s="458" t="s">
        <v>2</v>
      </c>
      <c r="H272" s="459">
        <f t="shared" si="58"/>
        <v>2204228</v>
      </c>
      <c r="I272" s="459">
        <f t="shared" si="59"/>
        <v>0</v>
      </c>
      <c r="J272" s="459">
        <f>J270+J271</f>
        <v>0</v>
      </c>
      <c r="K272" s="459">
        <f>K270+K271</f>
        <v>0</v>
      </c>
      <c r="L272" s="459">
        <f t="shared" si="60"/>
        <v>2204228</v>
      </c>
      <c r="M272" s="459">
        <f>M270+M271</f>
        <v>0</v>
      </c>
      <c r="N272" s="459">
        <f>N270+N271</f>
        <v>2204228</v>
      </c>
    </row>
    <row r="273" spans="1:14" s="480" customFormat="1" ht="27.95" customHeight="1">
      <c r="A273" s="1099" t="s">
        <v>64</v>
      </c>
      <c r="B273" s="1100"/>
      <c r="C273" s="1099" t="s">
        <v>467</v>
      </c>
      <c r="D273" s="1100"/>
      <c r="E273" s="515" t="s">
        <v>1026</v>
      </c>
      <c r="F273" s="1135" t="s">
        <v>1035</v>
      </c>
      <c r="G273" s="458" t="s">
        <v>0</v>
      </c>
      <c r="H273" s="459">
        <f t="shared" si="58"/>
        <v>131000</v>
      </c>
      <c r="I273" s="459">
        <f t="shared" si="59"/>
        <v>0</v>
      </c>
      <c r="J273" s="459">
        <v>0</v>
      </c>
      <c r="K273" s="459">
        <v>0</v>
      </c>
      <c r="L273" s="459">
        <f t="shared" si="60"/>
        <v>131000</v>
      </c>
      <c r="M273" s="459">
        <v>0</v>
      </c>
      <c r="N273" s="459">
        <v>131000</v>
      </c>
    </row>
    <row r="274" spans="1:14" s="480" customFormat="1" ht="27.95" customHeight="1">
      <c r="A274" s="1084"/>
      <c r="B274" s="1118"/>
      <c r="C274" s="1084"/>
      <c r="D274" s="1118"/>
      <c r="E274" s="516"/>
      <c r="F274" s="1136"/>
      <c r="G274" s="458" t="s">
        <v>1</v>
      </c>
      <c r="H274" s="459">
        <f t="shared" si="58"/>
        <v>0</v>
      </c>
      <c r="I274" s="459">
        <f t="shared" si="59"/>
        <v>0</v>
      </c>
      <c r="J274" s="459">
        <v>0</v>
      </c>
      <c r="K274" s="459">
        <v>0</v>
      </c>
      <c r="L274" s="459">
        <f t="shared" si="60"/>
        <v>0</v>
      </c>
      <c r="M274" s="459">
        <v>0</v>
      </c>
      <c r="N274" s="459">
        <v>0</v>
      </c>
    </row>
    <row r="275" spans="1:14" s="480" customFormat="1" ht="27.95" customHeight="1">
      <c r="A275" s="1084"/>
      <c r="B275" s="1118"/>
      <c r="C275" s="1084"/>
      <c r="D275" s="1118"/>
      <c r="E275" s="517"/>
      <c r="F275" s="1137"/>
      <c r="G275" s="458" t="s">
        <v>2</v>
      </c>
      <c r="H275" s="459">
        <f t="shared" si="58"/>
        <v>131000</v>
      </c>
      <c r="I275" s="459">
        <f t="shared" si="59"/>
        <v>0</v>
      </c>
      <c r="J275" s="459">
        <f>J273+J274</f>
        <v>0</v>
      </c>
      <c r="K275" s="459">
        <f>K273+K274</f>
        <v>0</v>
      </c>
      <c r="L275" s="459">
        <f t="shared" si="60"/>
        <v>131000</v>
      </c>
      <c r="M275" s="459">
        <f>M273+M274</f>
        <v>0</v>
      </c>
      <c r="N275" s="459">
        <f>N273+N274</f>
        <v>131000</v>
      </c>
    </row>
    <row r="276" spans="1:14" s="480" customFormat="1" ht="14.45" customHeight="1">
      <c r="A276" s="1084"/>
      <c r="B276" s="1085"/>
      <c r="C276" s="1084"/>
      <c r="D276" s="1085"/>
      <c r="E276" s="515" t="s">
        <v>1026</v>
      </c>
      <c r="F276" s="1135" t="s">
        <v>1027</v>
      </c>
      <c r="G276" s="458" t="s">
        <v>0</v>
      </c>
      <c r="H276" s="459">
        <f t="shared" si="58"/>
        <v>0</v>
      </c>
      <c r="I276" s="459">
        <f t="shared" si="59"/>
        <v>0</v>
      </c>
      <c r="J276" s="459">
        <v>0</v>
      </c>
      <c r="K276" s="459">
        <v>0</v>
      </c>
      <c r="L276" s="459">
        <f t="shared" si="60"/>
        <v>0</v>
      </c>
      <c r="M276" s="459">
        <v>0</v>
      </c>
      <c r="N276" s="459">
        <v>0</v>
      </c>
    </row>
    <row r="277" spans="1:14" s="480" customFormat="1" ht="14.45" customHeight="1">
      <c r="A277" s="1084"/>
      <c r="B277" s="1118"/>
      <c r="C277" s="1084"/>
      <c r="D277" s="1118"/>
      <c r="E277" s="516"/>
      <c r="F277" s="1136"/>
      <c r="G277" s="458" t="s">
        <v>1</v>
      </c>
      <c r="H277" s="459">
        <f t="shared" si="58"/>
        <v>171530</v>
      </c>
      <c r="I277" s="459">
        <f t="shared" si="59"/>
        <v>171530</v>
      </c>
      <c r="J277" s="459">
        <v>46530</v>
      </c>
      <c r="K277" s="459">
        <v>125000</v>
      </c>
      <c r="L277" s="459">
        <f t="shared" si="60"/>
        <v>0</v>
      </c>
      <c r="M277" s="459">
        <v>0</v>
      </c>
      <c r="N277" s="459">
        <v>0</v>
      </c>
    </row>
    <row r="278" spans="1:14" s="480" customFormat="1" ht="14.45" customHeight="1">
      <c r="A278" s="1084"/>
      <c r="B278" s="1118"/>
      <c r="C278" s="1084"/>
      <c r="D278" s="1118"/>
      <c r="E278" s="517"/>
      <c r="F278" s="1137"/>
      <c r="G278" s="458" t="s">
        <v>2</v>
      </c>
      <c r="H278" s="459">
        <f t="shared" si="58"/>
        <v>171530</v>
      </c>
      <c r="I278" s="459">
        <f t="shared" si="59"/>
        <v>171530</v>
      </c>
      <c r="J278" s="459">
        <f>J276+J277</f>
        <v>46530</v>
      </c>
      <c r="K278" s="459">
        <f>K276+K277</f>
        <v>125000</v>
      </c>
      <c r="L278" s="459">
        <f t="shared" si="60"/>
        <v>0</v>
      </c>
      <c r="M278" s="459">
        <f>M276+M277</f>
        <v>0</v>
      </c>
      <c r="N278" s="459">
        <f>N276+N277</f>
        <v>0</v>
      </c>
    </row>
    <row r="279" spans="1:14" s="480" customFormat="1" ht="14.45" customHeight="1">
      <c r="A279" s="1084"/>
      <c r="B279" s="1085"/>
      <c r="C279" s="1084"/>
      <c r="D279" s="1085"/>
      <c r="E279" s="515" t="s">
        <v>1036</v>
      </c>
      <c r="F279" s="1135" t="s">
        <v>818</v>
      </c>
      <c r="G279" s="458" t="s">
        <v>0</v>
      </c>
      <c r="H279" s="459">
        <f t="shared" si="58"/>
        <v>1164032</v>
      </c>
      <c r="I279" s="459">
        <f t="shared" si="59"/>
        <v>0</v>
      </c>
      <c r="J279" s="459">
        <v>0</v>
      </c>
      <c r="K279" s="459">
        <v>0</v>
      </c>
      <c r="L279" s="459">
        <f t="shared" si="60"/>
        <v>1164032</v>
      </c>
      <c r="M279" s="459">
        <v>0</v>
      </c>
      <c r="N279" s="459">
        <v>1164032</v>
      </c>
    </row>
    <row r="280" spans="1:14" s="480" customFormat="1" ht="14.45" customHeight="1">
      <c r="A280" s="1084"/>
      <c r="B280" s="1118"/>
      <c r="C280" s="1084"/>
      <c r="D280" s="1118"/>
      <c r="E280" s="516"/>
      <c r="F280" s="1136"/>
      <c r="G280" s="458" t="s">
        <v>1</v>
      </c>
      <c r="H280" s="459">
        <f t="shared" si="58"/>
        <v>8764</v>
      </c>
      <c r="I280" s="459">
        <f t="shared" si="59"/>
        <v>0</v>
      </c>
      <c r="J280" s="459">
        <v>0</v>
      </c>
      <c r="K280" s="459">
        <v>0</v>
      </c>
      <c r="L280" s="459">
        <f t="shared" si="60"/>
        <v>8764</v>
      </c>
      <c r="M280" s="459">
        <v>0</v>
      </c>
      <c r="N280" s="459">
        <v>8764</v>
      </c>
    </row>
    <row r="281" spans="1:14" s="480" customFormat="1" ht="14.45" customHeight="1">
      <c r="A281" s="1093"/>
      <c r="B281" s="1122"/>
      <c r="C281" s="1093"/>
      <c r="D281" s="1122"/>
      <c r="E281" s="517"/>
      <c r="F281" s="1137"/>
      <c r="G281" s="458" t="s">
        <v>2</v>
      </c>
      <c r="H281" s="459">
        <f t="shared" si="58"/>
        <v>1172796</v>
      </c>
      <c r="I281" s="459">
        <f t="shared" si="59"/>
        <v>0</v>
      </c>
      <c r="J281" s="459">
        <f>J279+J280</f>
        <v>0</v>
      </c>
      <c r="K281" s="459">
        <f>K279+K280</f>
        <v>0</v>
      </c>
      <c r="L281" s="459">
        <f t="shared" si="60"/>
        <v>1172796</v>
      </c>
      <c r="M281" s="459">
        <f>M279+M280</f>
        <v>0</v>
      </c>
      <c r="N281" s="459">
        <f>N279+N280</f>
        <v>1172796</v>
      </c>
    </row>
    <row r="282" spans="1:14" s="480" customFormat="1" ht="15.2" hidden="1" customHeight="1">
      <c r="A282" s="1099" t="s">
        <v>90</v>
      </c>
      <c r="B282" s="1100"/>
      <c r="C282" s="1099" t="s">
        <v>1037</v>
      </c>
      <c r="D282" s="1100"/>
      <c r="E282" s="515" t="s">
        <v>1033</v>
      </c>
      <c r="F282" s="1135" t="s">
        <v>832</v>
      </c>
      <c r="G282" s="458" t="s">
        <v>0</v>
      </c>
      <c r="H282" s="459">
        <f t="shared" si="58"/>
        <v>11309790</v>
      </c>
      <c r="I282" s="459">
        <f t="shared" si="59"/>
        <v>10878232</v>
      </c>
      <c r="J282" s="459">
        <v>0</v>
      </c>
      <c r="K282" s="459">
        <v>10878232</v>
      </c>
      <c r="L282" s="459">
        <f>M282+N282</f>
        <v>431558</v>
      </c>
      <c r="M282" s="459">
        <v>0</v>
      </c>
      <c r="N282" s="459">
        <v>431558</v>
      </c>
    </row>
    <row r="283" spans="1:14" s="480" customFormat="1" ht="15.2" hidden="1" customHeight="1">
      <c r="A283" s="1084"/>
      <c r="B283" s="1118"/>
      <c r="C283" s="1084"/>
      <c r="D283" s="1118"/>
      <c r="F283" s="1136"/>
      <c r="G283" s="458" t="s">
        <v>1</v>
      </c>
      <c r="H283" s="459">
        <f t="shared" si="58"/>
        <v>0</v>
      </c>
      <c r="I283" s="459">
        <f t="shared" si="59"/>
        <v>0</v>
      </c>
      <c r="J283" s="459">
        <v>0</v>
      </c>
      <c r="K283" s="459">
        <v>0</v>
      </c>
      <c r="L283" s="459">
        <f>M283+N283</f>
        <v>0</v>
      </c>
      <c r="M283" s="459">
        <v>0</v>
      </c>
      <c r="N283" s="459">
        <v>0</v>
      </c>
    </row>
    <row r="284" spans="1:14" s="480" customFormat="1" ht="15.2" hidden="1" customHeight="1">
      <c r="A284" s="1084"/>
      <c r="B284" s="1118"/>
      <c r="C284" s="1084"/>
      <c r="D284" s="1118"/>
      <c r="E284" s="516"/>
      <c r="F284" s="1137"/>
      <c r="G284" s="458" t="s">
        <v>2</v>
      </c>
      <c r="H284" s="459">
        <f t="shared" si="58"/>
        <v>11309790</v>
      </c>
      <c r="I284" s="459">
        <f t="shared" si="59"/>
        <v>10878232</v>
      </c>
      <c r="J284" s="459">
        <f>J282+J283</f>
        <v>0</v>
      </c>
      <c r="K284" s="459">
        <f>K282+K283</f>
        <v>10878232</v>
      </c>
      <c r="L284" s="459">
        <f t="shared" ref="L284:L287" si="61">M284+N284</f>
        <v>431558</v>
      </c>
      <c r="M284" s="459">
        <f>M282+M283</f>
        <v>0</v>
      </c>
      <c r="N284" s="459">
        <f>N282+N283</f>
        <v>431558</v>
      </c>
    </row>
    <row r="285" spans="1:14" s="480" customFormat="1" ht="14.45" customHeight="1">
      <c r="A285" s="1099" t="s">
        <v>65</v>
      </c>
      <c r="B285" s="1100"/>
      <c r="C285" s="1099" t="s">
        <v>1038</v>
      </c>
      <c r="D285" s="1100"/>
      <c r="E285" s="515" t="s">
        <v>1039</v>
      </c>
      <c r="F285" s="1135" t="s">
        <v>1040</v>
      </c>
      <c r="G285" s="458" t="s">
        <v>0</v>
      </c>
      <c r="H285" s="459">
        <f t="shared" si="58"/>
        <v>0</v>
      </c>
      <c r="I285" s="459">
        <f t="shared" si="59"/>
        <v>0</v>
      </c>
      <c r="J285" s="459">
        <v>0</v>
      </c>
      <c r="K285" s="459">
        <v>0</v>
      </c>
      <c r="L285" s="459">
        <f t="shared" si="61"/>
        <v>0</v>
      </c>
      <c r="M285" s="459">
        <v>0</v>
      </c>
      <c r="N285" s="459">
        <v>0</v>
      </c>
    </row>
    <row r="286" spans="1:14" s="480" customFormat="1" ht="14.45" customHeight="1">
      <c r="A286" s="1084"/>
      <c r="B286" s="1118"/>
      <c r="C286" s="1084"/>
      <c r="D286" s="1118"/>
      <c r="E286" s="516"/>
      <c r="F286" s="1136"/>
      <c r="G286" s="458" t="s">
        <v>1</v>
      </c>
      <c r="H286" s="459">
        <f t="shared" si="58"/>
        <v>211560</v>
      </c>
      <c r="I286" s="459">
        <f t="shared" si="59"/>
        <v>211560</v>
      </c>
      <c r="J286" s="459">
        <v>208340</v>
      </c>
      <c r="K286" s="459">
        <v>3220</v>
      </c>
      <c r="L286" s="459">
        <f t="shared" si="61"/>
        <v>0</v>
      </c>
      <c r="M286" s="459">
        <v>0</v>
      </c>
      <c r="N286" s="459">
        <v>0</v>
      </c>
    </row>
    <row r="287" spans="1:14" s="480" customFormat="1" ht="14.45" customHeight="1">
      <c r="A287" s="1093"/>
      <c r="B287" s="1122"/>
      <c r="C287" s="1093"/>
      <c r="D287" s="1122"/>
      <c r="E287" s="517"/>
      <c r="F287" s="1137"/>
      <c r="G287" s="458" t="s">
        <v>2</v>
      </c>
      <c r="H287" s="459">
        <f t="shared" si="58"/>
        <v>211560</v>
      </c>
      <c r="I287" s="459">
        <f t="shared" si="59"/>
        <v>211560</v>
      </c>
      <c r="J287" s="459">
        <f>J285+J286</f>
        <v>208340</v>
      </c>
      <c r="K287" s="459">
        <f>K285+K286</f>
        <v>3220</v>
      </c>
      <c r="L287" s="459">
        <f t="shared" si="61"/>
        <v>0</v>
      </c>
      <c r="M287" s="459">
        <f>M285+M286</f>
        <v>0</v>
      </c>
      <c r="N287" s="459">
        <f>N285+N286</f>
        <v>0</v>
      </c>
    </row>
    <row r="288" spans="1:14" s="480" customFormat="1" ht="15.2" customHeight="1">
      <c r="A288" s="1099"/>
      <c r="B288" s="1100"/>
      <c r="C288" s="1099" t="s">
        <v>1015</v>
      </c>
      <c r="D288" s="1100"/>
      <c r="E288" s="515" t="s">
        <v>1039</v>
      </c>
      <c r="F288" s="1135" t="s">
        <v>1041</v>
      </c>
      <c r="G288" s="458" t="s">
        <v>0</v>
      </c>
      <c r="H288" s="459">
        <f t="shared" si="58"/>
        <v>261368</v>
      </c>
      <c r="I288" s="459">
        <f t="shared" si="59"/>
        <v>261368</v>
      </c>
      <c r="J288" s="459">
        <v>153368</v>
      </c>
      <c r="K288" s="459">
        <v>108000</v>
      </c>
      <c r="L288" s="459">
        <f t="shared" si="60"/>
        <v>0</v>
      </c>
      <c r="M288" s="459">
        <v>0</v>
      </c>
      <c r="N288" s="459">
        <v>0</v>
      </c>
    </row>
    <row r="289" spans="1:14" s="480" customFormat="1" ht="15.2" customHeight="1">
      <c r="A289" s="1084"/>
      <c r="B289" s="1138"/>
      <c r="C289" s="1084"/>
      <c r="D289" s="1118"/>
      <c r="E289" s="516"/>
      <c r="F289" s="1136"/>
      <c r="G289" s="458" t="s">
        <v>1</v>
      </c>
      <c r="H289" s="459">
        <f t="shared" si="58"/>
        <v>-167932</v>
      </c>
      <c r="I289" s="459">
        <f t="shared" si="59"/>
        <v>-167932</v>
      </c>
      <c r="J289" s="459">
        <v>-74712</v>
      </c>
      <c r="K289" s="459">
        <v>-93220</v>
      </c>
      <c r="L289" s="459">
        <f t="shared" si="60"/>
        <v>0</v>
      </c>
      <c r="M289" s="459">
        <v>0</v>
      </c>
      <c r="N289" s="459">
        <v>0</v>
      </c>
    </row>
    <row r="290" spans="1:14" s="480" customFormat="1" ht="15.2" customHeight="1">
      <c r="A290" s="1084"/>
      <c r="B290" s="1138"/>
      <c r="C290" s="1084"/>
      <c r="D290" s="1118"/>
      <c r="E290" s="516"/>
      <c r="F290" s="1137"/>
      <c r="G290" s="458" t="s">
        <v>2</v>
      </c>
      <c r="H290" s="459">
        <f t="shared" si="58"/>
        <v>93436</v>
      </c>
      <c r="I290" s="459">
        <f t="shared" si="59"/>
        <v>93436</v>
      </c>
      <c r="J290" s="459">
        <f>J288+J289</f>
        <v>78656</v>
      </c>
      <c r="K290" s="459">
        <f>K288+K289</f>
        <v>14780</v>
      </c>
      <c r="L290" s="459">
        <f t="shared" si="60"/>
        <v>0</v>
      </c>
      <c r="M290" s="459">
        <f>M288+M289</f>
        <v>0</v>
      </c>
      <c r="N290" s="459">
        <f>N288+N289</f>
        <v>0</v>
      </c>
    </row>
    <row r="291" spans="1:14" s="480" customFormat="1" ht="15.2" customHeight="1">
      <c r="A291" s="1084"/>
      <c r="B291" s="1085"/>
      <c r="C291" s="1084"/>
      <c r="D291" s="1085"/>
      <c r="E291" s="516"/>
      <c r="F291" s="1135" t="s">
        <v>1040</v>
      </c>
      <c r="G291" s="458" t="s">
        <v>0</v>
      </c>
      <c r="H291" s="459">
        <f t="shared" ref="H291:H293" si="62">I291+L291</f>
        <v>259906</v>
      </c>
      <c r="I291" s="459">
        <f t="shared" ref="I291:I293" si="63">J291+K291</f>
        <v>259906</v>
      </c>
      <c r="J291" s="459">
        <v>259906</v>
      </c>
      <c r="K291" s="459">
        <v>0</v>
      </c>
      <c r="L291" s="459">
        <f t="shared" ref="L291:L293" si="64">M291+N291</f>
        <v>0</v>
      </c>
      <c r="M291" s="459">
        <v>0</v>
      </c>
      <c r="N291" s="459">
        <v>0</v>
      </c>
    </row>
    <row r="292" spans="1:14" s="480" customFormat="1" ht="15.2" customHeight="1">
      <c r="A292" s="1084"/>
      <c r="B292" s="1118"/>
      <c r="C292" s="1084"/>
      <c r="D292" s="1118"/>
      <c r="E292" s="516"/>
      <c r="F292" s="1136"/>
      <c r="G292" s="458" t="s">
        <v>1</v>
      </c>
      <c r="H292" s="459">
        <f t="shared" si="62"/>
        <v>-115704</v>
      </c>
      <c r="I292" s="459">
        <f t="shared" si="63"/>
        <v>-115704</v>
      </c>
      <c r="J292" s="459">
        <v>-115704</v>
      </c>
      <c r="K292" s="459">
        <v>0</v>
      </c>
      <c r="L292" s="459">
        <f t="shared" si="64"/>
        <v>0</v>
      </c>
      <c r="M292" s="459">
        <v>0</v>
      </c>
      <c r="N292" s="459">
        <v>0</v>
      </c>
    </row>
    <row r="293" spans="1:14" s="480" customFormat="1" ht="15.2" customHeight="1">
      <c r="A293" s="1093"/>
      <c r="B293" s="1122"/>
      <c r="C293" s="1093"/>
      <c r="D293" s="1122"/>
      <c r="E293" s="517"/>
      <c r="F293" s="1137"/>
      <c r="G293" s="458" t="s">
        <v>2</v>
      </c>
      <c r="H293" s="459">
        <f t="shared" si="62"/>
        <v>144202</v>
      </c>
      <c r="I293" s="459">
        <f t="shared" si="63"/>
        <v>144202</v>
      </c>
      <c r="J293" s="459">
        <f>J291+J292</f>
        <v>144202</v>
      </c>
      <c r="K293" s="459">
        <f>K291+K292</f>
        <v>0</v>
      </c>
      <c r="L293" s="459">
        <f t="shared" si="64"/>
        <v>0</v>
      </c>
      <c r="M293" s="459">
        <f>M291+M292</f>
        <v>0</v>
      </c>
      <c r="N293" s="459">
        <f>N291+N292</f>
        <v>0</v>
      </c>
    </row>
    <row r="294" spans="1:14" s="441" customFormat="1" ht="5.25" customHeight="1">
      <c r="A294" s="488"/>
      <c r="B294" s="489"/>
      <c r="C294" s="489"/>
      <c r="D294" s="489"/>
      <c r="E294" s="490"/>
      <c r="F294" s="490"/>
      <c r="G294" s="491"/>
      <c r="H294" s="492"/>
      <c r="I294" s="493"/>
      <c r="J294" s="493"/>
      <c r="K294" s="493"/>
      <c r="L294" s="493"/>
      <c r="M294" s="493"/>
      <c r="N294" s="494"/>
    </row>
    <row r="295" spans="1:14" s="497" customFormat="1" ht="14.1" customHeight="1">
      <c r="A295" s="1126" t="s">
        <v>1042</v>
      </c>
      <c r="B295" s="1127"/>
      <c r="C295" s="1127"/>
      <c r="D295" s="1127"/>
      <c r="E295" s="1127"/>
      <c r="F295" s="1128"/>
      <c r="G295" s="470" t="s">
        <v>0</v>
      </c>
      <c r="H295" s="471">
        <f>I295+L295</f>
        <v>291329313</v>
      </c>
      <c r="I295" s="471">
        <f>J295+K295</f>
        <v>207160127</v>
      </c>
      <c r="J295" s="471">
        <f>J299+J302+J305+J308+J311+J314+J317+J320+J323+J326+J329+J332+J335+J338+J341+J344+J347+J350+J353+J356+J359+J362+J365+J368+J371+J374+J377+J380+J383+J386+J389+J392+J395+J398+J401+J404+J407+J410+J413+J416+J419+J422+J425+J428+J431+J434+J437+J440+J443+J446+J449+J452+J455+J458+J461+J464+J467+J470+J473+J476+J479+J482+J485+J488+J491+J494+J497+J500+J503+J506+J509+J512+J515+J518+J521+J524+J527+J530+J533+J536+J539+J542+J545+J548+J551+J554+J557+J560+J563+J566+J569+J572+J575+J578+J581+J584+J587+J590+J593+J596+J599+J602+J605+J608+J611+J614+J617+J620+J623+J626+J629+J632+J635+J638+J641++J644+J647+J650+J653+J656+J659+J662+J665+J668+J671+J674+J677+J680+J683</f>
        <v>188891111</v>
      </c>
      <c r="K295" s="471">
        <f>K299+K302+K305+K308+K311+K314+K317+K320+K323+K326+K329+K332+K335+K338+K341+K344+K347+K350+K353+K356+K359+K362+K365+K368+K371+K374+K377+K380+K383+K386+K389+K392+K395+K398+K401+K404+K407+K410+K413+K416+K419+K422+K425+K428+K431+K434+K437+K440+K443+K446+K449+K452+K455+K458+K461+K464+K467+K470+K473+K476+K479+K482+K485+K488+K491+K494+K497+K500+K503+K506+K509+K512+K515+K518+K521+K524+K527+K530+K533+K536+K539+K542+K545+K548+K551+K554+K557+K560+K563+K566+K569+K572+K575+K578+K581+K584+K587+K590+K593+K596+K599+K602+K605+K608+K611+K614+K617+K620+K623+K626+K629+K632+K635+K638+K641++K644+K647+K650+K653+K656+K659+K662+K665+K668+K671+K674+K677+K680+K683</f>
        <v>18269016</v>
      </c>
      <c r="L295" s="471">
        <f>M295+N295</f>
        <v>84169186</v>
      </c>
      <c r="M295" s="471">
        <f>M299+M302+M305+M308+M311+M314+M317+M320+M323+M326+M329+M332+M335+M338+M341+M344+M347+M350+M353+M356+M359+M362+M365+M368+M371+M374+M377+M380+M383+M386+M389+M392+M395+M398+M401+M404+M407+M410+M413+M416+M419+M422+M425+M428+M431+M434+M437+M440+M443+M446+M449+M452+M455+M458+M461+M464+M467+M470+M473+M476+M479+M482+M485+M488+M491+M494+M497+M500+M503+M506+M509+M512+M515+M518+M521+M524+M527+M530+M533+M536+M539+M542+M545+M548+M551+M554+M557+M560+M563+M566+M569+M572+M575+M578+M581+M584+M587+M590+M593+M596+M599+M602+M605+M608+M611+M614+M617+M620+M623+M626+M629+M632+M635+M638+M641++M644+M647+M650+M653+M656+M659+M662+M665+M668+M671+M674+M677+M680+M683</f>
        <v>1080000</v>
      </c>
      <c r="N295" s="471">
        <f>N299+N302+N305+N308+N311+N314+N317+N320+N323+N326+N329+N332+N335+N338+N341+N344+N347+N350+N353+N356+N359+N362+N365+N368+N371+N374+N377+N380+N383+N386+N389+N392+N395+N398+N401+N404+N407+N410+N413+N416+N419+N422+N425+N428+N431+N434+N437+N440+N443+N446+N449+N452+N455+N458+N461+N464+N467+N470+N473+N476+N479+N482+N485+N488+N491+N494+N497+N500+N503+N506+N509+N512+N515+N518+N521+N524+N527+N530+N533+N536+N539+N542+N545+N548+N551+N554+N557+N560+N563+N566+N569+N572+N575+N578+N581+N584+N587+N590+N593+N596+N599+N602+N605+N608+N611+N614+N617+N620+N623+N626+N629+N632+N635+N638+N641++N644+N647+N650+N653+N656+N659+N662+N665+N668+N671+N674+N677+N680+N683</f>
        <v>83089186</v>
      </c>
    </row>
    <row r="296" spans="1:14" s="497" customFormat="1" ht="14.1" customHeight="1">
      <c r="A296" s="1129"/>
      <c r="B296" s="1130"/>
      <c r="C296" s="1130"/>
      <c r="D296" s="1130"/>
      <c r="E296" s="1130"/>
      <c r="F296" s="1131"/>
      <c r="G296" s="470" t="s">
        <v>1</v>
      </c>
      <c r="H296" s="471">
        <f t="shared" ref="H296:H297" si="65">I296+L296</f>
        <v>18797893</v>
      </c>
      <c r="I296" s="471">
        <f t="shared" ref="I296:I297" si="66">J296+K296</f>
        <v>18027893</v>
      </c>
      <c r="J296" s="471">
        <f t="shared" ref="J296:K297" si="67">J300+J303+J306+J309+J312+J315+J318+J321+J324+J327+J330+J333+J336+J339+J342+J345+J348+J351+J354+J357+J360+J363+J366+J369+J372+J375+J378+J381+J384+J387+J390+J393+J396+J399+J402+J405+J408+J411+J414+J417+J420+J423+J426+J429+J432+J435+J438+J441+J444+J447+J450+J453+J456+J459+J462+J465+J468+J471+J474+J477+J480+J483+J486+J489+J492+J495+J498+J501+J504+J507+J510+J513+J516+J519+J522+J525+J528+J531+J534+J537+J540+J543+J546+J549+J552+J555+J558+J561+J564+J567+J570+J573+J576+J579+J582+J585+J588+J591+J594+J597+J600+J603+J606+J609+J612+J615+J618+J621+J624+J627+J630+J633+J636+J639+J642++J645+J648+J651+J654+J657+J660+J663+J666+J669+J672+J675+J678+J681+J684</f>
        <v>17190381</v>
      </c>
      <c r="K296" s="471">
        <f t="shared" si="67"/>
        <v>837512</v>
      </c>
      <c r="L296" s="471">
        <f t="shared" ref="L296:L297" si="68">M296+N296</f>
        <v>770000</v>
      </c>
      <c r="M296" s="471">
        <f t="shared" ref="M296:N297" si="69">M300+M303+M306+M309+M312+M315+M318+M321+M324+M327+M330+M333+M336+M339+M342+M345+M348+M351+M354+M357+M360+M363+M366+M369+M372+M375+M378+M381+M384+M387+M390+M393+M396+M399+M402+M405+M408+M411+M414+M417+M420+M423+M426+M429+M432+M435+M438+M441+M444+M447+M450+M453+M456+M459+M462+M465+M468+M471+M474+M477+M480+M483+M486+M489+M492+M495+M498+M501+M504+M507+M510+M513+M516+M519+M522+M525+M528+M531+M534+M537+M540+M543+M546+M549+M552+M555+M558+M561+M564+M567+M570+M573+M576+M579+M582+M585+M588+M591+M594+M597+M600+M603+M606+M609+M612+M615+M618+M621+M624+M627+M630+M633+M636+M639+M642++M645+M648+M651+M654+M657+M660+M663+M666+M669+M672+M675+M678+M681+M684</f>
        <v>0</v>
      </c>
      <c r="N296" s="471">
        <f t="shared" si="69"/>
        <v>770000</v>
      </c>
    </row>
    <row r="297" spans="1:14" s="497" customFormat="1" ht="14.1" customHeight="1">
      <c r="A297" s="1132"/>
      <c r="B297" s="1133"/>
      <c r="C297" s="1133"/>
      <c r="D297" s="1133"/>
      <c r="E297" s="1133"/>
      <c r="F297" s="1134"/>
      <c r="G297" s="470" t="s">
        <v>2</v>
      </c>
      <c r="H297" s="471">
        <f t="shared" si="65"/>
        <v>310127206</v>
      </c>
      <c r="I297" s="471">
        <f t="shared" si="66"/>
        <v>225188020</v>
      </c>
      <c r="J297" s="471">
        <f t="shared" si="67"/>
        <v>206081492</v>
      </c>
      <c r="K297" s="471">
        <f t="shared" si="67"/>
        <v>19106528</v>
      </c>
      <c r="L297" s="471">
        <f t="shared" si="68"/>
        <v>84939186</v>
      </c>
      <c r="M297" s="471">
        <f t="shared" si="69"/>
        <v>1080000</v>
      </c>
      <c r="N297" s="471">
        <f t="shared" si="69"/>
        <v>83859186</v>
      </c>
    </row>
    <row r="298" spans="1:14" s="479" customFormat="1" ht="5.0999999999999996" customHeight="1">
      <c r="A298" s="473"/>
      <c r="B298" s="474"/>
      <c r="C298" s="474"/>
      <c r="D298" s="474"/>
      <c r="E298" s="474"/>
      <c r="F298" s="474"/>
      <c r="G298" s="475"/>
      <c r="H298" s="476"/>
      <c r="I298" s="477"/>
      <c r="J298" s="477"/>
      <c r="K298" s="477"/>
      <c r="L298" s="477"/>
      <c r="M298" s="477"/>
      <c r="N298" s="478"/>
    </row>
    <row r="299" spans="1:14" s="407" customFormat="1" ht="15" hidden="1" customHeight="1">
      <c r="A299" s="1097" t="s">
        <v>42</v>
      </c>
      <c r="B299" s="1098"/>
      <c r="C299" s="1097" t="s">
        <v>180</v>
      </c>
      <c r="D299" s="1098"/>
      <c r="E299" s="1086" t="s">
        <v>1043</v>
      </c>
      <c r="F299" s="1087"/>
      <c r="G299" s="520" t="s">
        <v>0</v>
      </c>
      <c r="H299" s="502">
        <f t="shared" ref="H299:H617" si="70">I299+L299</f>
        <v>1700000</v>
      </c>
      <c r="I299" s="502">
        <f t="shared" ref="I299:I617" si="71">J299+K299</f>
        <v>1700000</v>
      </c>
      <c r="J299" s="502">
        <v>0</v>
      </c>
      <c r="K299" s="502">
        <v>1700000</v>
      </c>
      <c r="L299" s="502">
        <f t="shared" ref="L299:L617" si="72">M299+N299</f>
        <v>0</v>
      </c>
      <c r="M299" s="502">
        <v>0</v>
      </c>
      <c r="N299" s="502">
        <v>0</v>
      </c>
    </row>
    <row r="300" spans="1:14" s="407" customFormat="1" ht="15" hidden="1" customHeight="1">
      <c r="A300" s="1095"/>
      <c r="B300" s="1123"/>
      <c r="C300" s="1095"/>
      <c r="D300" s="1096"/>
      <c r="E300" s="1088"/>
      <c r="F300" s="1089"/>
      <c r="G300" s="520" t="s">
        <v>1</v>
      </c>
      <c r="H300" s="502">
        <f t="shared" si="70"/>
        <v>0</v>
      </c>
      <c r="I300" s="502">
        <f t="shared" si="71"/>
        <v>0</v>
      </c>
      <c r="J300" s="502">
        <v>0</v>
      </c>
      <c r="K300" s="502">
        <v>0</v>
      </c>
      <c r="L300" s="502">
        <f t="shared" si="72"/>
        <v>0</v>
      </c>
      <c r="M300" s="502">
        <v>0</v>
      </c>
      <c r="N300" s="502">
        <v>0</v>
      </c>
    </row>
    <row r="301" spans="1:14" s="407" customFormat="1" ht="15" hidden="1" customHeight="1">
      <c r="A301" s="1095"/>
      <c r="B301" s="1123"/>
      <c r="C301" s="1095"/>
      <c r="D301" s="1096"/>
      <c r="E301" s="1090"/>
      <c r="F301" s="1091"/>
      <c r="G301" s="520" t="s">
        <v>2</v>
      </c>
      <c r="H301" s="459">
        <f t="shared" si="70"/>
        <v>1700000</v>
      </c>
      <c r="I301" s="459">
        <f t="shared" si="71"/>
        <v>1700000</v>
      </c>
      <c r="J301" s="459">
        <f>J299+J300</f>
        <v>0</v>
      </c>
      <c r="K301" s="459">
        <f>K299+K300</f>
        <v>1700000</v>
      </c>
      <c r="L301" s="459">
        <f t="shared" si="72"/>
        <v>0</v>
      </c>
      <c r="M301" s="459">
        <f>M299+M300</f>
        <v>0</v>
      </c>
      <c r="N301" s="459">
        <f>N299+N300</f>
        <v>0</v>
      </c>
    </row>
    <row r="302" spans="1:14" s="407" customFormat="1" ht="15" hidden="1" customHeight="1">
      <c r="A302" s="1095"/>
      <c r="B302" s="1096"/>
      <c r="C302" s="1097" t="s">
        <v>184</v>
      </c>
      <c r="D302" s="1098"/>
      <c r="E302" s="1086" t="s">
        <v>1044</v>
      </c>
      <c r="F302" s="1087"/>
      <c r="G302" s="520" t="s">
        <v>0</v>
      </c>
      <c r="H302" s="502">
        <f t="shared" si="70"/>
        <v>12601553</v>
      </c>
      <c r="I302" s="502">
        <f t="shared" si="71"/>
        <v>12301553</v>
      </c>
      <c r="J302" s="502">
        <v>12301553</v>
      </c>
      <c r="K302" s="502">
        <v>0</v>
      </c>
      <c r="L302" s="502">
        <f t="shared" si="72"/>
        <v>300000</v>
      </c>
      <c r="M302" s="502">
        <v>300000</v>
      </c>
      <c r="N302" s="502">
        <v>0</v>
      </c>
    </row>
    <row r="303" spans="1:14" s="407" customFormat="1" ht="15" hidden="1" customHeight="1">
      <c r="A303" s="1095"/>
      <c r="B303" s="1123"/>
      <c r="C303" s="1095"/>
      <c r="D303" s="1096"/>
      <c r="E303" s="1088"/>
      <c r="F303" s="1089"/>
      <c r="G303" s="520" t="s">
        <v>1</v>
      </c>
      <c r="H303" s="502">
        <f t="shared" si="70"/>
        <v>0</v>
      </c>
      <c r="I303" s="502">
        <f t="shared" si="71"/>
        <v>0</v>
      </c>
      <c r="J303" s="502">
        <v>0</v>
      </c>
      <c r="K303" s="502">
        <v>0</v>
      </c>
      <c r="L303" s="502">
        <f t="shared" si="72"/>
        <v>0</v>
      </c>
      <c r="M303" s="502">
        <v>0</v>
      </c>
      <c r="N303" s="502">
        <v>0</v>
      </c>
    </row>
    <row r="304" spans="1:14" s="407" customFormat="1" ht="15" hidden="1" customHeight="1">
      <c r="A304" s="1095"/>
      <c r="B304" s="1123"/>
      <c r="C304" s="1095"/>
      <c r="D304" s="1096"/>
      <c r="E304" s="1090"/>
      <c r="F304" s="1091"/>
      <c r="G304" s="520" t="s">
        <v>2</v>
      </c>
      <c r="H304" s="459">
        <f t="shared" si="70"/>
        <v>12601553</v>
      </c>
      <c r="I304" s="459">
        <f t="shared" si="71"/>
        <v>12301553</v>
      </c>
      <c r="J304" s="459">
        <f>J302+J303</f>
        <v>12301553</v>
      </c>
      <c r="K304" s="459">
        <f>K302+K303</f>
        <v>0</v>
      </c>
      <c r="L304" s="459">
        <f t="shared" si="72"/>
        <v>300000</v>
      </c>
      <c r="M304" s="459">
        <f>M302+M303</f>
        <v>300000</v>
      </c>
      <c r="N304" s="459">
        <f>N302+N303</f>
        <v>0</v>
      </c>
    </row>
    <row r="305" spans="1:14" s="407" customFormat="1" ht="15" hidden="1" customHeight="1">
      <c r="A305" s="1095"/>
      <c r="B305" s="1096"/>
      <c r="C305" s="1097" t="s">
        <v>186</v>
      </c>
      <c r="D305" s="1098"/>
      <c r="E305" s="1086" t="s">
        <v>1045</v>
      </c>
      <c r="F305" s="1087"/>
      <c r="G305" s="458" t="s">
        <v>0</v>
      </c>
      <c r="H305" s="459">
        <f t="shared" si="70"/>
        <v>80000</v>
      </c>
      <c r="I305" s="459">
        <f t="shared" si="71"/>
        <v>80000</v>
      </c>
      <c r="J305" s="459">
        <v>0</v>
      </c>
      <c r="K305" s="459">
        <v>80000</v>
      </c>
      <c r="L305" s="459">
        <f t="shared" si="72"/>
        <v>0</v>
      </c>
      <c r="M305" s="459">
        <v>0</v>
      </c>
      <c r="N305" s="459">
        <v>0</v>
      </c>
    </row>
    <row r="306" spans="1:14" s="407" customFormat="1" ht="15" hidden="1" customHeight="1">
      <c r="A306" s="1095"/>
      <c r="B306" s="1123"/>
      <c r="C306" s="1095"/>
      <c r="D306" s="1123"/>
      <c r="E306" s="1088"/>
      <c r="F306" s="1089"/>
      <c r="G306" s="458" t="s">
        <v>1</v>
      </c>
      <c r="H306" s="459">
        <f t="shared" si="70"/>
        <v>0</v>
      </c>
      <c r="I306" s="459">
        <f t="shared" si="71"/>
        <v>0</v>
      </c>
      <c r="J306" s="459">
        <v>0</v>
      </c>
      <c r="K306" s="459">
        <v>0</v>
      </c>
      <c r="L306" s="459">
        <f t="shared" si="72"/>
        <v>0</v>
      </c>
      <c r="M306" s="459">
        <v>0</v>
      </c>
      <c r="N306" s="459">
        <v>0</v>
      </c>
    </row>
    <row r="307" spans="1:14" s="407" customFormat="1" ht="15" hidden="1" customHeight="1">
      <c r="A307" s="1095"/>
      <c r="B307" s="1123"/>
      <c r="C307" s="1095"/>
      <c r="D307" s="1123"/>
      <c r="E307" s="1090"/>
      <c r="F307" s="1091"/>
      <c r="G307" s="458" t="s">
        <v>2</v>
      </c>
      <c r="H307" s="459">
        <f t="shared" si="70"/>
        <v>80000</v>
      </c>
      <c r="I307" s="459">
        <f t="shared" si="71"/>
        <v>80000</v>
      </c>
      <c r="J307" s="459">
        <f>J305+J306</f>
        <v>0</v>
      </c>
      <c r="K307" s="459">
        <f>K305+K306</f>
        <v>80000</v>
      </c>
      <c r="L307" s="459">
        <f t="shared" si="72"/>
        <v>0</v>
      </c>
      <c r="M307" s="459">
        <f>M305+M306</f>
        <v>0</v>
      </c>
      <c r="N307" s="459">
        <f>N305+N306</f>
        <v>0</v>
      </c>
    </row>
    <row r="308" spans="1:14" s="407" customFormat="1" ht="15" hidden="1" customHeight="1">
      <c r="A308" s="1095"/>
      <c r="B308" s="1096"/>
      <c r="C308" s="1095"/>
      <c r="D308" s="1096"/>
      <c r="E308" s="1086" t="s">
        <v>1046</v>
      </c>
      <c r="F308" s="1087"/>
      <c r="G308" s="458" t="s">
        <v>0</v>
      </c>
      <c r="H308" s="459">
        <f t="shared" si="70"/>
        <v>500000</v>
      </c>
      <c r="I308" s="459">
        <f t="shared" si="71"/>
        <v>0</v>
      </c>
      <c r="J308" s="459">
        <v>0</v>
      </c>
      <c r="K308" s="459">
        <v>0</v>
      </c>
      <c r="L308" s="459">
        <f t="shared" si="72"/>
        <v>500000</v>
      </c>
      <c r="M308" s="459">
        <v>0</v>
      </c>
      <c r="N308" s="459">
        <v>500000</v>
      </c>
    </row>
    <row r="309" spans="1:14" s="407" customFormat="1" ht="15" hidden="1" customHeight="1">
      <c r="A309" s="1095"/>
      <c r="B309" s="1123"/>
      <c r="C309" s="1095"/>
      <c r="D309" s="1123"/>
      <c r="E309" s="1088"/>
      <c r="F309" s="1089"/>
      <c r="G309" s="458" t="s">
        <v>1</v>
      </c>
      <c r="H309" s="459">
        <f t="shared" si="70"/>
        <v>0</v>
      </c>
      <c r="I309" s="459">
        <f t="shared" si="71"/>
        <v>0</v>
      </c>
      <c r="J309" s="459">
        <v>0</v>
      </c>
      <c r="K309" s="459">
        <v>0</v>
      </c>
      <c r="L309" s="459">
        <f t="shared" si="72"/>
        <v>0</v>
      </c>
      <c r="M309" s="459">
        <v>0</v>
      </c>
      <c r="N309" s="459">
        <v>0</v>
      </c>
    </row>
    <row r="310" spans="1:14" s="407" customFormat="1" ht="15" hidden="1" customHeight="1">
      <c r="A310" s="1101"/>
      <c r="B310" s="1124"/>
      <c r="C310" s="1101"/>
      <c r="D310" s="1124"/>
      <c r="E310" s="1090"/>
      <c r="F310" s="1091"/>
      <c r="G310" s="458" t="s">
        <v>2</v>
      </c>
      <c r="H310" s="459">
        <f t="shared" si="70"/>
        <v>500000</v>
      </c>
      <c r="I310" s="459">
        <f t="shared" si="71"/>
        <v>0</v>
      </c>
      <c r="J310" s="459">
        <f>J308+J309</f>
        <v>0</v>
      </c>
      <c r="K310" s="459">
        <f>K308+K309</f>
        <v>0</v>
      </c>
      <c r="L310" s="459">
        <f t="shared" si="72"/>
        <v>500000</v>
      </c>
      <c r="M310" s="459">
        <f>M308+M309</f>
        <v>0</v>
      </c>
      <c r="N310" s="459">
        <f>N308+N309</f>
        <v>500000</v>
      </c>
    </row>
    <row r="311" spans="1:14" s="480" customFormat="1" ht="15" hidden="1" customHeight="1">
      <c r="A311" s="1099" t="s">
        <v>45</v>
      </c>
      <c r="B311" s="1100"/>
      <c r="C311" s="1099" t="s">
        <v>198</v>
      </c>
      <c r="D311" s="1100"/>
      <c r="E311" s="1086" t="s">
        <v>1047</v>
      </c>
      <c r="F311" s="1087"/>
      <c r="G311" s="458" t="s">
        <v>0</v>
      </c>
      <c r="H311" s="459">
        <f t="shared" si="70"/>
        <v>43221000</v>
      </c>
      <c r="I311" s="459">
        <f t="shared" si="71"/>
        <v>5521000</v>
      </c>
      <c r="J311" s="459">
        <v>0</v>
      </c>
      <c r="K311" s="459">
        <v>5521000</v>
      </c>
      <c r="L311" s="459">
        <f t="shared" si="72"/>
        <v>37700000</v>
      </c>
      <c r="M311" s="459">
        <v>0</v>
      </c>
      <c r="N311" s="459">
        <v>37700000</v>
      </c>
    </row>
    <row r="312" spans="1:14" s="480" customFormat="1" ht="15" hidden="1" customHeight="1">
      <c r="A312" s="1084"/>
      <c r="B312" s="1118"/>
      <c r="C312" s="1084"/>
      <c r="D312" s="1118"/>
      <c r="E312" s="1088"/>
      <c r="F312" s="1089"/>
      <c r="G312" s="458" t="s">
        <v>1</v>
      </c>
      <c r="H312" s="459">
        <f t="shared" si="70"/>
        <v>0</v>
      </c>
      <c r="I312" s="459">
        <f t="shared" si="71"/>
        <v>0</v>
      </c>
      <c r="J312" s="459">
        <v>0</v>
      </c>
      <c r="K312" s="459">
        <v>0</v>
      </c>
      <c r="L312" s="459">
        <f t="shared" si="72"/>
        <v>0</v>
      </c>
      <c r="M312" s="459">
        <v>0</v>
      </c>
      <c r="N312" s="459">
        <v>0</v>
      </c>
    </row>
    <row r="313" spans="1:14" s="480" customFormat="1" ht="15" hidden="1" customHeight="1">
      <c r="A313" s="1084"/>
      <c r="B313" s="1118"/>
      <c r="C313" s="1093"/>
      <c r="D313" s="1122"/>
      <c r="E313" s="1090"/>
      <c r="F313" s="1091"/>
      <c r="G313" s="458" t="s">
        <v>2</v>
      </c>
      <c r="H313" s="459">
        <f t="shared" si="70"/>
        <v>43221000</v>
      </c>
      <c r="I313" s="459">
        <f t="shared" si="71"/>
        <v>5521000</v>
      </c>
      <c r="J313" s="459">
        <f>J311+J312</f>
        <v>0</v>
      </c>
      <c r="K313" s="459">
        <f>K311+K312</f>
        <v>5521000</v>
      </c>
      <c r="L313" s="459">
        <f t="shared" si="72"/>
        <v>37700000</v>
      </c>
      <c r="M313" s="459">
        <f>M311+M312</f>
        <v>0</v>
      </c>
      <c r="N313" s="459">
        <f>N311+N312</f>
        <v>37700000</v>
      </c>
    </row>
    <row r="314" spans="1:14" s="480" customFormat="1" ht="15" hidden="1" customHeight="1">
      <c r="A314" s="1084"/>
      <c r="B314" s="1085"/>
      <c r="C314" s="1099" t="s">
        <v>1048</v>
      </c>
      <c r="D314" s="1100"/>
      <c r="E314" s="1086" t="s">
        <v>1049</v>
      </c>
      <c r="F314" s="1087"/>
      <c r="G314" s="458" t="s">
        <v>0</v>
      </c>
      <c r="H314" s="459">
        <f t="shared" si="70"/>
        <v>27791450</v>
      </c>
      <c r="I314" s="459">
        <f t="shared" si="71"/>
        <v>0</v>
      </c>
      <c r="J314" s="459">
        <v>0</v>
      </c>
      <c r="K314" s="459">
        <v>0</v>
      </c>
      <c r="L314" s="459">
        <f t="shared" si="72"/>
        <v>27791450</v>
      </c>
      <c r="M314" s="459">
        <v>0</v>
      </c>
      <c r="N314" s="459">
        <v>27791450</v>
      </c>
    </row>
    <row r="315" spans="1:14" s="480" customFormat="1" ht="15" hidden="1" customHeight="1">
      <c r="A315" s="1084"/>
      <c r="B315" s="1118"/>
      <c r="C315" s="1084"/>
      <c r="D315" s="1118"/>
      <c r="E315" s="1088"/>
      <c r="F315" s="1089"/>
      <c r="G315" s="458" t="s">
        <v>1</v>
      </c>
      <c r="H315" s="459">
        <f t="shared" si="70"/>
        <v>0</v>
      </c>
      <c r="I315" s="459">
        <f t="shared" si="71"/>
        <v>0</v>
      </c>
      <c r="J315" s="459">
        <v>0</v>
      </c>
      <c r="K315" s="459">
        <v>0</v>
      </c>
      <c r="L315" s="459">
        <f t="shared" si="72"/>
        <v>0</v>
      </c>
      <c r="M315" s="459">
        <v>0</v>
      </c>
      <c r="N315" s="459">
        <v>0</v>
      </c>
    </row>
    <row r="316" spans="1:14" s="480" customFormat="1" ht="15" hidden="1" customHeight="1">
      <c r="A316" s="1084"/>
      <c r="B316" s="1118"/>
      <c r="C316" s="1093"/>
      <c r="D316" s="1122"/>
      <c r="E316" s="1090"/>
      <c r="F316" s="1091"/>
      <c r="G316" s="458" t="s">
        <v>2</v>
      </c>
      <c r="H316" s="459">
        <f t="shared" si="70"/>
        <v>27791450</v>
      </c>
      <c r="I316" s="459">
        <f t="shared" si="71"/>
        <v>0</v>
      </c>
      <c r="J316" s="459">
        <f>J314+J315</f>
        <v>0</v>
      </c>
      <c r="K316" s="459">
        <f>K314+K315</f>
        <v>0</v>
      </c>
      <c r="L316" s="459">
        <f t="shared" si="72"/>
        <v>27791450</v>
      </c>
      <c r="M316" s="459">
        <f>M314+M315</f>
        <v>0</v>
      </c>
      <c r="N316" s="459">
        <f>N314+N315</f>
        <v>27791450</v>
      </c>
    </row>
    <row r="317" spans="1:14" s="480" customFormat="1" ht="15" hidden="1" customHeight="1">
      <c r="A317" s="1084"/>
      <c r="B317" s="1085"/>
      <c r="C317" s="1099" t="s">
        <v>200</v>
      </c>
      <c r="D317" s="1100"/>
      <c r="E317" s="1125" t="s">
        <v>1050</v>
      </c>
      <c r="F317" s="1087"/>
      <c r="G317" s="458" t="s">
        <v>0</v>
      </c>
      <c r="H317" s="459">
        <f>I317+L317</f>
        <v>37229</v>
      </c>
      <c r="I317" s="459">
        <f>J317+K317</f>
        <v>37229</v>
      </c>
      <c r="J317" s="459">
        <v>37229</v>
      </c>
      <c r="K317" s="459">
        <v>0</v>
      </c>
      <c r="L317" s="459">
        <f>M317+N317</f>
        <v>0</v>
      </c>
      <c r="M317" s="459">
        <v>0</v>
      </c>
      <c r="N317" s="459">
        <v>0</v>
      </c>
    </row>
    <row r="318" spans="1:14" s="480" customFormat="1" ht="15" hidden="1" customHeight="1">
      <c r="A318" s="1084"/>
      <c r="B318" s="1118"/>
      <c r="C318" s="1084"/>
      <c r="D318" s="1118"/>
      <c r="E318" s="1088"/>
      <c r="F318" s="1089"/>
      <c r="G318" s="458" t="s">
        <v>1</v>
      </c>
      <c r="H318" s="459">
        <f t="shared" ref="H318:H319" si="73">I318+L318</f>
        <v>0</v>
      </c>
      <c r="I318" s="459">
        <f t="shared" ref="I318:I319" si="74">J318+K318</f>
        <v>0</v>
      </c>
      <c r="J318" s="459">
        <v>0</v>
      </c>
      <c r="K318" s="459">
        <v>0</v>
      </c>
      <c r="L318" s="459">
        <f t="shared" ref="L318:L319" si="75">M318+N318</f>
        <v>0</v>
      </c>
      <c r="M318" s="459">
        <v>0</v>
      </c>
      <c r="N318" s="459">
        <v>0</v>
      </c>
    </row>
    <row r="319" spans="1:14" s="480" customFormat="1" ht="15" hidden="1" customHeight="1">
      <c r="A319" s="1084"/>
      <c r="B319" s="1118"/>
      <c r="C319" s="1084"/>
      <c r="D319" s="1118"/>
      <c r="E319" s="1090"/>
      <c r="F319" s="1091"/>
      <c r="G319" s="458" t="s">
        <v>2</v>
      </c>
      <c r="H319" s="459">
        <f t="shared" si="73"/>
        <v>37229</v>
      </c>
      <c r="I319" s="459">
        <f t="shared" si="74"/>
        <v>37229</v>
      </c>
      <c r="J319" s="459">
        <f>J317+J318</f>
        <v>37229</v>
      </c>
      <c r="K319" s="459">
        <f>K317+K318</f>
        <v>0</v>
      </c>
      <c r="L319" s="459">
        <f t="shared" si="75"/>
        <v>0</v>
      </c>
      <c r="M319" s="459">
        <f>M317+M318</f>
        <v>0</v>
      </c>
      <c r="N319" s="459">
        <f>N317+N318</f>
        <v>0</v>
      </c>
    </row>
    <row r="320" spans="1:14" s="480" customFormat="1" ht="15" hidden="1" customHeight="1">
      <c r="A320" s="1084"/>
      <c r="B320" s="1085"/>
      <c r="C320" s="1099" t="s">
        <v>201</v>
      </c>
      <c r="D320" s="1100"/>
      <c r="E320" s="1086" t="s">
        <v>1051</v>
      </c>
      <c r="F320" s="1087"/>
      <c r="G320" s="458" t="s">
        <v>0</v>
      </c>
      <c r="H320" s="459">
        <f>I320+L320</f>
        <v>2645000</v>
      </c>
      <c r="I320" s="459">
        <f>J320+K320</f>
        <v>2645000</v>
      </c>
      <c r="J320" s="459">
        <v>2645000</v>
      </c>
      <c r="K320" s="459">
        <v>0</v>
      </c>
      <c r="L320" s="459">
        <f>M320+N320</f>
        <v>0</v>
      </c>
      <c r="M320" s="459">
        <v>0</v>
      </c>
      <c r="N320" s="459">
        <v>0</v>
      </c>
    </row>
    <row r="321" spans="1:14" s="480" customFormat="1" ht="15" hidden="1" customHeight="1">
      <c r="A321" s="1084"/>
      <c r="B321" s="1118"/>
      <c r="C321" s="1084"/>
      <c r="D321" s="1118"/>
      <c r="E321" s="1088"/>
      <c r="F321" s="1089"/>
      <c r="G321" s="458" t="s">
        <v>1</v>
      </c>
      <c r="H321" s="459">
        <f t="shared" ref="H321:H322" si="76">I321+L321</f>
        <v>0</v>
      </c>
      <c r="I321" s="459">
        <f t="shared" ref="I321:I322" si="77">J321+K321</f>
        <v>0</v>
      </c>
      <c r="J321" s="459">
        <v>0</v>
      </c>
      <c r="K321" s="459">
        <v>0</v>
      </c>
      <c r="L321" s="459">
        <f t="shared" ref="L321:L322" si="78">M321+N321</f>
        <v>0</v>
      </c>
      <c r="M321" s="459">
        <v>0</v>
      </c>
      <c r="N321" s="459">
        <v>0</v>
      </c>
    </row>
    <row r="322" spans="1:14" s="480" customFormat="1" ht="15" hidden="1" customHeight="1">
      <c r="A322" s="1084"/>
      <c r="B322" s="1118"/>
      <c r="C322" s="1084"/>
      <c r="D322" s="1118"/>
      <c r="E322" s="1090"/>
      <c r="F322" s="1091"/>
      <c r="G322" s="458" t="s">
        <v>2</v>
      </c>
      <c r="H322" s="459">
        <f t="shared" si="76"/>
        <v>2645000</v>
      </c>
      <c r="I322" s="459">
        <f t="shared" si="77"/>
        <v>2645000</v>
      </c>
      <c r="J322" s="459">
        <f>J320+J321</f>
        <v>2645000</v>
      </c>
      <c r="K322" s="459">
        <f>K320+K321</f>
        <v>0</v>
      </c>
      <c r="L322" s="459">
        <f t="shared" si="78"/>
        <v>0</v>
      </c>
      <c r="M322" s="459">
        <f>M320+M321</f>
        <v>0</v>
      </c>
      <c r="N322" s="459">
        <f>N320+N321</f>
        <v>0</v>
      </c>
    </row>
    <row r="323" spans="1:14" s="480" customFormat="1" ht="28.5" hidden="1" customHeight="1">
      <c r="A323" s="1084"/>
      <c r="B323" s="1085"/>
      <c r="C323" s="1084"/>
      <c r="D323" s="1085"/>
      <c r="E323" s="1086" t="s">
        <v>1052</v>
      </c>
      <c r="F323" s="1087"/>
      <c r="G323" s="458" t="s">
        <v>0</v>
      </c>
      <c r="H323" s="459">
        <f>I323+L323</f>
        <v>1219000</v>
      </c>
      <c r="I323" s="459">
        <f>J323+K323</f>
        <v>1219000</v>
      </c>
      <c r="J323" s="459">
        <v>1219000</v>
      </c>
      <c r="K323" s="459">
        <v>0</v>
      </c>
      <c r="L323" s="459">
        <f>M323+N323</f>
        <v>0</v>
      </c>
      <c r="M323" s="459">
        <v>0</v>
      </c>
      <c r="N323" s="459">
        <v>0</v>
      </c>
    </row>
    <row r="324" spans="1:14" s="480" customFormat="1" ht="28.5" hidden="1" customHeight="1">
      <c r="A324" s="1084"/>
      <c r="B324" s="1118"/>
      <c r="C324" s="1084"/>
      <c r="D324" s="1118"/>
      <c r="E324" s="1088"/>
      <c r="F324" s="1089"/>
      <c r="G324" s="458" t="s">
        <v>1</v>
      </c>
      <c r="H324" s="459">
        <f t="shared" ref="H324:H325" si="79">I324+L324</f>
        <v>0</v>
      </c>
      <c r="I324" s="459">
        <f t="shared" ref="I324:I325" si="80">J324+K324</f>
        <v>0</v>
      </c>
      <c r="J324" s="459">
        <v>0</v>
      </c>
      <c r="K324" s="459">
        <v>0</v>
      </c>
      <c r="L324" s="459">
        <f t="shared" ref="L324:L325" si="81">M324+N324</f>
        <v>0</v>
      </c>
      <c r="M324" s="459">
        <v>0</v>
      </c>
      <c r="N324" s="459">
        <v>0</v>
      </c>
    </row>
    <row r="325" spans="1:14" s="480" customFormat="1" ht="28.5" hidden="1" customHeight="1">
      <c r="A325" s="1084"/>
      <c r="B325" s="1118"/>
      <c r="C325" s="1093"/>
      <c r="D325" s="1122"/>
      <c r="E325" s="1090"/>
      <c r="F325" s="1091"/>
      <c r="G325" s="458" t="s">
        <v>2</v>
      </c>
      <c r="H325" s="459">
        <f t="shared" si="79"/>
        <v>1219000</v>
      </c>
      <c r="I325" s="459">
        <f t="shared" si="80"/>
        <v>1219000</v>
      </c>
      <c r="J325" s="459">
        <f>J323+J324</f>
        <v>1219000</v>
      </c>
      <c r="K325" s="459">
        <f>K323+K324</f>
        <v>0</v>
      </c>
      <c r="L325" s="459">
        <f t="shared" si="81"/>
        <v>0</v>
      </c>
      <c r="M325" s="459">
        <f>M323+M324</f>
        <v>0</v>
      </c>
      <c r="N325" s="459">
        <f>N323+N324</f>
        <v>0</v>
      </c>
    </row>
    <row r="326" spans="1:14" s="480" customFormat="1" ht="15.6" customHeight="1">
      <c r="A326" s="1084" t="s">
        <v>45</v>
      </c>
      <c r="B326" s="1085"/>
      <c r="C326" s="1099" t="s">
        <v>201</v>
      </c>
      <c r="D326" s="1100"/>
      <c r="E326" s="1086" t="s">
        <v>1053</v>
      </c>
      <c r="F326" s="1087"/>
      <c r="G326" s="458" t="s">
        <v>0</v>
      </c>
      <c r="H326" s="459">
        <f>I326+L326</f>
        <v>0</v>
      </c>
      <c r="I326" s="459">
        <f>J326+K326</f>
        <v>0</v>
      </c>
      <c r="J326" s="459">
        <v>0</v>
      </c>
      <c r="K326" s="459">
        <v>0</v>
      </c>
      <c r="L326" s="459">
        <f>M326+N326</f>
        <v>0</v>
      </c>
      <c r="M326" s="459">
        <v>0</v>
      </c>
      <c r="N326" s="459">
        <v>0</v>
      </c>
    </row>
    <row r="327" spans="1:14" s="480" customFormat="1" ht="15.6" customHeight="1">
      <c r="A327" s="1084"/>
      <c r="B327" s="1118"/>
      <c r="C327" s="1084"/>
      <c r="D327" s="1118"/>
      <c r="E327" s="1088"/>
      <c r="F327" s="1089"/>
      <c r="G327" s="458" t="s">
        <v>1</v>
      </c>
      <c r="H327" s="459">
        <f t="shared" ref="H327:H328" si="82">I327+L327</f>
        <v>500000</v>
      </c>
      <c r="I327" s="459">
        <f t="shared" ref="I327:I328" si="83">J327+K327</f>
        <v>500000</v>
      </c>
      <c r="J327" s="459">
        <v>0</v>
      </c>
      <c r="K327" s="459">
        <v>500000</v>
      </c>
      <c r="L327" s="459">
        <f t="shared" ref="L327:L328" si="84">M327+N327</f>
        <v>0</v>
      </c>
      <c r="M327" s="459">
        <v>0</v>
      </c>
      <c r="N327" s="459">
        <v>0</v>
      </c>
    </row>
    <row r="328" spans="1:14" s="480" customFormat="1" ht="15.6" customHeight="1">
      <c r="A328" s="1084"/>
      <c r="B328" s="1118"/>
      <c r="C328" s="1084"/>
      <c r="D328" s="1118"/>
      <c r="E328" s="1090"/>
      <c r="F328" s="1091"/>
      <c r="G328" s="458" t="s">
        <v>2</v>
      </c>
      <c r="H328" s="459">
        <f t="shared" si="82"/>
        <v>500000</v>
      </c>
      <c r="I328" s="459">
        <f t="shared" si="83"/>
        <v>500000</v>
      </c>
      <c r="J328" s="459">
        <f>J326+J327</f>
        <v>0</v>
      </c>
      <c r="K328" s="459">
        <f>K326+K327</f>
        <v>500000</v>
      </c>
      <c r="L328" s="459">
        <f t="shared" si="84"/>
        <v>0</v>
      </c>
      <c r="M328" s="459">
        <f>M326+M327</f>
        <v>0</v>
      </c>
      <c r="N328" s="459">
        <f>N326+N327</f>
        <v>0</v>
      </c>
    </row>
    <row r="329" spans="1:14" s="480" customFormat="1" ht="15.6" customHeight="1">
      <c r="A329" s="1084"/>
      <c r="B329" s="1085"/>
      <c r="C329" s="1099" t="s">
        <v>589</v>
      </c>
      <c r="D329" s="1100"/>
      <c r="E329" s="1086" t="s">
        <v>1054</v>
      </c>
      <c r="F329" s="1087"/>
      <c r="G329" s="458" t="s">
        <v>0</v>
      </c>
      <c r="H329" s="459">
        <f t="shared" si="70"/>
        <v>150000</v>
      </c>
      <c r="I329" s="459">
        <f t="shared" si="71"/>
        <v>150000</v>
      </c>
      <c r="J329" s="459">
        <v>150000</v>
      </c>
      <c r="K329" s="459">
        <v>0</v>
      </c>
      <c r="L329" s="459">
        <f t="shared" si="72"/>
        <v>0</v>
      </c>
      <c r="M329" s="459">
        <v>0</v>
      </c>
      <c r="N329" s="459">
        <v>0</v>
      </c>
    </row>
    <row r="330" spans="1:14" s="480" customFormat="1" ht="15.6" customHeight="1">
      <c r="A330" s="1084"/>
      <c r="B330" s="1118"/>
      <c r="C330" s="1084"/>
      <c r="D330" s="1118"/>
      <c r="E330" s="1088"/>
      <c r="F330" s="1089"/>
      <c r="G330" s="458" t="s">
        <v>1</v>
      </c>
      <c r="H330" s="459">
        <f t="shared" si="70"/>
        <v>-76323</v>
      </c>
      <c r="I330" s="459">
        <f t="shared" si="71"/>
        <v>-76323</v>
      </c>
      <c r="J330" s="459">
        <v>-76323</v>
      </c>
      <c r="K330" s="459">
        <v>0</v>
      </c>
      <c r="L330" s="459">
        <f t="shared" si="72"/>
        <v>0</v>
      </c>
      <c r="M330" s="459">
        <v>0</v>
      </c>
      <c r="N330" s="459">
        <v>0</v>
      </c>
    </row>
    <row r="331" spans="1:14" s="480" customFormat="1" ht="15.6" customHeight="1">
      <c r="A331" s="1084"/>
      <c r="B331" s="1118"/>
      <c r="C331" s="1093"/>
      <c r="D331" s="1122"/>
      <c r="E331" s="1090"/>
      <c r="F331" s="1091"/>
      <c r="G331" s="458" t="s">
        <v>2</v>
      </c>
      <c r="H331" s="459">
        <f t="shared" si="70"/>
        <v>73677</v>
      </c>
      <c r="I331" s="459">
        <f t="shared" si="71"/>
        <v>73677</v>
      </c>
      <c r="J331" s="459">
        <f>J329+J330</f>
        <v>73677</v>
      </c>
      <c r="K331" s="459">
        <f>K329+K330</f>
        <v>0</v>
      </c>
      <c r="L331" s="459">
        <f t="shared" si="72"/>
        <v>0</v>
      </c>
      <c r="M331" s="459">
        <f>M329+M330</f>
        <v>0</v>
      </c>
      <c r="N331" s="459">
        <f>N329+N330</f>
        <v>0</v>
      </c>
    </row>
    <row r="332" spans="1:14" s="480" customFormat="1" ht="15" hidden="1" customHeight="1">
      <c r="A332" s="1084"/>
      <c r="B332" s="1085"/>
      <c r="C332" s="1099" t="s">
        <v>204</v>
      </c>
      <c r="D332" s="1100"/>
      <c r="E332" s="1086" t="s">
        <v>1055</v>
      </c>
      <c r="F332" s="1087"/>
      <c r="G332" s="458" t="s">
        <v>0</v>
      </c>
      <c r="H332" s="459">
        <f t="shared" si="70"/>
        <v>26624202</v>
      </c>
      <c r="I332" s="459">
        <f t="shared" si="71"/>
        <v>26624202</v>
      </c>
      <c r="J332" s="459">
        <v>26624202</v>
      </c>
      <c r="K332" s="459">
        <v>0</v>
      </c>
      <c r="L332" s="459">
        <f t="shared" si="72"/>
        <v>0</v>
      </c>
      <c r="M332" s="459">
        <v>0</v>
      </c>
      <c r="N332" s="459">
        <v>0</v>
      </c>
    </row>
    <row r="333" spans="1:14" s="480" customFormat="1" ht="15" hidden="1" customHeight="1">
      <c r="A333" s="1084"/>
      <c r="B333" s="1118"/>
      <c r="C333" s="1084"/>
      <c r="D333" s="1118"/>
      <c r="E333" s="1088"/>
      <c r="F333" s="1089"/>
      <c r="G333" s="458" t="s">
        <v>1</v>
      </c>
      <c r="H333" s="459">
        <f t="shared" si="70"/>
        <v>0</v>
      </c>
      <c r="I333" s="459">
        <f t="shared" si="71"/>
        <v>0</v>
      </c>
      <c r="J333" s="459">
        <v>0</v>
      </c>
      <c r="K333" s="459">
        <v>0</v>
      </c>
      <c r="L333" s="459">
        <f t="shared" si="72"/>
        <v>0</v>
      </c>
      <c r="M333" s="459">
        <v>0</v>
      </c>
      <c r="N333" s="459">
        <v>0</v>
      </c>
    </row>
    <row r="334" spans="1:14" s="480" customFormat="1" ht="15" hidden="1" customHeight="1">
      <c r="A334" s="1084"/>
      <c r="B334" s="1118"/>
      <c r="C334" s="1093"/>
      <c r="D334" s="1122"/>
      <c r="E334" s="1090"/>
      <c r="F334" s="1091"/>
      <c r="G334" s="458" t="s">
        <v>2</v>
      </c>
      <c r="H334" s="459">
        <f t="shared" si="70"/>
        <v>26624202</v>
      </c>
      <c r="I334" s="459">
        <f t="shared" si="71"/>
        <v>26624202</v>
      </c>
      <c r="J334" s="459">
        <f>J332+J333</f>
        <v>26624202</v>
      </c>
      <c r="K334" s="459">
        <f>K332+K333</f>
        <v>0</v>
      </c>
      <c r="L334" s="459">
        <f t="shared" si="72"/>
        <v>0</v>
      </c>
      <c r="M334" s="459">
        <f>M332+M333</f>
        <v>0</v>
      </c>
      <c r="N334" s="459">
        <f>N332+N333</f>
        <v>0</v>
      </c>
    </row>
    <row r="335" spans="1:14" s="480" customFormat="1" ht="15" hidden="1" customHeight="1">
      <c r="A335" s="1084"/>
      <c r="B335" s="1085"/>
      <c r="C335" s="1099" t="s">
        <v>207</v>
      </c>
      <c r="D335" s="1100"/>
      <c r="E335" s="1086" t="s">
        <v>1056</v>
      </c>
      <c r="F335" s="1087"/>
      <c r="G335" s="458" t="s">
        <v>0</v>
      </c>
      <c r="H335" s="459">
        <f t="shared" si="70"/>
        <v>50000</v>
      </c>
      <c r="I335" s="459">
        <f t="shared" si="71"/>
        <v>50000</v>
      </c>
      <c r="J335" s="459">
        <v>0</v>
      </c>
      <c r="K335" s="459">
        <v>50000</v>
      </c>
      <c r="L335" s="459">
        <f t="shared" si="72"/>
        <v>0</v>
      </c>
      <c r="M335" s="459">
        <v>0</v>
      </c>
      <c r="N335" s="459">
        <v>0</v>
      </c>
    </row>
    <row r="336" spans="1:14" s="480" customFormat="1" ht="15" hidden="1" customHeight="1">
      <c r="A336" s="1084"/>
      <c r="B336" s="1092"/>
      <c r="C336" s="1084"/>
      <c r="D336" s="1092"/>
      <c r="E336" s="1088"/>
      <c r="F336" s="1089"/>
      <c r="G336" s="458" t="s">
        <v>1</v>
      </c>
      <c r="H336" s="459">
        <f t="shared" si="70"/>
        <v>0</v>
      </c>
      <c r="I336" s="459">
        <f t="shared" si="71"/>
        <v>0</v>
      </c>
      <c r="J336" s="459">
        <v>0</v>
      </c>
      <c r="K336" s="459">
        <v>0</v>
      </c>
      <c r="L336" s="459">
        <f t="shared" si="72"/>
        <v>0</v>
      </c>
      <c r="M336" s="459">
        <v>0</v>
      </c>
      <c r="N336" s="459">
        <v>0</v>
      </c>
    </row>
    <row r="337" spans="1:14" s="480" customFormat="1" ht="15" hidden="1" customHeight="1">
      <c r="A337" s="1093"/>
      <c r="B337" s="1094"/>
      <c r="C337" s="1093"/>
      <c r="D337" s="1094"/>
      <c r="E337" s="1090"/>
      <c r="F337" s="1091"/>
      <c r="G337" s="458" t="s">
        <v>2</v>
      </c>
      <c r="H337" s="459">
        <f t="shared" si="70"/>
        <v>50000</v>
      </c>
      <c r="I337" s="459">
        <f t="shared" si="71"/>
        <v>50000</v>
      </c>
      <c r="J337" s="459">
        <f>J335+J336</f>
        <v>0</v>
      </c>
      <c r="K337" s="459">
        <f>K335+K336</f>
        <v>50000</v>
      </c>
      <c r="L337" s="459">
        <f t="shared" si="72"/>
        <v>0</v>
      </c>
      <c r="M337" s="459">
        <f>M335+M336</f>
        <v>0</v>
      </c>
      <c r="N337" s="459">
        <f>N335+N336</f>
        <v>0</v>
      </c>
    </row>
    <row r="338" spans="1:14" s="407" customFormat="1" ht="15" hidden="1" customHeight="1">
      <c r="A338" s="1097" t="s">
        <v>91</v>
      </c>
      <c r="B338" s="1098"/>
      <c r="C338" s="1097" t="s">
        <v>208</v>
      </c>
      <c r="D338" s="1098"/>
      <c r="E338" s="1086" t="s">
        <v>1057</v>
      </c>
      <c r="F338" s="1087"/>
      <c r="G338" s="520" t="s">
        <v>0</v>
      </c>
      <c r="H338" s="502">
        <f t="shared" si="70"/>
        <v>250000</v>
      </c>
      <c r="I338" s="502">
        <f t="shared" si="71"/>
        <v>0</v>
      </c>
      <c r="J338" s="502">
        <v>0</v>
      </c>
      <c r="K338" s="502">
        <v>0</v>
      </c>
      <c r="L338" s="502">
        <f t="shared" si="72"/>
        <v>250000</v>
      </c>
      <c r="M338" s="502">
        <v>0</v>
      </c>
      <c r="N338" s="502">
        <v>250000</v>
      </c>
    </row>
    <row r="339" spans="1:14" s="407" customFormat="1" ht="15" hidden="1" customHeight="1">
      <c r="A339" s="1095"/>
      <c r="B339" s="1092"/>
      <c r="C339" s="1095"/>
      <c r="D339" s="1092"/>
      <c r="E339" s="1088"/>
      <c r="F339" s="1089"/>
      <c r="G339" s="520" t="s">
        <v>1</v>
      </c>
      <c r="H339" s="502">
        <f t="shared" si="70"/>
        <v>0</v>
      </c>
      <c r="I339" s="502">
        <f t="shared" si="71"/>
        <v>0</v>
      </c>
      <c r="J339" s="502">
        <v>0</v>
      </c>
      <c r="K339" s="502">
        <v>0</v>
      </c>
      <c r="L339" s="502">
        <f t="shared" si="72"/>
        <v>0</v>
      </c>
      <c r="M339" s="502">
        <v>0</v>
      </c>
      <c r="N339" s="502">
        <v>0</v>
      </c>
    </row>
    <row r="340" spans="1:14" s="407" customFormat="1" ht="15" hidden="1" customHeight="1">
      <c r="A340" s="1101"/>
      <c r="B340" s="1094"/>
      <c r="C340" s="1101"/>
      <c r="D340" s="1094"/>
      <c r="E340" s="1090"/>
      <c r="F340" s="1091"/>
      <c r="G340" s="520" t="s">
        <v>2</v>
      </c>
      <c r="H340" s="459">
        <f t="shared" si="70"/>
        <v>250000</v>
      </c>
      <c r="I340" s="459">
        <f t="shared" si="71"/>
        <v>0</v>
      </c>
      <c r="J340" s="459">
        <f>J338+J339</f>
        <v>0</v>
      </c>
      <c r="K340" s="459">
        <f>K338+K339</f>
        <v>0</v>
      </c>
      <c r="L340" s="459">
        <f t="shared" si="72"/>
        <v>250000</v>
      </c>
      <c r="M340" s="459">
        <f>M338+M339</f>
        <v>0</v>
      </c>
      <c r="N340" s="459">
        <f>N338+N339</f>
        <v>250000</v>
      </c>
    </row>
    <row r="341" spans="1:14" s="407" customFormat="1" ht="15" hidden="1" customHeight="1">
      <c r="A341" s="1097" t="s">
        <v>51</v>
      </c>
      <c r="B341" s="1098"/>
      <c r="C341" s="1097" t="s">
        <v>220</v>
      </c>
      <c r="D341" s="1098"/>
      <c r="E341" s="1086" t="s">
        <v>597</v>
      </c>
      <c r="F341" s="1087"/>
      <c r="G341" s="458" t="s">
        <v>0</v>
      </c>
      <c r="H341" s="459">
        <f t="shared" si="70"/>
        <v>108639</v>
      </c>
      <c r="I341" s="459">
        <f t="shared" si="71"/>
        <v>108639</v>
      </c>
      <c r="J341" s="459">
        <v>108639</v>
      </c>
      <c r="K341" s="459">
        <v>0</v>
      </c>
      <c r="L341" s="459">
        <f t="shared" si="72"/>
        <v>0</v>
      </c>
      <c r="M341" s="459">
        <v>0</v>
      </c>
      <c r="N341" s="459">
        <v>0</v>
      </c>
    </row>
    <row r="342" spans="1:14" s="407" customFormat="1" ht="15" hidden="1" customHeight="1">
      <c r="A342" s="1095"/>
      <c r="B342" s="1092"/>
      <c r="C342" s="1095"/>
      <c r="D342" s="1092"/>
      <c r="E342" s="1088"/>
      <c r="F342" s="1089"/>
      <c r="G342" s="458" t="s">
        <v>1</v>
      </c>
      <c r="H342" s="459">
        <f t="shared" si="70"/>
        <v>0</v>
      </c>
      <c r="I342" s="459">
        <f t="shared" si="71"/>
        <v>0</v>
      </c>
      <c r="J342" s="459">
        <v>0</v>
      </c>
      <c r="K342" s="459">
        <v>0</v>
      </c>
      <c r="L342" s="459">
        <f t="shared" si="72"/>
        <v>0</v>
      </c>
      <c r="M342" s="459">
        <v>0</v>
      </c>
      <c r="N342" s="459">
        <v>0</v>
      </c>
    </row>
    <row r="343" spans="1:14" s="407" customFormat="1" ht="15" hidden="1" customHeight="1">
      <c r="A343" s="1101"/>
      <c r="B343" s="1094"/>
      <c r="C343" s="1101"/>
      <c r="D343" s="1094"/>
      <c r="E343" s="1090"/>
      <c r="F343" s="1091"/>
      <c r="G343" s="458" t="s">
        <v>2</v>
      </c>
      <c r="H343" s="459">
        <f t="shared" si="70"/>
        <v>108639</v>
      </c>
      <c r="I343" s="459">
        <f t="shared" si="71"/>
        <v>108639</v>
      </c>
      <c r="J343" s="459">
        <f>J341+J342</f>
        <v>108639</v>
      </c>
      <c r="K343" s="459">
        <f>K341+K342</f>
        <v>0</v>
      </c>
      <c r="L343" s="459">
        <f t="shared" si="72"/>
        <v>0</v>
      </c>
      <c r="M343" s="459">
        <f>M341+M342</f>
        <v>0</v>
      </c>
      <c r="N343" s="459">
        <f>N341+N342</f>
        <v>0</v>
      </c>
    </row>
    <row r="344" spans="1:14" s="407" customFormat="1" ht="15" hidden="1" customHeight="1">
      <c r="A344" s="1097" t="s">
        <v>221</v>
      </c>
      <c r="B344" s="1098"/>
      <c r="C344" s="1097" t="s">
        <v>223</v>
      </c>
      <c r="D344" s="1098"/>
      <c r="E344" s="1086" t="s">
        <v>1058</v>
      </c>
      <c r="F344" s="1087"/>
      <c r="G344" s="458" t="s">
        <v>0</v>
      </c>
      <c r="H344" s="459">
        <f t="shared" si="70"/>
        <v>200000</v>
      </c>
      <c r="I344" s="459">
        <f t="shared" si="71"/>
        <v>200000</v>
      </c>
      <c r="J344" s="459">
        <v>0</v>
      </c>
      <c r="K344" s="459">
        <v>200000</v>
      </c>
      <c r="L344" s="459">
        <f t="shared" si="72"/>
        <v>0</v>
      </c>
      <c r="M344" s="459">
        <v>0</v>
      </c>
      <c r="N344" s="459">
        <v>0</v>
      </c>
    </row>
    <row r="345" spans="1:14" s="407" customFormat="1" ht="15" hidden="1" customHeight="1">
      <c r="A345" s="1095"/>
      <c r="B345" s="1092"/>
      <c r="C345" s="1095"/>
      <c r="D345" s="1092"/>
      <c r="E345" s="1088"/>
      <c r="F345" s="1089"/>
      <c r="G345" s="458" t="s">
        <v>1</v>
      </c>
      <c r="H345" s="459">
        <f t="shared" si="70"/>
        <v>0</v>
      </c>
      <c r="I345" s="459">
        <f t="shared" si="71"/>
        <v>0</v>
      </c>
      <c r="J345" s="459">
        <v>0</v>
      </c>
      <c r="K345" s="459">
        <v>0</v>
      </c>
      <c r="L345" s="459">
        <f t="shared" si="72"/>
        <v>0</v>
      </c>
      <c r="M345" s="459">
        <v>0</v>
      </c>
      <c r="N345" s="459">
        <v>0</v>
      </c>
    </row>
    <row r="346" spans="1:14" s="407" customFormat="1" ht="15" hidden="1" customHeight="1">
      <c r="A346" s="1095"/>
      <c r="B346" s="1092"/>
      <c r="C346" s="1095"/>
      <c r="D346" s="1092"/>
      <c r="E346" s="1090"/>
      <c r="F346" s="1091"/>
      <c r="G346" s="458" t="s">
        <v>2</v>
      </c>
      <c r="H346" s="459">
        <f t="shared" si="70"/>
        <v>200000</v>
      </c>
      <c r="I346" s="459">
        <f t="shared" si="71"/>
        <v>200000</v>
      </c>
      <c r="J346" s="459">
        <f>J344+J345</f>
        <v>0</v>
      </c>
      <c r="K346" s="459">
        <f>K344+K345</f>
        <v>200000</v>
      </c>
      <c r="L346" s="459">
        <f t="shared" si="72"/>
        <v>0</v>
      </c>
      <c r="M346" s="459">
        <f>M344+M345</f>
        <v>0</v>
      </c>
      <c r="N346" s="459">
        <f>N344+N345</f>
        <v>0</v>
      </c>
    </row>
    <row r="347" spans="1:14" s="407" customFormat="1" ht="15" hidden="1" customHeight="1">
      <c r="A347" s="1095"/>
      <c r="B347" s="1096"/>
      <c r="C347" s="1095"/>
      <c r="D347" s="1096"/>
      <c r="E347" s="1086" t="s">
        <v>1059</v>
      </c>
      <c r="F347" s="1087"/>
      <c r="G347" s="458" t="s">
        <v>0</v>
      </c>
      <c r="H347" s="459">
        <f t="shared" si="70"/>
        <v>100000</v>
      </c>
      <c r="I347" s="459">
        <f t="shared" si="71"/>
        <v>100000</v>
      </c>
      <c r="J347" s="459">
        <v>0</v>
      </c>
      <c r="K347" s="459">
        <v>100000</v>
      </c>
      <c r="L347" s="459">
        <f t="shared" si="72"/>
        <v>0</v>
      </c>
      <c r="M347" s="459">
        <v>0</v>
      </c>
      <c r="N347" s="459">
        <v>0</v>
      </c>
    </row>
    <row r="348" spans="1:14" s="407" customFormat="1" ht="15" hidden="1" customHeight="1">
      <c r="A348" s="1095"/>
      <c r="B348" s="1092"/>
      <c r="C348" s="1095"/>
      <c r="D348" s="1092"/>
      <c r="E348" s="1088"/>
      <c r="F348" s="1089"/>
      <c r="G348" s="458" t="s">
        <v>1</v>
      </c>
      <c r="H348" s="459">
        <f t="shared" si="70"/>
        <v>0</v>
      </c>
      <c r="I348" s="459">
        <f t="shared" si="71"/>
        <v>0</v>
      </c>
      <c r="J348" s="459">
        <v>0</v>
      </c>
      <c r="K348" s="459">
        <v>0</v>
      </c>
      <c r="L348" s="459">
        <f t="shared" si="72"/>
        <v>0</v>
      </c>
      <c r="M348" s="459">
        <v>0</v>
      </c>
      <c r="N348" s="459">
        <v>0</v>
      </c>
    </row>
    <row r="349" spans="1:14" s="407" customFormat="1" ht="15" hidden="1" customHeight="1">
      <c r="A349" s="1101"/>
      <c r="B349" s="1094"/>
      <c r="C349" s="1101"/>
      <c r="D349" s="1094"/>
      <c r="E349" s="1090"/>
      <c r="F349" s="1091"/>
      <c r="G349" s="458" t="s">
        <v>2</v>
      </c>
      <c r="H349" s="459">
        <f t="shared" si="70"/>
        <v>100000</v>
      </c>
      <c r="I349" s="459">
        <f t="shared" si="71"/>
        <v>100000</v>
      </c>
      <c r="J349" s="459">
        <f>J347+J348</f>
        <v>0</v>
      </c>
      <c r="K349" s="459">
        <f>K347+K348</f>
        <v>100000</v>
      </c>
      <c r="L349" s="459">
        <f t="shared" si="72"/>
        <v>0</v>
      </c>
      <c r="M349" s="459">
        <f>M347+M348</f>
        <v>0</v>
      </c>
      <c r="N349" s="459">
        <f>N347+N348</f>
        <v>0</v>
      </c>
    </row>
    <row r="350" spans="1:14" s="407" customFormat="1" ht="15" hidden="1" customHeight="1">
      <c r="A350" s="1097" t="s">
        <v>53</v>
      </c>
      <c r="B350" s="1098"/>
      <c r="C350" s="1097" t="s">
        <v>236</v>
      </c>
      <c r="D350" s="1098"/>
      <c r="E350" s="1086" t="s">
        <v>1060</v>
      </c>
      <c r="F350" s="1087"/>
      <c r="G350" s="520" t="s">
        <v>0</v>
      </c>
      <c r="H350" s="502">
        <f t="shared" si="70"/>
        <v>140000</v>
      </c>
      <c r="I350" s="502">
        <f t="shared" si="71"/>
        <v>0</v>
      </c>
      <c r="J350" s="502">
        <v>0</v>
      </c>
      <c r="K350" s="502">
        <v>0</v>
      </c>
      <c r="L350" s="502">
        <f t="shared" si="72"/>
        <v>140000</v>
      </c>
      <c r="M350" s="502">
        <v>0</v>
      </c>
      <c r="N350" s="502">
        <v>140000</v>
      </c>
    </row>
    <row r="351" spans="1:14" s="407" customFormat="1" ht="15" hidden="1" customHeight="1">
      <c r="A351" s="1095"/>
      <c r="B351" s="1092"/>
      <c r="C351" s="1095"/>
      <c r="D351" s="1092"/>
      <c r="E351" s="1088"/>
      <c r="F351" s="1089"/>
      <c r="G351" s="520" t="s">
        <v>1</v>
      </c>
      <c r="H351" s="502">
        <f t="shared" si="70"/>
        <v>0</v>
      </c>
      <c r="I351" s="502">
        <f t="shared" si="71"/>
        <v>0</v>
      </c>
      <c r="J351" s="502">
        <v>0</v>
      </c>
      <c r="K351" s="502">
        <v>0</v>
      </c>
      <c r="L351" s="502">
        <f t="shared" si="72"/>
        <v>0</v>
      </c>
      <c r="M351" s="502">
        <v>0</v>
      </c>
      <c r="N351" s="502">
        <v>0</v>
      </c>
    </row>
    <row r="352" spans="1:14" s="407" customFormat="1" ht="15" hidden="1" customHeight="1">
      <c r="A352" s="1101"/>
      <c r="B352" s="1094"/>
      <c r="C352" s="1101"/>
      <c r="D352" s="1094"/>
      <c r="E352" s="1090"/>
      <c r="F352" s="1091"/>
      <c r="G352" s="520" t="s">
        <v>2</v>
      </c>
      <c r="H352" s="459">
        <f t="shared" si="70"/>
        <v>140000</v>
      </c>
      <c r="I352" s="459">
        <f t="shared" si="71"/>
        <v>0</v>
      </c>
      <c r="J352" s="459">
        <f>J350+J351</f>
        <v>0</v>
      </c>
      <c r="K352" s="459">
        <f>K350+K351</f>
        <v>0</v>
      </c>
      <c r="L352" s="459">
        <f t="shared" si="72"/>
        <v>140000</v>
      </c>
      <c r="M352" s="459">
        <f>M350+M351</f>
        <v>0</v>
      </c>
      <c r="N352" s="459">
        <f>N350+N351</f>
        <v>140000</v>
      </c>
    </row>
    <row r="353" spans="1:14" s="480" customFormat="1" ht="15" hidden="1" customHeight="1">
      <c r="A353" s="1099" t="s">
        <v>61</v>
      </c>
      <c r="B353" s="1100"/>
      <c r="C353" s="1099" t="s">
        <v>442</v>
      </c>
      <c r="D353" s="1100"/>
      <c r="E353" s="1086" t="s">
        <v>1061</v>
      </c>
      <c r="F353" s="1087"/>
      <c r="G353" s="458" t="s">
        <v>0</v>
      </c>
      <c r="H353" s="459">
        <f t="shared" si="70"/>
        <v>13751263</v>
      </c>
      <c r="I353" s="459">
        <f t="shared" si="71"/>
        <v>13751263</v>
      </c>
      <c r="J353" s="459">
        <v>13751263</v>
      </c>
      <c r="K353" s="459">
        <v>0</v>
      </c>
      <c r="L353" s="459">
        <f t="shared" si="72"/>
        <v>0</v>
      </c>
      <c r="M353" s="459">
        <v>0</v>
      </c>
      <c r="N353" s="459">
        <v>0</v>
      </c>
    </row>
    <row r="354" spans="1:14" s="480" customFormat="1" ht="15" hidden="1" customHeight="1">
      <c r="A354" s="1084"/>
      <c r="B354" s="1092"/>
      <c r="C354" s="1084"/>
      <c r="D354" s="1092"/>
      <c r="E354" s="1088"/>
      <c r="F354" s="1089"/>
      <c r="G354" s="458" t="s">
        <v>1</v>
      </c>
      <c r="H354" s="459">
        <f t="shared" si="70"/>
        <v>0</v>
      </c>
      <c r="I354" s="459">
        <f t="shared" si="71"/>
        <v>0</v>
      </c>
      <c r="J354" s="459">
        <v>0</v>
      </c>
      <c r="K354" s="459">
        <v>0</v>
      </c>
      <c r="L354" s="459">
        <f t="shared" si="72"/>
        <v>0</v>
      </c>
      <c r="M354" s="459">
        <v>0</v>
      </c>
      <c r="N354" s="459">
        <v>0</v>
      </c>
    </row>
    <row r="355" spans="1:14" s="480" customFormat="1" ht="15" hidden="1" customHeight="1">
      <c r="A355" s="1084"/>
      <c r="B355" s="1092"/>
      <c r="C355" s="1084"/>
      <c r="D355" s="1092"/>
      <c r="E355" s="1090"/>
      <c r="F355" s="1091"/>
      <c r="G355" s="458" t="s">
        <v>2</v>
      </c>
      <c r="H355" s="459">
        <f t="shared" si="70"/>
        <v>13751263</v>
      </c>
      <c r="I355" s="459">
        <f t="shared" si="71"/>
        <v>13751263</v>
      </c>
      <c r="J355" s="459">
        <f>J353+J354</f>
        <v>13751263</v>
      </c>
      <c r="K355" s="459">
        <f>K353+K354</f>
        <v>0</v>
      </c>
      <c r="L355" s="459">
        <f t="shared" si="72"/>
        <v>0</v>
      </c>
      <c r="M355" s="459">
        <f>M353+M354</f>
        <v>0</v>
      </c>
      <c r="N355" s="459">
        <f>N353+N354</f>
        <v>0</v>
      </c>
    </row>
    <row r="356" spans="1:14" s="480" customFormat="1" ht="15" hidden="1" customHeight="1">
      <c r="A356" s="1084"/>
      <c r="B356" s="1085"/>
      <c r="C356" s="1084"/>
      <c r="D356" s="1085"/>
      <c r="E356" s="1086" t="s">
        <v>1062</v>
      </c>
      <c r="F356" s="1087"/>
      <c r="G356" s="458" t="s">
        <v>0</v>
      </c>
      <c r="H356" s="459">
        <f t="shared" si="70"/>
        <v>600000</v>
      </c>
      <c r="I356" s="459">
        <f t="shared" si="71"/>
        <v>600000</v>
      </c>
      <c r="J356" s="459">
        <v>600000</v>
      </c>
      <c r="K356" s="459">
        <v>0</v>
      </c>
      <c r="L356" s="459">
        <f t="shared" si="72"/>
        <v>0</v>
      </c>
      <c r="M356" s="459">
        <v>0</v>
      </c>
      <c r="N356" s="459">
        <v>0</v>
      </c>
    </row>
    <row r="357" spans="1:14" s="480" customFormat="1" ht="15" hidden="1" customHeight="1">
      <c r="A357" s="1084"/>
      <c r="B357" s="1092"/>
      <c r="C357" s="1084"/>
      <c r="D357" s="1092"/>
      <c r="E357" s="1088"/>
      <c r="F357" s="1089"/>
      <c r="G357" s="458" t="s">
        <v>1</v>
      </c>
      <c r="H357" s="459">
        <f t="shared" si="70"/>
        <v>0</v>
      </c>
      <c r="I357" s="459">
        <f t="shared" si="71"/>
        <v>0</v>
      </c>
      <c r="J357" s="459">
        <v>0</v>
      </c>
      <c r="K357" s="459">
        <v>0</v>
      </c>
      <c r="L357" s="459">
        <f t="shared" si="72"/>
        <v>0</v>
      </c>
      <c r="M357" s="459">
        <v>0</v>
      </c>
      <c r="N357" s="459">
        <v>0</v>
      </c>
    </row>
    <row r="358" spans="1:14" s="480" customFormat="1" ht="15" hidden="1" customHeight="1">
      <c r="A358" s="1084"/>
      <c r="B358" s="1092"/>
      <c r="C358" s="1084"/>
      <c r="D358" s="1092"/>
      <c r="E358" s="1090"/>
      <c r="F358" s="1091"/>
      <c r="G358" s="458" t="s">
        <v>2</v>
      </c>
      <c r="H358" s="459">
        <f t="shared" si="70"/>
        <v>600000</v>
      </c>
      <c r="I358" s="459">
        <f t="shared" si="71"/>
        <v>600000</v>
      </c>
      <c r="J358" s="459">
        <f>J356+J357</f>
        <v>600000</v>
      </c>
      <c r="K358" s="459">
        <f>K356+K357</f>
        <v>0</v>
      </c>
      <c r="L358" s="459">
        <f t="shared" si="72"/>
        <v>0</v>
      </c>
      <c r="M358" s="459">
        <f>M356+M357</f>
        <v>0</v>
      </c>
      <c r="N358" s="459">
        <f>N356+N357</f>
        <v>0</v>
      </c>
    </row>
    <row r="359" spans="1:14" s="480" customFormat="1" ht="15" hidden="1" customHeight="1">
      <c r="A359" s="1084"/>
      <c r="B359" s="1085"/>
      <c r="C359" s="1084"/>
      <c r="D359" s="1085"/>
      <c r="E359" s="1086" t="s">
        <v>1063</v>
      </c>
      <c r="F359" s="1087"/>
      <c r="G359" s="458" t="s">
        <v>0</v>
      </c>
      <c r="H359" s="459">
        <f t="shared" si="70"/>
        <v>6000000</v>
      </c>
      <c r="I359" s="459">
        <f t="shared" si="71"/>
        <v>6000000</v>
      </c>
      <c r="J359" s="459">
        <v>6000000</v>
      </c>
      <c r="K359" s="459">
        <v>0</v>
      </c>
      <c r="L359" s="459">
        <f t="shared" si="72"/>
        <v>0</v>
      </c>
      <c r="M359" s="459">
        <v>0</v>
      </c>
      <c r="N359" s="459">
        <v>0</v>
      </c>
    </row>
    <row r="360" spans="1:14" s="480" customFormat="1" ht="15" hidden="1" customHeight="1">
      <c r="A360" s="1084"/>
      <c r="B360" s="1092"/>
      <c r="C360" s="1084"/>
      <c r="D360" s="1092"/>
      <c r="E360" s="1088"/>
      <c r="F360" s="1089"/>
      <c r="G360" s="458" t="s">
        <v>1</v>
      </c>
      <c r="H360" s="459">
        <f t="shared" si="70"/>
        <v>0</v>
      </c>
      <c r="I360" s="459">
        <f t="shared" si="71"/>
        <v>0</v>
      </c>
      <c r="J360" s="459">
        <v>0</v>
      </c>
      <c r="K360" s="459">
        <v>0</v>
      </c>
      <c r="L360" s="459">
        <f t="shared" si="72"/>
        <v>0</v>
      </c>
      <c r="M360" s="459">
        <v>0</v>
      </c>
      <c r="N360" s="459">
        <v>0</v>
      </c>
    </row>
    <row r="361" spans="1:14" s="480" customFormat="1" ht="15" hidden="1" customHeight="1">
      <c r="A361" s="1084"/>
      <c r="B361" s="1092"/>
      <c r="C361" s="1084"/>
      <c r="D361" s="1092"/>
      <c r="E361" s="1090"/>
      <c r="F361" s="1091"/>
      <c r="G361" s="458" t="s">
        <v>2</v>
      </c>
      <c r="H361" s="459">
        <f t="shared" si="70"/>
        <v>6000000</v>
      </c>
      <c r="I361" s="459">
        <f t="shared" si="71"/>
        <v>6000000</v>
      </c>
      <c r="J361" s="459">
        <f>J359+J360</f>
        <v>6000000</v>
      </c>
      <c r="K361" s="459">
        <f>K359+K360</f>
        <v>0</v>
      </c>
      <c r="L361" s="459">
        <f t="shared" si="72"/>
        <v>0</v>
      </c>
      <c r="M361" s="459">
        <f>M359+M360</f>
        <v>0</v>
      </c>
      <c r="N361" s="459">
        <f>N359+N360</f>
        <v>0</v>
      </c>
    </row>
    <row r="362" spans="1:14" s="480" customFormat="1" ht="24" hidden="1" customHeight="1">
      <c r="A362" s="1084"/>
      <c r="B362" s="1085"/>
      <c r="C362" s="1084"/>
      <c r="D362" s="1085"/>
      <c r="E362" s="1086" t="s">
        <v>1064</v>
      </c>
      <c r="F362" s="1087"/>
      <c r="G362" s="521" t="s">
        <v>0</v>
      </c>
      <c r="H362" s="459">
        <f t="shared" si="70"/>
        <v>270000</v>
      </c>
      <c r="I362" s="459">
        <f t="shared" si="71"/>
        <v>270000</v>
      </c>
      <c r="J362" s="459">
        <v>270000</v>
      </c>
      <c r="K362" s="459">
        <v>0</v>
      </c>
      <c r="L362" s="459">
        <f t="shared" si="72"/>
        <v>0</v>
      </c>
      <c r="M362" s="459">
        <v>0</v>
      </c>
      <c r="N362" s="459">
        <v>0</v>
      </c>
    </row>
    <row r="363" spans="1:14" s="480" customFormat="1" ht="24" hidden="1" customHeight="1">
      <c r="A363" s="1084"/>
      <c r="B363" s="1092"/>
      <c r="C363" s="1084"/>
      <c r="D363" s="1092"/>
      <c r="E363" s="1088"/>
      <c r="F363" s="1089"/>
      <c r="G363" s="522" t="s">
        <v>1</v>
      </c>
      <c r="H363" s="459">
        <f t="shared" si="70"/>
        <v>0</v>
      </c>
      <c r="I363" s="459">
        <f t="shared" si="71"/>
        <v>0</v>
      </c>
      <c r="J363" s="459">
        <v>0</v>
      </c>
      <c r="K363" s="459">
        <v>0</v>
      </c>
      <c r="L363" s="459">
        <f t="shared" si="72"/>
        <v>0</v>
      </c>
      <c r="M363" s="459">
        <v>0</v>
      </c>
      <c r="N363" s="459">
        <v>0</v>
      </c>
    </row>
    <row r="364" spans="1:14" s="480" customFormat="1" ht="24" hidden="1" customHeight="1">
      <c r="A364" s="1084"/>
      <c r="B364" s="1092"/>
      <c r="C364" s="1084"/>
      <c r="D364" s="1092"/>
      <c r="E364" s="1090"/>
      <c r="F364" s="1091"/>
      <c r="G364" s="522" t="s">
        <v>2</v>
      </c>
      <c r="H364" s="459">
        <f>I364+L364</f>
        <v>270000</v>
      </c>
      <c r="I364" s="459">
        <f t="shared" si="71"/>
        <v>270000</v>
      </c>
      <c r="J364" s="459">
        <f>J362+J363</f>
        <v>270000</v>
      </c>
      <c r="K364" s="459">
        <f>K362+K363</f>
        <v>0</v>
      </c>
      <c r="L364" s="459">
        <f t="shared" si="72"/>
        <v>0</v>
      </c>
      <c r="M364" s="459">
        <f>M362+M363</f>
        <v>0</v>
      </c>
      <c r="N364" s="459">
        <f>N362+N363</f>
        <v>0</v>
      </c>
    </row>
    <row r="365" spans="1:14" s="480" customFormat="1" ht="15.6" customHeight="1">
      <c r="A365" s="1099" t="s">
        <v>61</v>
      </c>
      <c r="B365" s="1100"/>
      <c r="C365" s="1084" t="s">
        <v>442</v>
      </c>
      <c r="D365" s="1085"/>
      <c r="E365" s="1086" t="s">
        <v>1065</v>
      </c>
      <c r="F365" s="1087"/>
      <c r="G365" s="458" t="s">
        <v>0</v>
      </c>
      <c r="H365" s="459">
        <f t="shared" ref="H365:H370" si="85">I365+L365</f>
        <v>0</v>
      </c>
      <c r="I365" s="459">
        <f t="shared" si="71"/>
        <v>0</v>
      </c>
      <c r="J365" s="459">
        <v>0</v>
      </c>
      <c r="K365" s="459">
        <v>0</v>
      </c>
      <c r="L365" s="459">
        <f t="shared" si="72"/>
        <v>0</v>
      </c>
      <c r="M365" s="459">
        <v>0</v>
      </c>
      <c r="N365" s="459">
        <v>0</v>
      </c>
    </row>
    <row r="366" spans="1:14" s="480" customFormat="1" ht="15.6" customHeight="1">
      <c r="A366" s="1084"/>
      <c r="B366" s="1092"/>
      <c r="C366" s="1084"/>
      <c r="D366" s="1092"/>
      <c r="E366" s="1088"/>
      <c r="F366" s="1089"/>
      <c r="G366" s="458" t="s">
        <v>1</v>
      </c>
      <c r="H366" s="459">
        <f t="shared" si="85"/>
        <v>451000</v>
      </c>
      <c r="I366" s="459">
        <f t="shared" si="71"/>
        <v>451000</v>
      </c>
      <c r="J366" s="459">
        <v>451000</v>
      </c>
      <c r="K366" s="459">
        <v>0</v>
      </c>
      <c r="L366" s="459">
        <f t="shared" si="72"/>
        <v>0</v>
      </c>
      <c r="M366" s="459">
        <v>0</v>
      </c>
      <c r="N366" s="459">
        <v>0</v>
      </c>
    </row>
    <row r="367" spans="1:14" s="480" customFormat="1" ht="15.6" customHeight="1">
      <c r="A367" s="1084"/>
      <c r="B367" s="1092"/>
      <c r="C367" s="1084"/>
      <c r="D367" s="1092"/>
      <c r="E367" s="1090"/>
      <c r="F367" s="1091"/>
      <c r="G367" s="458" t="s">
        <v>2</v>
      </c>
      <c r="H367" s="459">
        <f t="shared" si="85"/>
        <v>451000</v>
      </c>
      <c r="I367" s="459">
        <f t="shared" si="71"/>
        <v>451000</v>
      </c>
      <c r="J367" s="459">
        <f>J365+J366</f>
        <v>451000</v>
      </c>
      <c r="K367" s="459">
        <f>K365+K366</f>
        <v>0</v>
      </c>
      <c r="L367" s="459">
        <f t="shared" si="72"/>
        <v>0</v>
      </c>
      <c r="M367" s="459">
        <f>M365+M366</f>
        <v>0</v>
      </c>
      <c r="N367" s="459">
        <f>N365+N366</f>
        <v>0</v>
      </c>
    </row>
    <row r="368" spans="1:14" s="480" customFormat="1" ht="15.6" customHeight="1">
      <c r="A368" s="1084"/>
      <c r="B368" s="1085"/>
      <c r="C368" s="1084"/>
      <c r="D368" s="1085"/>
      <c r="E368" s="1086" t="s">
        <v>1066</v>
      </c>
      <c r="F368" s="1087"/>
      <c r="G368" s="458" t="s">
        <v>0</v>
      </c>
      <c r="H368" s="459">
        <f t="shared" si="85"/>
        <v>4000000</v>
      </c>
      <c r="I368" s="459">
        <f t="shared" si="71"/>
        <v>4000000</v>
      </c>
      <c r="J368" s="459">
        <v>4000000</v>
      </c>
      <c r="K368" s="459">
        <v>0</v>
      </c>
      <c r="L368" s="459">
        <f t="shared" si="72"/>
        <v>0</v>
      </c>
      <c r="M368" s="459">
        <v>0</v>
      </c>
      <c r="N368" s="459">
        <v>0</v>
      </c>
    </row>
    <row r="369" spans="1:14" s="480" customFormat="1" ht="15.6" customHeight="1">
      <c r="A369" s="1084"/>
      <c r="B369" s="1092"/>
      <c r="C369" s="1084"/>
      <c r="D369" s="1092"/>
      <c r="E369" s="1088"/>
      <c r="F369" s="1089"/>
      <c r="G369" s="458" t="s">
        <v>1</v>
      </c>
      <c r="H369" s="459">
        <f t="shared" si="85"/>
        <v>-4000000</v>
      </c>
      <c r="I369" s="459">
        <f t="shared" si="71"/>
        <v>-4000000</v>
      </c>
      <c r="J369" s="459">
        <v>-4000000</v>
      </c>
      <c r="K369" s="459">
        <v>0</v>
      </c>
      <c r="L369" s="459">
        <f t="shared" si="72"/>
        <v>0</v>
      </c>
      <c r="M369" s="459">
        <v>0</v>
      </c>
      <c r="N369" s="459">
        <v>0</v>
      </c>
    </row>
    <row r="370" spans="1:14" s="480" customFormat="1" ht="15.6" customHeight="1">
      <c r="A370" s="1084"/>
      <c r="B370" s="1092"/>
      <c r="C370" s="1084"/>
      <c r="D370" s="1092"/>
      <c r="E370" s="1090"/>
      <c r="F370" s="1091"/>
      <c r="G370" s="458" t="s">
        <v>2</v>
      </c>
      <c r="H370" s="459">
        <f t="shared" si="85"/>
        <v>0</v>
      </c>
      <c r="I370" s="459">
        <f t="shared" si="71"/>
        <v>0</v>
      </c>
      <c r="J370" s="459">
        <f>J368+J369</f>
        <v>0</v>
      </c>
      <c r="K370" s="459">
        <f>K368+K369</f>
        <v>0</v>
      </c>
      <c r="L370" s="459">
        <f t="shared" si="72"/>
        <v>0</v>
      </c>
      <c r="M370" s="459">
        <f>M368+M369</f>
        <v>0</v>
      </c>
      <c r="N370" s="459">
        <f>N368+N369</f>
        <v>0</v>
      </c>
    </row>
    <row r="371" spans="1:14" s="407" customFormat="1" ht="15.6" customHeight="1">
      <c r="A371" s="1095"/>
      <c r="B371" s="1096"/>
      <c r="C371" s="1097" t="s">
        <v>283</v>
      </c>
      <c r="D371" s="1098"/>
      <c r="E371" s="1086" t="s">
        <v>1067</v>
      </c>
      <c r="F371" s="1087"/>
      <c r="G371" s="458" t="s">
        <v>0</v>
      </c>
      <c r="H371" s="459">
        <f>I371+L371</f>
        <v>0</v>
      </c>
      <c r="I371" s="459">
        <f>J371+K371</f>
        <v>0</v>
      </c>
      <c r="J371" s="459">
        <v>0</v>
      </c>
      <c r="K371" s="459">
        <v>0</v>
      </c>
      <c r="L371" s="459">
        <f>M371+N371</f>
        <v>0</v>
      </c>
      <c r="M371" s="459">
        <v>0</v>
      </c>
      <c r="N371" s="459">
        <v>0</v>
      </c>
    </row>
    <row r="372" spans="1:14" s="407" customFormat="1" ht="15.6" customHeight="1">
      <c r="A372" s="1095"/>
      <c r="B372" s="1092"/>
      <c r="C372" s="1095"/>
      <c r="D372" s="1092"/>
      <c r="E372" s="1088"/>
      <c r="F372" s="1089"/>
      <c r="G372" s="458" t="s">
        <v>1</v>
      </c>
      <c r="H372" s="459">
        <f t="shared" ref="H372:H373" si="86">I372+L372</f>
        <v>542000</v>
      </c>
      <c r="I372" s="459">
        <f t="shared" ref="I372:I373" si="87">J372+K372</f>
        <v>542000</v>
      </c>
      <c r="J372" s="459">
        <v>542000</v>
      </c>
      <c r="K372" s="459">
        <v>0</v>
      </c>
      <c r="L372" s="459">
        <f t="shared" ref="L372:L373" si="88">M372+N372</f>
        <v>0</v>
      </c>
      <c r="M372" s="459">
        <v>0</v>
      </c>
      <c r="N372" s="459">
        <v>0</v>
      </c>
    </row>
    <row r="373" spans="1:14" s="407" customFormat="1" ht="15.6" customHeight="1">
      <c r="A373" s="1095"/>
      <c r="B373" s="1092"/>
      <c r="C373" s="1095"/>
      <c r="D373" s="1092"/>
      <c r="E373" s="1090"/>
      <c r="F373" s="1091"/>
      <c r="G373" s="458" t="s">
        <v>2</v>
      </c>
      <c r="H373" s="459">
        <f t="shared" si="86"/>
        <v>542000</v>
      </c>
      <c r="I373" s="459">
        <f t="shared" si="87"/>
        <v>542000</v>
      </c>
      <c r="J373" s="459">
        <f>J371+J372</f>
        <v>542000</v>
      </c>
      <c r="K373" s="459">
        <f>K371+K372</f>
        <v>0</v>
      </c>
      <c r="L373" s="459">
        <f t="shared" si="88"/>
        <v>0</v>
      </c>
      <c r="M373" s="459">
        <f>M371+M372</f>
        <v>0</v>
      </c>
      <c r="N373" s="459">
        <f>N371+N372</f>
        <v>0</v>
      </c>
    </row>
    <row r="374" spans="1:14" s="407" customFormat="1" ht="14.1" hidden="1" customHeight="1">
      <c r="A374" s="1095"/>
      <c r="B374" s="1096"/>
      <c r="C374" s="1097" t="s">
        <v>1010</v>
      </c>
      <c r="D374" s="1098"/>
      <c r="E374" s="1086" t="s">
        <v>1068</v>
      </c>
      <c r="F374" s="1087"/>
      <c r="G374" s="458" t="s">
        <v>0</v>
      </c>
      <c r="H374" s="459">
        <f>I374+L374</f>
        <v>817975</v>
      </c>
      <c r="I374" s="459">
        <f>J374+K374</f>
        <v>192000</v>
      </c>
      <c r="J374" s="459">
        <v>0</v>
      </c>
      <c r="K374" s="459">
        <v>192000</v>
      </c>
      <c r="L374" s="459">
        <f>M374+N374</f>
        <v>625975</v>
      </c>
      <c r="M374" s="459">
        <v>0</v>
      </c>
      <c r="N374" s="459">
        <v>625975</v>
      </c>
    </row>
    <row r="375" spans="1:14" s="407" customFormat="1" ht="14.1" hidden="1" customHeight="1">
      <c r="A375" s="1095"/>
      <c r="B375" s="1092"/>
      <c r="C375" s="1095"/>
      <c r="D375" s="1092"/>
      <c r="E375" s="1088"/>
      <c r="F375" s="1089"/>
      <c r="G375" s="458" t="s">
        <v>1</v>
      </c>
      <c r="H375" s="459">
        <f t="shared" ref="H375:H376" si="89">I375+L375</f>
        <v>0</v>
      </c>
      <c r="I375" s="459">
        <f t="shared" ref="I375:I376" si="90">J375+K375</f>
        <v>0</v>
      </c>
      <c r="J375" s="459">
        <v>0</v>
      </c>
      <c r="K375" s="459">
        <v>0</v>
      </c>
      <c r="L375" s="459">
        <f t="shared" ref="L375:L376" si="91">M375+N375</f>
        <v>0</v>
      </c>
      <c r="M375" s="459">
        <v>0</v>
      </c>
      <c r="N375" s="459">
        <v>0</v>
      </c>
    </row>
    <row r="376" spans="1:14" s="407" customFormat="1" ht="14.1" hidden="1" customHeight="1">
      <c r="A376" s="1095"/>
      <c r="B376" s="1092"/>
      <c r="C376" s="1095"/>
      <c r="D376" s="1092"/>
      <c r="E376" s="1090"/>
      <c r="F376" s="1091"/>
      <c r="G376" s="458" t="s">
        <v>2</v>
      </c>
      <c r="H376" s="459">
        <f t="shared" si="89"/>
        <v>817975</v>
      </c>
      <c r="I376" s="459">
        <f t="shared" si="90"/>
        <v>192000</v>
      </c>
      <c r="J376" s="459">
        <f>J374+J375</f>
        <v>0</v>
      </c>
      <c r="K376" s="459">
        <f>K374+K375</f>
        <v>192000</v>
      </c>
      <c r="L376" s="459">
        <f t="shared" si="91"/>
        <v>625975</v>
      </c>
      <c r="M376" s="459">
        <f>M374+M375</f>
        <v>0</v>
      </c>
      <c r="N376" s="459">
        <f>N374+N375</f>
        <v>625975</v>
      </c>
    </row>
    <row r="377" spans="1:14" s="407" customFormat="1" ht="15" hidden="1" customHeight="1">
      <c r="A377" s="1095"/>
      <c r="B377" s="1096"/>
      <c r="C377" s="1095"/>
      <c r="D377" s="1096"/>
      <c r="E377" s="1086" t="s">
        <v>1069</v>
      </c>
      <c r="F377" s="1087"/>
      <c r="G377" s="458" t="s">
        <v>0</v>
      </c>
      <c r="H377" s="459">
        <f>I377+L377</f>
        <v>960000</v>
      </c>
      <c r="I377" s="459">
        <f>J377+K377</f>
        <v>320000</v>
      </c>
      <c r="J377" s="459">
        <v>0</v>
      </c>
      <c r="K377" s="459">
        <v>320000</v>
      </c>
      <c r="L377" s="459">
        <f>M377+N377</f>
        <v>640000</v>
      </c>
      <c r="M377" s="459">
        <v>0</v>
      </c>
      <c r="N377" s="459">
        <v>640000</v>
      </c>
    </row>
    <row r="378" spans="1:14" s="407" customFormat="1" ht="15" hidden="1" customHeight="1">
      <c r="A378" s="1095"/>
      <c r="B378" s="1092"/>
      <c r="C378" s="1095"/>
      <c r="D378" s="1092"/>
      <c r="E378" s="1088"/>
      <c r="F378" s="1089"/>
      <c r="G378" s="458" t="s">
        <v>1</v>
      </c>
      <c r="H378" s="459">
        <f t="shared" ref="H378:H379" si="92">I378+L378</f>
        <v>0</v>
      </c>
      <c r="I378" s="459">
        <f t="shared" ref="I378:I379" si="93">J378+K378</f>
        <v>0</v>
      </c>
      <c r="J378" s="459">
        <v>0</v>
      </c>
      <c r="K378" s="459">
        <v>0</v>
      </c>
      <c r="L378" s="459">
        <f t="shared" ref="L378:L379" si="94">M378+N378</f>
        <v>0</v>
      </c>
      <c r="M378" s="459">
        <v>0</v>
      </c>
      <c r="N378" s="459">
        <v>0</v>
      </c>
    </row>
    <row r="379" spans="1:14" s="407" customFormat="1" ht="15" hidden="1" customHeight="1">
      <c r="A379" s="1095"/>
      <c r="B379" s="1092"/>
      <c r="C379" s="1101"/>
      <c r="D379" s="1094"/>
      <c r="E379" s="1090"/>
      <c r="F379" s="1091"/>
      <c r="G379" s="458" t="s">
        <v>2</v>
      </c>
      <c r="H379" s="459">
        <f t="shared" si="92"/>
        <v>960000</v>
      </c>
      <c r="I379" s="459">
        <f t="shared" si="93"/>
        <v>320000</v>
      </c>
      <c r="J379" s="459">
        <f>J377+J378</f>
        <v>0</v>
      </c>
      <c r="K379" s="459">
        <f>K377+K378</f>
        <v>320000</v>
      </c>
      <c r="L379" s="459">
        <f t="shared" si="94"/>
        <v>640000</v>
      </c>
      <c r="M379" s="459">
        <f>M377+M378</f>
        <v>0</v>
      </c>
      <c r="N379" s="459">
        <f>N377+N378</f>
        <v>640000</v>
      </c>
    </row>
    <row r="380" spans="1:14" s="407" customFormat="1" ht="15" hidden="1" customHeight="1">
      <c r="A380" s="1095"/>
      <c r="B380" s="1096"/>
      <c r="C380" s="1097" t="s">
        <v>1070</v>
      </c>
      <c r="D380" s="1098"/>
      <c r="E380" s="1086" t="s">
        <v>1071</v>
      </c>
      <c r="F380" s="1087"/>
      <c r="G380" s="458" t="s">
        <v>0</v>
      </c>
      <c r="H380" s="459">
        <f t="shared" si="70"/>
        <v>350000</v>
      </c>
      <c r="I380" s="459">
        <f t="shared" si="71"/>
        <v>0</v>
      </c>
      <c r="J380" s="459">
        <v>0</v>
      </c>
      <c r="K380" s="459">
        <v>0</v>
      </c>
      <c r="L380" s="459">
        <f t="shared" si="72"/>
        <v>350000</v>
      </c>
      <c r="M380" s="459">
        <v>0</v>
      </c>
      <c r="N380" s="459">
        <v>350000</v>
      </c>
    </row>
    <row r="381" spans="1:14" s="407" customFormat="1" ht="15" hidden="1" customHeight="1">
      <c r="A381" s="1095"/>
      <c r="B381" s="1092"/>
      <c r="C381" s="1095"/>
      <c r="D381" s="1092"/>
      <c r="E381" s="1088"/>
      <c r="F381" s="1089"/>
      <c r="G381" s="458" t="s">
        <v>1</v>
      </c>
      <c r="H381" s="459">
        <f t="shared" si="70"/>
        <v>0</v>
      </c>
      <c r="I381" s="459">
        <f t="shared" si="71"/>
        <v>0</v>
      </c>
      <c r="J381" s="459">
        <v>0</v>
      </c>
      <c r="K381" s="459">
        <v>0</v>
      </c>
      <c r="L381" s="459">
        <f t="shared" si="72"/>
        <v>0</v>
      </c>
      <c r="M381" s="459">
        <v>0</v>
      </c>
      <c r="N381" s="459">
        <v>0</v>
      </c>
    </row>
    <row r="382" spans="1:14" s="407" customFormat="1" ht="15" hidden="1" customHeight="1">
      <c r="A382" s="1095"/>
      <c r="B382" s="1092"/>
      <c r="C382" s="1101"/>
      <c r="D382" s="1094"/>
      <c r="E382" s="1090"/>
      <c r="F382" s="1091"/>
      <c r="G382" s="458" t="s">
        <v>2</v>
      </c>
      <c r="H382" s="459">
        <f t="shared" si="70"/>
        <v>350000</v>
      </c>
      <c r="I382" s="459">
        <f t="shared" si="71"/>
        <v>0</v>
      </c>
      <c r="J382" s="459">
        <f>J380+J381</f>
        <v>0</v>
      </c>
      <c r="K382" s="459">
        <f>K380+K381</f>
        <v>0</v>
      </c>
      <c r="L382" s="459">
        <f t="shared" si="72"/>
        <v>350000</v>
      </c>
      <c r="M382" s="459">
        <f>M380+M381</f>
        <v>0</v>
      </c>
      <c r="N382" s="459">
        <f>N380+N381</f>
        <v>350000</v>
      </c>
    </row>
    <row r="383" spans="1:14" s="407" customFormat="1" ht="15" hidden="1" customHeight="1">
      <c r="A383" s="1095"/>
      <c r="B383" s="1096"/>
      <c r="C383" s="1097" t="s">
        <v>453</v>
      </c>
      <c r="D383" s="1098"/>
      <c r="E383" s="1086" t="s">
        <v>1072</v>
      </c>
      <c r="F383" s="1087"/>
      <c r="G383" s="520" t="s">
        <v>0</v>
      </c>
      <c r="H383" s="502">
        <f t="shared" si="70"/>
        <v>30000</v>
      </c>
      <c r="I383" s="502">
        <f t="shared" si="71"/>
        <v>30000</v>
      </c>
      <c r="J383" s="502">
        <v>0</v>
      </c>
      <c r="K383" s="502">
        <v>30000</v>
      </c>
      <c r="L383" s="502">
        <f t="shared" si="72"/>
        <v>0</v>
      </c>
      <c r="M383" s="502">
        <v>0</v>
      </c>
      <c r="N383" s="502">
        <v>0</v>
      </c>
    </row>
    <row r="384" spans="1:14" s="407" customFormat="1" ht="15" hidden="1" customHeight="1">
      <c r="A384" s="1095"/>
      <c r="B384" s="1092"/>
      <c r="C384" s="1095"/>
      <c r="D384" s="1092"/>
      <c r="E384" s="1088"/>
      <c r="F384" s="1089"/>
      <c r="G384" s="520" t="s">
        <v>1</v>
      </c>
      <c r="H384" s="502">
        <f t="shared" si="70"/>
        <v>0</v>
      </c>
      <c r="I384" s="502">
        <f t="shared" si="71"/>
        <v>0</v>
      </c>
      <c r="J384" s="502">
        <v>0</v>
      </c>
      <c r="K384" s="502">
        <v>0</v>
      </c>
      <c r="L384" s="502">
        <f t="shared" si="72"/>
        <v>0</v>
      </c>
      <c r="M384" s="502">
        <v>0</v>
      </c>
      <c r="N384" s="502">
        <v>0</v>
      </c>
    </row>
    <row r="385" spans="1:14" s="407" customFormat="1" ht="15" hidden="1" customHeight="1">
      <c r="A385" s="1095"/>
      <c r="B385" s="1092"/>
      <c r="C385" s="1095"/>
      <c r="D385" s="1092"/>
      <c r="E385" s="1090"/>
      <c r="F385" s="1091"/>
      <c r="G385" s="520" t="s">
        <v>2</v>
      </c>
      <c r="H385" s="502">
        <f t="shared" si="70"/>
        <v>30000</v>
      </c>
      <c r="I385" s="502">
        <f t="shared" si="71"/>
        <v>30000</v>
      </c>
      <c r="J385" s="502">
        <v>0</v>
      </c>
      <c r="K385" s="502">
        <v>30000</v>
      </c>
      <c r="L385" s="502">
        <f t="shared" si="72"/>
        <v>0</v>
      </c>
      <c r="M385" s="502">
        <v>0</v>
      </c>
      <c r="N385" s="502">
        <v>0</v>
      </c>
    </row>
    <row r="386" spans="1:14" s="480" customFormat="1" ht="15" hidden="1" customHeight="1">
      <c r="A386" s="1084"/>
      <c r="B386" s="1085"/>
      <c r="C386" s="1084"/>
      <c r="D386" s="1085"/>
      <c r="E386" s="1086" t="s">
        <v>1073</v>
      </c>
      <c r="F386" s="1087"/>
      <c r="G386" s="458" t="s">
        <v>0</v>
      </c>
      <c r="H386" s="459">
        <f t="shared" si="70"/>
        <v>70000</v>
      </c>
      <c r="I386" s="459">
        <f t="shared" si="71"/>
        <v>0</v>
      </c>
      <c r="J386" s="459">
        <v>0</v>
      </c>
      <c r="K386" s="459">
        <v>0</v>
      </c>
      <c r="L386" s="459">
        <f t="shared" si="72"/>
        <v>70000</v>
      </c>
      <c r="M386" s="459">
        <v>0</v>
      </c>
      <c r="N386" s="459">
        <v>70000</v>
      </c>
    </row>
    <row r="387" spans="1:14" s="480" customFormat="1" ht="15" hidden="1" customHeight="1">
      <c r="A387" s="1084"/>
      <c r="B387" s="1092"/>
      <c r="C387" s="1084"/>
      <c r="D387" s="1092"/>
      <c r="E387" s="1088"/>
      <c r="F387" s="1089"/>
      <c r="G387" s="458" t="s">
        <v>1</v>
      </c>
      <c r="H387" s="459">
        <f t="shared" si="70"/>
        <v>0</v>
      </c>
      <c r="I387" s="459">
        <f t="shared" si="71"/>
        <v>0</v>
      </c>
      <c r="J387" s="459">
        <v>0</v>
      </c>
      <c r="K387" s="459">
        <v>0</v>
      </c>
      <c r="L387" s="459">
        <f t="shared" si="72"/>
        <v>0</v>
      </c>
      <c r="M387" s="459">
        <v>0</v>
      </c>
      <c r="N387" s="459">
        <v>0</v>
      </c>
    </row>
    <row r="388" spans="1:14" s="480" customFormat="1" ht="15" hidden="1" customHeight="1">
      <c r="A388" s="1084"/>
      <c r="B388" s="1092"/>
      <c r="C388" s="1084"/>
      <c r="D388" s="1092"/>
      <c r="E388" s="1090"/>
      <c r="F388" s="1091"/>
      <c r="G388" s="458" t="s">
        <v>2</v>
      </c>
      <c r="H388" s="459">
        <f t="shared" si="70"/>
        <v>70000</v>
      </c>
      <c r="I388" s="459">
        <f t="shared" si="71"/>
        <v>0</v>
      </c>
      <c r="J388" s="459">
        <f>J386+J387</f>
        <v>0</v>
      </c>
      <c r="K388" s="459">
        <f>K386+K387</f>
        <v>0</v>
      </c>
      <c r="L388" s="459">
        <f t="shared" si="72"/>
        <v>70000</v>
      </c>
      <c r="M388" s="459">
        <f>M386+M387</f>
        <v>0</v>
      </c>
      <c r="N388" s="459">
        <f>N386+N387</f>
        <v>70000</v>
      </c>
    </row>
    <row r="389" spans="1:14" s="480" customFormat="1" ht="15" hidden="1" customHeight="1">
      <c r="A389" s="1084"/>
      <c r="B389" s="1085"/>
      <c r="C389" s="1084"/>
      <c r="D389" s="1085"/>
      <c r="E389" s="1086" t="s">
        <v>1074</v>
      </c>
      <c r="F389" s="1087"/>
      <c r="G389" s="458" t="s">
        <v>0</v>
      </c>
      <c r="H389" s="459">
        <f t="shared" si="70"/>
        <v>260000</v>
      </c>
      <c r="I389" s="459">
        <f t="shared" si="71"/>
        <v>0</v>
      </c>
      <c r="J389" s="459">
        <v>0</v>
      </c>
      <c r="K389" s="459">
        <v>0</v>
      </c>
      <c r="L389" s="459">
        <f t="shared" si="72"/>
        <v>260000</v>
      </c>
      <c r="M389" s="459">
        <v>0</v>
      </c>
      <c r="N389" s="459">
        <v>260000</v>
      </c>
    </row>
    <row r="390" spans="1:14" s="480" customFormat="1" ht="15" hidden="1" customHeight="1">
      <c r="A390" s="1084"/>
      <c r="B390" s="1092"/>
      <c r="C390" s="1084"/>
      <c r="D390" s="1092"/>
      <c r="E390" s="1088"/>
      <c r="F390" s="1089"/>
      <c r="G390" s="458" t="s">
        <v>1</v>
      </c>
      <c r="H390" s="459">
        <f t="shared" si="70"/>
        <v>0</v>
      </c>
      <c r="I390" s="459">
        <f t="shared" si="71"/>
        <v>0</v>
      </c>
      <c r="J390" s="459">
        <v>0</v>
      </c>
      <c r="K390" s="459">
        <v>0</v>
      </c>
      <c r="L390" s="459">
        <f t="shared" si="72"/>
        <v>0</v>
      </c>
      <c r="M390" s="459">
        <v>0</v>
      </c>
      <c r="N390" s="459">
        <v>0</v>
      </c>
    </row>
    <row r="391" spans="1:14" s="480" customFormat="1" ht="15" hidden="1" customHeight="1">
      <c r="A391" s="1084"/>
      <c r="B391" s="1092"/>
      <c r="C391" s="1084"/>
      <c r="D391" s="1092"/>
      <c r="E391" s="1090"/>
      <c r="F391" s="1091"/>
      <c r="G391" s="458" t="s">
        <v>2</v>
      </c>
      <c r="H391" s="459">
        <f t="shared" si="70"/>
        <v>260000</v>
      </c>
      <c r="I391" s="459">
        <f t="shared" si="71"/>
        <v>0</v>
      </c>
      <c r="J391" s="459">
        <f>J389+J390</f>
        <v>0</v>
      </c>
      <c r="K391" s="459">
        <f>K389+K390</f>
        <v>0</v>
      </c>
      <c r="L391" s="459">
        <f t="shared" si="72"/>
        <v>260000</v>
      </c>
      <c r="M391" s="459">
        <f>M389+M390</f>
        <v>0</v>
      </c>
      <c r="N391" s="459">
        <f>N389+N390</f>
        <v>260000</v>
      </c>
    </row>
    <row r="392" spans="1:14" s="480" customFormat="1" ht="15" hidden="1" customHeight="1">
      <c r="A392" s="1084"/>
      <c r="B392" s="1085"/>
      <c r="C392" s="1084"/>
      <c r="D392" s="1085"/>
      <c r="E392" s="1086" t="s">
        <v>1075</v>
      </c>
      <c r="F392" s="1087"/>
      <c r="G392" s="458" t="s">
        <v>0</v>
      </c>
      <c r="H392" s="459">
        <f t="shared" si="70"/>
        <v>1405000</v>
      </c>
      <c r="I392" s="459">
        <f t="shared" si="71"/>
        <v>1405000</v>
      </c>
      <c r="J392" s="459">
        <v>145000</v>
      </c>
      <c r="K392" s="459">
        <v>1260000</v>
      </c>
      <c r="L392" s="459">
        <f t="shared" si="72"/>
        <v>0</v>
      </c>
      <c r="M392" s="459">
        <v>0</v>
      </c>
      <c r="N392" s="459">
        <v>0</v>
      </c>
    </row>
    <row r="393" spans="1:14" s="480" customFormat="1" ht="15" hidden="1" customHeight="1">
      <c r="A393" s="1084"/>
      <c r="B393" s="1092"/>
      <c r="C393" s="1084"/>
      <c r="D393" s="1092"/>
      <c r="E393" s="1088"/>
      <c r="F393" s="1089"/>
      <c r="G393" s="458" t="s">
        <v>1</v>
      </c>
      <c r="H393" s="459">
        <f t="shared" si="70"/>
        <v>0</v>
      </c>
      <c r="I393" s="459">
        <f t="shared" si="71"/>
        <v>0</v>
      </c>
      <c r="J393" s="459">
        <v>0</v>
      </c>
      <c r="K393" s="459">
        <v>0</v>
      </c>
      <c r="L393" s="459">
        <f t="shared" si="72"/>
        <v>0</v>
      </c>
      <c r="M393" s="459">
        <v>0</v>
      </c>
      <c r="N393" s="459">
        <v>0</v>
      </c>
    </row>
    <row r="394" spans="1:14" s="480" customFormat="1" ht="15" hidden="1" customHeight="1">
      <c r="A394" s="1084"/>
      <c r="B394" s="1092"/>
      <c r="C394" s="1084"/>
      <c r="D394" s="1092"/>
      <c r="E394" s="1090"/>
      <c r="F394" s="1091"/>
      <c r="G394" s="458" t="s">
        <v>2</v>
      </c>
      <c r="H394" s="459">
        <f t="shared" si="70"/>
        <v>1405000</v>
      </c>
      <c r="I394" s="459">
        <f t="shared" si="71"/>
        <v>1405000</v>
      </c>
      <c r="J394" s="459">
        <f>J392+J393</f>
        <v>145000</v>
      </c>
      <c r="K394" s="459">
        <f>K392+K393</f>
        <v>1260000</v>
      </c>
      <c r="L394" s="459">
        <f t="shared" si="72"/>
        <v>0</v>
      </c>
      <c r="M394" s="459">
        <f>M392+M393</f>
        <v>0</v>
      </c>
      <c r="N394" s="459">
        <f>N392+N393</f>
        <v>0</v>
      </c>
    </row>
    <row r="395" spans="1:14" s="480" customFormat="1" ht="15" hidden="1" customHeight="1">
      <c r="A395" s="1084"/>
      <c r="B395" s="1085"/>
      <c r="C395" s="1084"/>
      <c r="D395" s="1085"/>
      <c r="E395" s="1086" t="s">
        <v>1076</v>
      </c>
      <c r="F395" s="1087"/>
      <c r="G395" s="458" t="s">
        <v>0</v>
      </c>
      <c r="H395" s="459">
        <f t="shared" si="70"/>
        <v>135000</v>
      </c>
      <c r="I395" s="459">
        <f t="shared" si="71"/>
        <v>135000</v>
      </c>
      <c r="J395" s="459">
        <v>0</v>
      </c>
      <c r="K395" s="459">
        <v>135000</v>
      </c>
      <c r="L395" s="459">
        <f t="shared" si="72"/>
        <v>0</v>
      </c>
      <c r="M395" s="459">
        <v>0</v>
      </c>
      <c r="N395" s="459">
        <v>0</v>
      </c>
    </row>
    <row r="396" spans="1:14" s="480" customFormat="1" ht="15" hidden="1" customHeight="1">
      <c r="A396" s="1084"/>
      <c r="B396" s="1092"/>
      <c r="C396" s="1084"/>
      <c r="D396" s="1092"/>
      <c r="E396" s="1088"/>
      <c r="F396" s="1089"/>
      <c r="G396" s="458" t="s">
        <v>1</v>
      </c>
      <c r="H396" s="459">
        <f t="shared" si="70"/>
        <v>0</v>
      </c>
      <c r="I396" s="459">
        <f t="shared" si="71"/>
        <v>0</v>
      </c>
      <c r="J396" s="459">
        <v>0</v>
      </c>
      <c r="K396" s="459">
        <v>0</v>
      </c>
      <c r="L396" s="459">
        <f t="shared" si="72"/>
        <v>0</v>
      </c>
      <c r="M396" s="459">
        <v>0</v>
      </c>
      <c r="N396" s="459">
        <v>0</v>
      </c>
    </row>
    <row r="397" spans="1:14" s="480" customFormat="1" ht="15" hidden="1" customHeight="1">
      <c r="A397" s="1084"/>
      <c r="B397" s="1092"/>
      <c r="C397" s="1084"/>
      <c r="D397" s="1092"/>
      <c r="E397" s="1090"/>
      <c r="F397" s="1091"/>
      <c r="G397" s="458" t="s">
        <v>2</v>
      </c>
      <c r="H397" s="459">
        <f t="shared" si="70"/>
        <v>135000</v>
      </c>
      <c r="I397" s="459">
        <f t="shared" si="71"/>
        <v>135000</v>
      </c>
      <c r="J397" s="459">
        <f>J395+J396</f>
        <v>0</v>
      </c>
      <c r="K397" s="459">
        <f>K395+K396</f>
        <v>135000</v>
      </c>
      <c r="L397" s="459">
        <f t="shared" si="72"/>
        <v>0</v>
      </c>
      <c r="M397" s="459">
        <f>M395+M396</f>
        <v>0</v>
      </c>
      <c r="N397" s="459">
        <f>N395+N396</f>
        <v>0</v>
      </c>
    </row>
    <row r="398" spans="1:14" s="480" customFormat="1" ht="15" hidden="1" customHeight="1">
      <c r="A398" s="1084"/>
      <c r="B398" s="1085"/>
      <c r="C398" s="1084"/>
      <c r="D398" s="1085"/>
      <c r="E398" s="1086" t="s">
        <v>1077</v>
      </c>
      <c r="F398" s="1087"/>
      <c r="G398" s="458" t="s">
        <v>0</v>
      </c>
      <c r="H398" s="459">
        <f t="shared" si="70"/>
        <v>200000</v>
      </c>
      <c r="I398" s="459">
        <f t="shared" si="71"/>
        <v>200000</v>
      </c>
      <c r="J398" s="459">
        <v>200000</v>
      </c>
      <c r="K398" s="459">
        <v>0</v>
      </c>
      <c r="L398" s="459">
        <f t="shared" si="72"/>
        <v>0</v>
      </c>
      <c r="M398" s="459">
        <v>0</v>
      </c>
      <c r="N398" s="459">
        <v>0</v>
      </c>
    </row>
    <row r="399" spans="1:14" s="480" customFormat="1" ht="15" hidden="1" customHeight="1">
      <c r="A399" s="1084"/>
      <c r="B399" s="1092"/>
      <c r="C399" s="1084"/>
      <c r="D399" s="1092"/>
      <c r="E399" s="1088"/>
      <c r="F399" s="1089"/>
      <c r="G399" s="458" t="s">
        <v>1</v>
      </c>
      <c r="H399" s="459">
        <f t="shared" si="70"/>
        <v>0</v>
      </c>
      <c r="I399" s="459">
        <f t="shared" si="71"/>
        <v>0</v>
      </c>
      <c r="J399" s="459">
        <v>0</v>
      </c>
      <c r="K399" s="459">
        <v>0</v>
      </c>
      <c r="L399" s="459">
        <f t="shared" si="72"/>
        <v>0</v>
      </c>
      <c r="M399" s="459">
        <v>0</v>
      </c>
      <c r="N399" s="459">
        <v>0</v>
      </c>
    </row>
    <row r="400" spans="1:14" s="480" customFormat="1" ht="15" hidden="1" customHeight="1">
      <c r="A400" s="1084"/>
      <c r="B400" s="1092"/>
      <c r="C400" s="1084"/>
      <c r="D400" s="1092"/>
      <c r="E400" s="1090"/>
      <c r="F400" s="1091"/>
      <c r="G400" s="458" t="s">
        <v>2</v>
      </c>
      <c r="H400" s="459">
        <f t="shared" si="70"/>
        <v>200000</v>
      </c>
      <c r="I400" s="459">
        <f t="shared" si="71"/>
        <v>200000</v>
      </c>
      <c r="J400" s="459">
        <f>J398+J399</f>
        <v>200000</v>
      </c>
      <c r="K400" s="459">
        <f>K398+K399</f>
        <v>0</v>
      </c>
      <c r="L400" s="459">
        <f t="shared" si="72"/>
        <v>0</v>
      </c>
      <c r="M400" s="459">
        <f>M398+M399</f>
        <v>0</v>
      </c>
      <c r="N400" s="459">
        <f>N398+N399</f>
        <v>0</v>
      </c>
    </row>
    <row r="401" spans="1:14" s="480" customFormat="1" ht="15.6" customHeight="1">
      <c r="A401" s="1084"/>
      <c r="B401" s="1085"/>
      <c r="C401" s="1099" t="s">
        <v>453</v>
      </c>
      <c r="D401" s="1100"/>
      <c r="E401" s="1086" t="s">
        <v>1078</v>
      </c>
      <c r="F401" s="1087"/>
      <c r="G401" s="458" t="s">
        <v>0</v>
      </c>
      <c r="H401" s="459">
        <f t="shared" si="70"/>
        <v>0</v>
      </c>
      <c r="I401" s="459">
        <f t="shared" si="71"/>
        <v>0</v>
      </c>
      <c r="J401" s="459">
        <v>0</v>
      </c>
      <c r="K401" s="459">
        <v>0</v>
      </c>
      <c r="L401" s="459">
        <f t="shared" si="72"/>
        <v>0</v>
      </c>
      <c r="M401" s="459">
        <v>0</v>
      </c>
      <c r="N401" s="459">
        <v>0</v>
      </c>
    </row>
    <row r="402" spans="1:14" s="480" customFormat="1" ht="15.6" customHeight="1">
      <c r="A402" s="1084"/>
      <c r="B402" s="1085"/>
      <c r="C402" s="1084"/>
      <c r="D402" s="1085"/>
      <c r="E402" s="1102"/>
      <c r="F402" s="1103"/>
      <c r="G402" s="458" t="s">
        <v>1</v>
      </c>
      <c r="H402" s="459">
        <f t="shared" si="70"/>
        <v>100000</v>
      </c>
      <c r="I402" s="459">
        <f t="shared" si="71"/>
        <v>100000</v>
      </c>
      <c r="J402" s="459">
        <v>100000</v>
      </c>
      <c r="K402" s="459">
        <v>0</v>
      </c>
      <c r="L402" s="459">
        <f t="shared" si="72"/>
        <v>0</v>
      </c>
      <c r="M402" s="459">
        <v>0</v>
      </c>
      <c r="N402" s="459">
        <v>0</v>
      </c>
    </row>
    <row r="403" spans="1:14" s="480" customFormat="1" ht="15.6" customHeight="1">
      <c r="A403" s="1084"/>
      <c r="B403" s="1085"/>
      <c r="C403" s="1084"/>
      <c r="D403" s="1085"/>
      <c r="E403" s="1115"/>
      <c r="F403" s="1116"/>
      <c r="G403" s="458" t="s">
        <v>2</v>
      </c>
      <c r="H403" s="459">
        <f t="shared" si="70"/>
        <v>100000</v>
      </c>
      <c r="I403" s="459">
        <f t="shared" si="71"/>
        <v>100000</v>
      </c>
      <c r="J403" s="459">
        <f>J401+J402</f>
        <v>100000</v>
      </c>
      <c r="K403" s="459">
        <f>K401+K402</f>
        <v>0</v>
      </c>
      <c r="L403" s="459">
        <f t="shared" si="72"/>
        <v>0</v>
      </c>
      <c r="M403" s="459">
        <f>M401+M402</f>
        <v>0</v>
      </c>
      <c r="N403" s="459">
        <f>N401+N402</f>
        <v>0</v>
      </c>
    </row>
    <row r="404" spans="1:14" s="480" customFormat="1" ht="15.6" customHeight="1">
      <c r="A404" s="1084"/>
      <c r="B404" s="1085"/>
      <c r="C404" s="1084"/>
      <c r="D404" s="1085"/>
      <c r="E404" s="1086" t="s">
        <v>1079</v>
      </c>
      <c r="F404" s="1087"/>
      <c r="G404" s="458" t="s">
        <v>0</v>
      </c>
      <c r="H404" s="459">
        <f t="shared" si="70"/>
        <v>0</v>
      </c>
      <c r="I404" s="459">
        <f t="shared" si="71"/>
        <v>0</v>
      </c>
      <c r="J404" s="459">
        <v>0</v>
      </c>
      <c r="K404" s="459">
        <v>0</v>
      </c>
      <c r="L404" s="459">
        <f t="shared" si="72"/>
        <v>0</v>
      </c>
      <c r="M404" s="459">
        <v>0</v>
      </c>
      <c r="N404" s="459">
        <v>0</v>
      </c>
    </row>
    <row r="405" spans="1:14" s="480" customFormat="1" ht="15.6" customHeight="1">
      <c r="A405" s="1084"/>
      <c r="B405" s="1092"/>
      <c r="C405" s="1084"/>
      <c r="D405" s="1092"/>
      <c r="E405" s="1088"/>
      <c r="F405" s="1089"/>
      <c r="G405" s="458" t="s">
        <v>1</v>
      </c>
      <c r="H405" s="459">
        <f t="shared" si="70"/>
        <v>220000</v>
      </c>
      <c r="I405" s="459">
        <f t="shared" si="71"/>
        <v>220000</v>
      </c>
      <c r="J405" s="459">
        <v>220000</v>
      </c>
      <c r="K405" s="459">
        <v>0</v>
      </c>
      <c r="L405" s="459">
        <f t="shared" si="72"/>
        <v>0</v>
      </c>
      <c r="M405" s="459">
        <v>0</v>
      </c>
      <c r="N405" s="459">
        <v>0</v>
      </c>
    </row>
    <row r="406" spans="1:14" s="480" customFormat="1" ht="15.6" customHeight="1">
      <c r="A406" s="1084"/>
      <c r="B406" s="1092"/>
      <c r="C406" s="1093"/>
      <c r="D406" s="1094"/>
      <c r="E406" s="1090"/>
      <c r="F406" s="1091"/>
      <c r="G406" s="458" t="s">
        <v>2</v>
      </c>
      <c r="H406" s="459">
        <f t="shared" si="70"/>
        <v>220000</v>
      </c>
      <c r="I406" s="459">
        <f t="shared" si="71"/>
        <v>220000</v>
      </c>
      <c r="J406" s="459">
        <f>J404+J405</f>
        <v>220000</v>
      </c>
      <c r="K406" s="459">
        <f>K404+K405</f>
        <v>0</v>
      </c>
      <c r="L406" s="459">
        <f t="shared" si="72"/>
        <v>0</v>
      </c>
      <c r="M406" s="459">
        <f>M404+M405</f>
        <v>0</v>
      </c>
      <c r="N406" s="459">
        <f>N404+N405</f>
        <v>0</v>
      </c>
    </row>
    <row r="407" spans="1:14" s="407" customFormat="1" ht="15" hidden="1" customHeight="1">
      <c r="A407" s="1095"/>
      <c r="B407" s="1096"/>
      <c r="C407" s="1097" t="s">
        <v>458</v>
      </c>
      <c r="D407" s="1098"/>
      <c r="E407" s="1086" t="s">
        <v>1080</v>
      </c>
      <c r="F407" s="1087"/>
      <c r="G407" s="520" t="s">
        <v>0</v>
      </c>
      <c r="H407" s="502">
        <f>I407+L407</f>
        <v>250000</v>
      </c>
      <c r="I407" s="502">
        <f>J407+K407</f>
        <v>0</v>
      </c>
      <c r="J407" s="502">
        <v>0</v>
      </c>
      <c r="K407" s="502">
        <v>0</v>
      </c>
      <c r="L407" s="502">
        <f>M407+N407</f>
        <v>250000</v>
      </c>
      <c r="M407" s="502">
        <v>0</v>
      </c>
      <c r="N407" s="502">
        <v>250000</v>
      </c>
    </row>
    <row r="408" spans="1:14" s="407" customFormat="1" ht="15" hidden="1" customHeight="1">
      <c r="A408" s="1095"/>
      <c r="B408" s="1123"/>
      <c r="C408" s="1095"/>
      <c r="D408" s="1123"/>
      <c r="E408" s="1088"/>
      <c r="F408" s="1089"/>
      <c r="G408" s="520" t="s">
        <v>1</v>
      </c>
      <c r="H408" s="502">
        <f t="shared" ref="H408:H409" si="95">I408+L408</f>
        <v>0</v>
      </c>
      <c r="I408" s="502">
        <f t="shared" ref="I408:I409" si="96">J408+K408</f>
        <v>0</v>
      </c>
      <c r="J408" s="502">
        <v>0</v>
      </c>
      <c r="K408" s="502">
        <v>0</v>
      </c>
      <c r="L408" s="502">
        <f t="shared" ref="L408:L409" si="97">M408+N408</f>
        <v>0</v>
      </c>
      <c r="M408" s="502">
        <v>0</v>
      </c>
      <c r="N408" s="502">
        <v>0</v>
      </c>
    </row>
    <row r="409" spans="1:14" s="407" customFormat="1" ht="15" hidden="1" customHeight="1">
      <c r="A409" s="1095"/>
      <c r="B409" s="1123"/>
      <c r="C409" s="1095"/>
      <c r="D409" s="1123"/>
      <c r="E409" s="1090"/>
      <c r="F409" s="1091"/>
      <c r="G409" s="520" t="s">
        <v>2</v>
      </c>
      <c r="H409" s="459">
        <f t="shared" si="95"/>
        <v>250000</v>
      </c>
      <c r="I409" s="459">
        <f t="shared" si="96"/>
        <v>0</v>
      </c>
      <c r="J409" s="459">
        <f>J407+J408</f>
        <v>0</v>
      </c>
      <c r="K409" s="459">
        <f>K407+K408</f>
        <v>0</v>
      </c>
      <c r="L409" s="459">
        <f t="shared" si="97"/>
        <v>250000</v>
      </c>
      <c r="M409" s="459">
        <f>M407+M408</f>
        <v>0</v>
      </c>
      <c r="N409" s="459">
        <f>N407+N408</f>
        <v>250000</v>
      </c>
    </row>
    <row r="410" spans="1:14" s="407" customFormat="1" ht="15" hidden="1" customHeight="1">
      <c r="A410" s="1095"/>
      <c r="B410" s="1096"/>
      <c r="C410" s="1095"/>
      <c r="D410" s="1096"/>
      <c r="E410" s="1086" t="s">
        <v>1081</v>
      </c>
      <c r="F410" s="1087"/>
      <c r="G410" s="520" t="s">
        <v>0</v>
      </c>
      <c r="H410" s="502">
        <f>I410+L410</f>
        <v>1095565</v>
      </c>
      <c r="I410" s="502">
        <f>J410+K410</f>
        <v>0</v>
      </c>
      <c r="J410" s="502">
        <v>0</v>
      </c>
      <c r="K410" s="502">
        <v>0</v>
      </c>
      <c r="L410" s="502">
        <f>M410+N410</f>
        <v>1095565</v>
      </c>
      <c r="M410" s="502">
        <v>0</v>
      </c>
      <c r="N410" s="502">
        <v>1095565</v>
      </c>
    </row>
    <row r="411" spans="1:14" s="407" customFormat="1" ht="15" hidden="1" customHeight="1">
      <c r="A411" s="1095"/>
      <c r="B411" s="1123"/>
      <c r="C411" s="1095"/>
      <c r="D411" s="1123"/>
      <c r="E411" s="1088"/>
      <c r="F411" s="1089"/>
      <c r="G411" s="520" t="s">
        <v>1</v>
      </c>
      <c r="H411" s="502">
        <f t="shared" ref="H411:H412" si="98">I411+L411</f>
        <v>0</v>
      </c>
      <c r="I411" s="502">
        <f t="shared" ref="I411:I412" si="99">J411+K411</f>
        <v>0</v>
      </c>
      <c r="J411" s="502">
        <v>0</v>
      </c>
      <c r="K411" s="502">
        <v>0</v>
      </c>
      <c r="L411" s="502">
        <f t="shared" ref="L411:L412" si="100">M411+N411</f>
        <v>0</v>
      </c>
      <c r="M411" s="502">
        <v>0</v>
      </c>
      <c r="N411" s="502">
        <v>0</v>
      </c>
    </row>
    <row r="412" spans="1:14" s="407" customFormat="1" ht="15" hidden="1" customHeight="1">
      <c r="A412" s="1101"/>
      <c r="B412" s="1124"/>
      <c r="C412" s="1101"/>
      <c r="D412" s="1124"/>
      <c r="E412" s="1090"/>
      <c r="F412" s="1091"/>
      <c r="G412" s="520" t="s">
        <v>2</v>
      </c>
      <c r="H412" s="459">
        <f t="shared" si="98"/>
        <v>1095565</v>
      </c>
      <c r="I412" s="459">
        <f t="shared" si="99"/>
        <v>0</v>
      </c>
      <c r="J412" s="459">
        <f>J410+J411</f>
        <v>0</v>
      </c>
      <c r="K412" s="459">
        <f>K410+K411</f>
        <v>0</v>
      </c>
      <c r="L412" s="459">
        <f t="shared" si="100"/>
        <v>1095565</v>
      </c>
      <c r="M412" s="459">
        <f>M410+M411</f>
        <v>0</v>
      </c>
      <c r="N412" s="459">
        <f>N410+N411</f>
        <v>1095565</v>
      </c>
    </row>
    <row r="413" spans="1:14" s="480" customFormat="1" ht="15" hidden="1" customHeight="1">
      <c r="A413" s="1099" t="s">
        <v>25</v>
      </c>
      <c r="B413" s="1100"/>
      <c r="C413" s="1099" t="s">
        <v>1082</v>
      </c>
      <c r="D413" s="1100"/>
      <c r="E413" s="1086" t="s">
        <v>1083</v>
      </c>
      <c r="F413" s="1087"/>
      <c r="G413" s="520" t="s">
        <v>0</v>
      </c>
      <c r="H413" s="502">
        <f t="shared" si="70"/>
        <v>35000</v>
      </c>
      <c r="I413" s="502">
        <f t="shared" si="71"/>
        <v>35000</v>
      </c>
      <c r="J413" s="502">
        <v>0</v>
      </c>
      <c r="K413" s="502">
        <v>35000</v>
      </c>
      <c r="L413" s="502">
        <f t="shared" si="72"/>
        <v>0</v>
      </c>
      <c r="M413" s="502">
        <v>0</v>
      </c>
      <c r="N413" s="502">
        <v>0</v>
      </c>
    </row>
    <row r="414" spans="1:14" s="480" customFormat="1" ht="15" hidden="1" customHeight="1">
      <c r="A414" s="1084"/>
      <c r="B414" s="1092"/>
      <c r="C414" s="1084"/>
      <c r="D414" s="1092"/>
      <c r="E414" s="1088"/>
      <c r="F414" s="1089"/>
      <c r="G414" s="520" t="s">
        <v>1</v>
      </c>
      <c r="H414" s="502">
        <f t="shared" si="70"/>
        <v>0</v>
      </c>
      <c r="I414" s="502">
        <f t="shared" si="71"/>
        <v>0</v>
      </c>
      <c r="J414" s="502">
        <v>0</v>
      </c>
      <c r="K414" s="502">
        <v>0</v>
      </c>
      <c r="L414" s="502">
        <f t="shared" si="72"/>
        <v>0</v>
      </c>
      <c r="M414" s="502">
        <v>0</v>
      </c>
      <c r="N414" s="502">
        <v>0</v>
      </c>
    </row>
    <row r="415" spans="1:14" s="480" customFormat="1" ht="15" hidden="1" customHeight="1">
      <c r="A415" s="1084"/>
      <c r="B415" s="1092"/>
      <c r="C415" s="1084"/>
      <c r="D415" s="1092"/>
      <c r="E415" s="1090"/>
      <c r="F415" s="1091"/>
      <c r="G415" s="520" t="s">
        <v>2</v>
      </c>
      <c r="H415" s="459">
        <f t="shared" si="70"/>
        <v>35000</v>
      </c>
      <c r="I415" s="459">
        <f t="shared" si="71"/>
        <v>35000</v>
      </c>
      <c r="J415" s="459">
        <f>J413+J414</f>
        <v>0</v>
      </c>
      <c r="K415" s="459">
        <f>K413+K414</f>
        <v>35000</v>
      </c>
      <c r="L415" s="459">
        <f t="shared" si="72"/>
        <v>0</v>
      </c>
      <c r="M415" s="459">
        <f>M413+M414</f>
        <v>0</v>
      </c>
      <c r="N415" s="459">
        <f>N413+N414</f>
        <v>0</v>
      </c>
    </row>
    <row r="416" spans="1:14" s="407" customFormat="1" ht="15" hidden="1" customHeight="1">
      <c r="A416" s="1095"/>
      <c r="B416" s="1096"/>
      <c r="C416" s="1095"/>
      <c r="D416" s="1096"/>
      <c r="E416" s="1086" t="s">
        <v>1084</v>
      </c>
      <c r="F416" s="1087"/>
      <c r="G416" s="458" t="s">
        <v>0</v>
      </c>
      <c r="H416" s="459">
        <f t="shared" si="70"/>
        <v>40000</v>
      </c>
      <c r="I416" s="459">
        <f t="shared" si="71"/>
        <v>0</v>
      </c>
      <c r="J416" s="459">
        <v>0</v>
      </c>
      <c r="K416" s="459">
        <v>0</v>
      </c>
      <c r="L416" s="459">
        <f t="shared" si="72"/>
        <v>40000</v>
      </c>
      <c r="M416" s="459">
        <v>0</v>
      </c>
      <c r="N416" s="459">
        <v>40000</v>
      </c>
    </row>
    <row r="417" spans="1:14" s="407" customFormat="1" ht="15" hidden="1" customHeight="1">
      <c r="A417" s="1095"/>
      <c r="B417" s="1092"/>
      <c r="C417" s="1095"/>
      <c r="D417" s="1092"/>
      <c r="E417" s="1088"/>
      <c r="F417" s="1089"/>
      <c r="G417" s="458" t="s">
        <v>1</v>
      </c>
      <c r="H417" s="459">
        <f t="shared" si="70"/>
        <v>0</v>
      </c>
      <c r="I417" s="459">
        <f t="shared" si="71"/>
        <v>0</v>
      </c>
      <c r="J417" s="459">
        <v>0</v>
      </c>
      <c r="K417" s="459">
        <v>0</v>
      </c>
      <c r="L417" s="459">
        <f t="shared" si="72"/>
        <v>0</v>
      </c>
      <c r="M417" s="459">
        <v>0</v>
      </c>
      <c r="N417" s="459">
        <v>0</v>
      </c>
    </row>
    <row r="418" spans="1:14" s="407" customFormat="1" ht="15" hidden="1" customHeight="1">
      <c r="A418" s="1095"/>
      <c r="B418" s="1092"/>
      <c r="C418" s="1101"/>
      <c r="D418" s="1094"/>
      <c r="E418" s="1090"/>
      <c r="F418" s="1091"/>
      <c r="G418" s="458" t="s">
        <v>2</v>
      </c>
      <c r="H418" s="459">
        <f t="shared" si="70"/>
        <v>40000</v>
      </c>
      <c r="I418" s="459">
        <f t="shared" si="71"/>
        <v>0</v>
      </c>
      <c r="J418" s="459">
        <f>J416+J417</f>
        <v>0</v>
      </c>
      <c r="K418" s="459">
        <f>K416+K417</f>
        <v>0</v>
      </c>
      <c r="L418" s="459">
        <f t="shared" si="72"/>
        <v>40000</v>
      </c>
      <c r="M418" s="459">
        <f>M416+M417</f>
        <v>0</v>
      </c>
      <c r="N418" s="459">
        <f>N416+N417</f>
        <v>40000</v>
      </c>
    </row>
    <row r="419" spans="1:14" s="407" customFormat="1" ht="15" hidden="1" customHeight="1">
      <c r="A419" s="1095"/>
      <c r="B419" s="1096"/>
      <c r="C419" s="1097" t="s">
        <v>1085</v>
      </c>
      <c r="D419" s="1098"/>
      <c r="E419" s="1086" t="s">
        <v>1086</v>
      </c>
      <c r="F419" s="1087"/>
      <c r="G419" s="458" t="s">
        <v>0</v>
      </c>
      <c r="H419" s="459">
        <f t="shared" si="70"/>
        <v>0</v>
      </c>
      <c r="I419" s="459">
        <f t="shared" si="71"/>
        <v>0</v>
      </c>
      <c r="J419" s="459">
        <v>0</v>
      </c>
      <c r="K419" s="459">
        <v>0</v>
      </c>
      <c r="L419" s="459">
        <f t="shared" si="72"/>
        <v>0</v>
      </c>
      <c r="M419" s="459">
        <v>0</v>
      </c>
      <c r="N419" s="459">
        <v>0</v>
      </c>
    </row>
    <row r="420" spans="1:14" s="407" customFormat="1" ht="15" hidden="1" customHeight="1">
      <c r="A420" s="1095"/>
      <c r="B420" s="1092"/>
      <c r="C420" s="1095"/>
      <c r="D420" s="1092"/>
      <c r="E420" s="1088"/>
      <c r="F420" s="1089"/>
      <c r="G420" s="458" t="s">
        <v>1</v>
      </c>
      <c r="H420" s="459">
        <f t="shared" si="70"/>
        <v>0</v>
      </c>
      <c r="I420" s="459">
        <f t="shared" si="71"/>
        <v>0</v>
      </c>
      <c r="J420" s="459">
        <v>0</v>
      </c>
      <c r="K420" s="459">
        <v>0</v>
      </c>
      <c r="L420" s="459">
        <f t="shared" si="72"/>
        <v>0</v>
      </c>
      <c r="M420" s="459">
        <v>0</v>
      </c>
      <c r="N420" s="459">
        <v>0</v>
      </c>
    </row>
    <row r="421" spans="1:14" s="407" customFormat="1" ht="15" hidden="1" customHeight="1">
      <c r="A421" s="1101"/>
      <c r="B421" s="1094"/>
      <c r="C421" s="1101"/>
      <c r="D421" s="1094"/>
      <c r="E421" s="1090"/>
      <c r="F421" s="1091"/>
      <c r="G421" s="458" t="s">
        <v>2</v>
      </c>
      <c r="H421" s="459">
        <f t="shared" si="70"/>
        <v>0</v>
      </c>
      <c r="I421" s="459">
        <f t="shared" si="71"/>
        <v>0</v>
      </c>
      <c r="J421" s="459">
        <f>J419+J420</f>
        <v>0</v>
      </c>
      <c r="K421" s="459">
        <f>K419+K420</f>
        <v>0</v>
      </c>
      <c r="L421" s="459">
        <f t="shared" si="72"/>
        <v>0</v>
      </c>
      <c r="M421" s="459">
        <f>M419+M420</f>
        <v>0</v>
      </c>
      <c r="N421" s="459">
        <f>N419+N420</f>
        <v>0</v>
      </c>
    </row>
    <row r="422" spans="1:14" s="407" customFormat="1" ht="15.6" customHeight="1">
      <c r="A422" s="1097" t="s">
        <v>64</v>
      </c>
      <c r="B422" s="1098"/>
      <c r="C422" s="1097" t="s">
        <v>1087</v>
      </c>
      <c r="D422" s="1098"/>
      <c r="E422" s="1086" t="s">
        <v>1088</v>
      </c>
      <c r="F422" s="1087"/>
      <c r="G422" s="520" t="s">
        <v>0</v>
      </c>
      <c r="H422" s="502">
        <f t="shared" si="70"/>
        <v>600000</v>
      </c>
      <c r="I422" s="502">
        <f t="shared" si="71"/>
        <v>430334</v>
      </c>
      <c r="J422" s="502">
        <v>0</v>
      </c>
      <c r="K422" s="502">
        <v>430334</v>
      </c>
      <c r="L422" s="502">
        <f t="shared" si="72"/>
        <v>169666</v>
      </c>
      <c r="M422" s="502">
        <v>0</v>
      </c>
      <c r="N422" s="502">
        <v>169666</v>
      </c>
    </row>
    <row r="423" spans="1:14" s="407" customFormat="1" ht="15.6" customHeight="1">
      <c r="A423" s="1095"/>
      <c r="B423" s="1092"/>
      <c r="C423" s="1095"/>
      <c r="D423" s="1092"/>
      <c r="E423" s="1088"/>
      <c r="F423" s="1089"/>
      <c r="G423" s="520" t="s">
        <v>1</v>
      </c>
      <c r="H423" s="502">
        <f t="shared" si="70"/>
        <v>180000</v>
      </c>
      <c r="I423" s="502">
        <f t="shared" si="71"/>
        <v>180000</v>
      </c>
      <c r="J423" s="502">
        <v>0</v>
      </c>
      <c r="K423" s="502">
        <v>180000</v>
      </c>
      <c r="L423" s="502">
        <f t="shared" si="72"/>
        <v>0</v>
      </c>
      <c r="M423" s="502">
        <v>0</v>
      </c>
      <c r="N423" s="502">
        <v>0</v>
      </c>
    </row>
    <row r="424" spans="1:14" s="407" customFormat="1" ht="15.6" customHeight="1">
      <c r="A424" s="1095"/>
      <c r="B424" s="1092"/>
      <c r="C424" s="1101"/>
      <c r="D424" s="1094"/>
      <c r="E424" s="1090"/>
      <c r="F424" s="1091"/>
      <c r="G424" s="520" t="s">
        <v>2</v>
      </c>
      <c r="H424" s="459">
        <f t="shared" si="70"/>
        <v>780000</v>
      </c>
      <c r="I424" s="459">
        <f t="shared" si="71"/>
        <v>610334</v>
      </c>
      <c r="J424" s="459">
        <f>J422+J423</f>
        <v>0</v>
      </c>
      <c r="K424" s="459">
        <f>K422+K423</f>
        <v>610334</v>
      </c>
      <c r="L424" s="459">
        <f t="shared" si="72"/>
        <v>169666</v>
      </c>
      <c r="M424" s="459">
        <f>M422+M423</f>
        <v>0</v>
      </c>
      <c r="N424" s="459">
        <f>N422+N423</f>
        <v>169666</v>
      </c>
    </row>
    <row r="425" spans="1:14" s="480" customFormat="1" ht="15" hidden="1" customHeight="1">
      <c r="A425" s="1084"/>
      <c r="B425" s="1085"/>
      <c r="C425" s="1099" t="s">
        <v>467</v>
      </c>
      <c r="D425" s="1100"/>
      <c r="E425" s="1086" t="s">
        <v>1089</v>
      </c>
      <c r="F425" s="1087"/>
      <c r="G425" s="520" t="s">
        <v>0</v>
      </c>
      <c r="H425" s="502">
        <f t="shared" si="70"/>
        <v>150000</v>
      </c>
      <c r="I425" s="502">
        <f t="shared" si="71"/>
        <v>0</v>
      </c>
      <c r="J425" s="502">
        <v>0</v>
      </c>
      <c r="K425" s="502">
        <v>0</v>
      </c>
      <c r="L425" s="502">
        <f t="shared" si="72"/>
        <v>150000</v>
      </c>
      <c r="M425" s="502">
        <v>0</v>
      </c>
      <c r="N425" s="502">
        <v>150000</v>
      </c>
    </row>
    <row r="426" spans="1:14" s="480" customFormat="1" ht="15" hidden="1" customHeight="1">
      <c r="A426" s="1084"/>
      <c r="B426" s="1092"/>
      <c r="C426" s="1084"/>
      <c r="D426" s="1092"/>
      <c r="E426" s="1088"/>
      <c r="F426" s="1089"/>
      <c r="G426" s="520" t="s">
        <v>1</v>
      </c>
      <c r="H426" s="502">
        <f t="shared" si="70"/>
        <v>0</v>
      </c>
      <c r="I426" s="502">
        <f t="shared" si="71"/>
        <v>0</v>
      </c>
      <c r="J426" s="502">
        <v>0</v>
      </c>
      <c r="K426" s="502">
        <v>0</v>
      </c>
      <c r="L426" s="502">
        <f t="shared" si="72"/>
        <v>0</v>
      </c>
      <c r="M426" s="502">
        <v>0</v>
      </c>
      <c r="N426" s="502">
        <v>0</v>
      </c>
    </row>
    <row r="427" spans="1:14" s="480" customFormat="1" ht="15" hidden="1" customHeight="1">
      <c r="A427" s="1093"/>
      <c r="B427" s="1094"/>
      <c r="C427" s="1093"/>
      <c r="D427" s="1094"/>
      <c r="E427" s="1090"/>
      <c r="F427" s="1091"/>
      <c r="G427" s="520" t="s">
        <v>2</v>
      </c>
      <c r="H427" s="459">
        <f t="shared" si="70"/>
        <v>150000</v>
      </c>
      <c r="I427" s="459">
        <f t="shared" si="71"/>
        <v>0</v>
      </c>
      <c r="J427" s="459">
        <f>J425+J426</f>
        <v>0</v>
      </c>
      <c r="K427" s="459">
        <f>K425+K426</f>
        <v>0</v>
      </c>
      <c r="L427" s="459">
        <f t="shared" si="72"/>
        <v>150000</v>
      </c>
      <c r="M427" s="459">
        <f>M425+M426</f>
        <v>0</v>
      </c>
      <c r="N427" s="459">
        <f>N425+N426</f>
        <v>150000</v>
      </c>
    </row>
    <row r="428" spans="1:14" s="407" customFormat="1" ht="15" hidden="1" customHeight="1">
      <c r="A428" s="1097" t="s">
        <v>26</v>
      </c>
      <c r="B428" s="1098"/>
      <c r="C428" s="1097" t="s">
        <v>1090</v>
      </c>
      <c r="D428" s="1098"/>
      <c r="E428" s="1086" t="s">
        <v>1091</v>
      </c>
      <c r="F428" s="1087"/>
      <c r="G428" s="458" t="s">
        <v>0</v>
      </c>
      <c r="H428" s="459">
        <f t="shared" si="70"/>
        <v>278400</v>
      </c>
      <c r="I428" s="459">
        <f t="shared" si="71"/>
        <v>278400</v>
      </c>
      <c r="J428" s="459">
        <v>0</v>
      </c>
      <c r="K428" s="459">
        <v>278400</v>
      </c>
      <c r="L428" s="459">
        <f t="shared" si="72"/>
        <v>0</v>
      </c>
      <c r="M428" s="459">
        <v>0</v>
      </c>
      <c r="N428" s="459">
        <v>0</v>
      </c>
    </row>
    <row r="429" spans="1:14" s="407" customFormat="1" ht="15" hidden="1" customHeight="1">
      <c r="A429" s="1095"/>
      <c r="B429" s="1092"/>
      <c r="C429" s="1095"/>
      <c r="D429" s="1092"/>
      <c r="E429" s="1088"/>
      <c r="F429" s="1089"/>
      <c r="G429" s="458" t="s">
        <v>1</v>
      </c>
      <c r="H429" s="459">
        <f t="shared" si="70"/>
        <v>0</v>
      </c>
      <c r="I429" s="459">
        <f t="shared" si="71"/>
        <v>0</v>
      </c>
      <c r="J429" s="459">
        <v>0</v>
      </c>
      <c r="K429" s="459">
        <v>0</v>
      </c>
      <c r="L429" s="459">
        <f t="shared" si="72"/>
        <v>0</v>
      </c>
      <c r="M429" s="459">
        <v>0</v>
      </c>
      <c r="N429" s="459">
        <v>0</v>
      </c>
    </row>
    <row r="430" spans="1:14" s="407" customFormat="1" ht="15" hidden="1" customHeight="1">
      <c r="A430" s="1101"/>
      <c r="B430" s="1094"/>
      <c r="C430" s="1101"/>
      <c r="D430" s="1094"/>
      <c r="E430" s="1090"/>
      <c r="F430" s="1091"/>
      <c r="G430" s="458" t="s">
        <v>2</v>
      </c>
      <c r="H430" s="459">
        <f t="shared" si="70"/>
        <v>278400</v>
      </c>
      <c r="I430" s="459">
        <f t="shared" si="71"/>
        <v>278400</v>
      </c>
      <c r="J430" s="459">
        <f>J428+J429</f>
        <v>0</v>
      </c>
      <c r="K430" s="459">
        <f>K428+K429</f>
        <v>278400</v>
      </c>
      <c r="L430" s="459">
        <f t="shared" si="72"/>
        <v>0</v>
      </c>
      <c r="M430" s="459">
        <f>M428+M429</f>
        <v>0</v>
      </c>
      <c r="N430" s="459">
        <f>N428+N429</f>
        <v>0</v>
      </c>
    </row>
    <row r="431" spans="1:14" s="407" customFormat="1" ht="15" hidden="1" customHeight="1">
      <c r="A431" s="1097" t="s">
        <v>90</v>
      </c>
      <c r="B431" s="1098"/>
      <c r="C431" s="1097" t="s">
        <v>1092</v>
      </c>
      <c r="D431" s="1098"/>
      <c r="E431" s="1086" t="s">
        <v>1093</v>
      </c>
      <c r="F431" s="1087"/>
      <c r="G431" s="458" t="s">
        <v>0</v>
      </c>
      <c r="H431" s="459">
        <f t="shared" si="70"/>
        <v>430000</v>
      </c>
      <c r="I431" s="459">
        <f t="shared" si="71"/>
        <v>0</v>
      </c>
      <c r="J431" s="459">
        <v>0</v>
      </c>
      <c r="K431" s="459">
        <v>0</v>
      </c>
      <c r="L431" s="459">
        <f t="shared" si="72"/>
        <v>430000</v>
      </c>
      <c r="M431" s="459">
        <v>0</v>
      </c>
      <c r="N431" s="459">
        <v>430000</v>
      </c>
    </row>
    <row r="432" spans="1:14" s="407" customFormat="1" ht="15" hidden="1" customHeight="1">
      <c r="A432" s="1095"/>
      <c r="B432" s="1092"/>
      <c r="C432" s="1095"/>
      <c r="D432" s="1092"/>
      <c r="E432" s="1088"/>
      <c r="F432" s="1089"/>
      <c r="G432" s="458" t="s">
        <v>1</v>
      </c>
      <c r="H432" s="459">
        <f t="shared" si="70"/>
        <v>0</v>
      </c>
      <c r="I432" s="459">
        <f t="shared" si="71"/>
        <v>0</v>
      </c>
      <c r="J432" s="459">
        <v>0</v>
      </c>
      <c r="K432" s="459">
        <v>0</v>
      </c>
      <c r="L432" s="459">
        <f t="shared" si="72"/>
        <v>0</v>
      </c>
      <c r="M432" s="459">
        <v>0</v>
      </c>
      <c r="N432" s="459">
        <v>0</v>
      </c>
    </row>
    <row r="433" spans="1:14" s="407" customFormat="1" ht="15" hidden="1" customHeight="1">
      <c r="A433" s="1095"/>
      <c r="B433" s="1092"/>
      <c r="C433" s="1101"/>
      <c r="D433" s="1094"/>
      <c r="E433" s="1090"/>
      <c r="F433" s="1091"/>
      <c r="G433" s="458" t="s">
        <v>2</v>
      </c>
      <c r="H433" s="459">
        <f t="shared" si="70"/>
        <v>430000</v>
      </c>
      <c r="I433" s="459">
        <f t="shared" si="71"/>
        <v>0</v>
      </c>
      <c r="J433" s="459">
        <f>J431+J432</f>
        <v>0</v>
      </c>
      <c r="K433" s="459">
        <f>K431+K432</f>
        <v>0</v>
      </c>
      <c r="L433" s="459">
        <f t="shared" si="72"/>
        <v>430000</v>
      </c>
      <c r="M433" s="459">
        <f>M431+M432</f>
        <v>0</v>
      </c>
      <c r="N433" s="459">
        <f>N431+N432</f>
        <v>430000</v>
      </c>
    </row>
    <row r="434" spans="1:14" s="407" customFormat="1" ht="15" hidden="1" customHeight="1">
      <c r="A434" s="1095"/>
      <c r="B434" s="1096"/>
      <c r="C434" s="1097" t="s">
        <v>1037</v>
      </c>
      <c r="D434" s="1098"/>
      <c r="E434" s="1086" t="s">
        <v>1094</v>
      </c>
      <c r="F434" s="1087"/>
      <c r="G434" s="458" t="s">
        <v>0</v>
      </c>
      <c r="H434" s="459">
        <f t="shared" si="70"/>
        <v>200000</v>
      </c>
      <c r="I434" s="459">
        <f t="shared" si="71"/>
        <v>0</v>
      </c>
      <c r="J434" s="459">
        <v>0</v>
      </c>
      <c r="K434" s="459">
        <v>0</v>
      </c>
      <c r="L434" s="459">
        <f t="shared" si="72"/>
        <v>200000</v>
      </c>
      <c r="M434" s="459">
        <v>0</v>
      </c>
      <c r="N434" s="459">
        <v>200000</v>
      </c>
    </row>
    <row r="435" spans="1:14" s="407" customFormat="1" ht="15" hidden="1" customHeight="1">
      <c r="A435" s="1095"/>
      <c r="B435" s="1123"/>
      <c r="C435" s="1095"/>
      <c r="D435" s="1123"/>
      <c r="E435" s="1088"/>
      <c r="F435" s="1089"/>
      <c r="G435" s="458" t="s">
        <v>1</v>
      </c>
      <c r="H435" s="459">
        <f t="shared" si="70"/>
        <v>0</v>
      </c>
      <c r="I435" s="459">
        <f t="shared" si="71"/>
        <v>0</v>
      </c>
      <c r="J435" s="459">
        <v>0</v>
      </c>
      <c r="K435" s="459">
        <v>0</v>
      </c>
      <c r="L435" s="459">
        <f t="shared" si="72"/>
        <v>0</v>
      </c>
      <c r="M435" s="459">
        <v>0</v>
      </c>
      <c r="N435" s="459">
        <v>0</v>
      </c>
    </row>
    <row r="436" spans="1:14" s="407" customFormat="1" ht="15" hidden="1" customHeight="1">
      <c r="A436" s="1095"/>
      <c r="B436" s="1123"/>
      <c r="C436" s="1095"/>
      <c r="D436" s="1123"/>
      <c r="E436" s="1090"/>
      <c r="F436" s="1091"/>
      <c r="G436" s="458" t="s">
        <v>2</v>
      </c>
      <c r="H436" s="459">
        <f t="shared" si="70"/>
        <v>200000</v>
      </c>
      <c r="I436" s="459">
        <f t="shared" si="71"/>
        <v>0</v>
      </c>
      <c r="J436" s="459">
        <f>J434+J435</f>
        <v>0</v>
      </c>
      <c r="K436" s="459">
        <f>K434+K435</f>
        <v>0</v>
      </c>
      <c r="L436" s="459">
        <f t="shared" si="72"/>
        <v>200000</v>
      </c>
      <c r="M436" s="459">
        <f>M434+M435</f>
        <v>0</v>
      </c>
      <c r="N436" s="459">
        <f>N434+N435</f>
        <v>200000</v>
      </c>
    </row>
    <row r="437" spans="1:14" s="407" customFormat="1" ht="15" hidden="1" customHeight="1">
      <c r="A437" s="1095"/>
      <c r="B437" s="1096"/>
      <c r="C437" s="1095"/>
      <c r="D437" s="1096"/>
      <c r="E437" s="1086" t="s">
        <v>1095</v>
      </c>
      <c r="F437" s="1087"/>
      <c r="G437" s="458" t="s">
        <v>0</v>
      </c>
      <c r="H437" s="459">
        <f t="shared" si="70"/>
        <v>300000</v>
      </c>
      <c r="I437" s="459">
        <f t="shared" si="71"/>
        <v>0</v>
      </c>
      <c r="J437" s="459">
        <v>0</v>
      </c>
      <c r="K437" s="459">
        <v>0</v>
      </c>
      <c r="L437" s="459">
        <f t="shared" si="72"/>
        <v>300000</v>
      </c>
      <c r="M437" s="459">
        <v>0</v>
      </c>
      <c r="N437" s="459">
        <v>300000</v>
      </c>
    </row>
    <row r="438" spans="1:14" s="407" customFormat="1" ht="15" hidden="1" customHeight="1">
      <c r="A438" s="1095"/>
      <c r="B438" s="1123"/>
      <c r="C438" s="1095"/>
      <c r="D438" s="1123"/>
      <c r="E438" s="1088"/>
      <c r="F438" s="1089"/>
      <c r="G438" s="458" t="s">
        <v>1</v>
      </c>
      <c r="H438" s="459">
        <f t="shared" si="70"/>
        <v>0</v>
      </c>
      <c r="I438" s="459">
        <f t="shared" si="71"/>
        <v>0</v>
      </c>
      <c r="J438" s="459">
        <v>0</v>
      </c>
      <c r="K438" s="459">
        <v>0</v>
      </c>
      <c r="L438" s="459">
        <f t="shared" si="72"/>
        <v>0</v>
      </c>
      <c r="M438" s="459">
        <v>0</v>
      </c>
      <c r="N438" s="459">
        <v>0</v>
      </c>
    </row>
    <row r="439" spans="1:14" s="407" customFormat="1" ht="15" hidden="1" customHeight="1">
      <c r="A439" s="1095"/>
      <c r="B439" s="1123"/>
      <c r="C439" s="1095"/>
      <c r="D439" s="1123"/>
      <c r="E439" s="1090"/>
      <c r="F439" s="1091"/>
      <c r="G439" s="458" t="s">
        <v>2</v>
      </c>
      <c r="H439" s="459">
        <f t="shared" si="70"/>
        <v>300000</v>
      </c>
      <c r="I439" s="459">
        <f t="shared" si="71"/>
        <v>0</v>
      </c>
      <c r="J439" s="459">
        <f>J437+J438</f>
        <v>0</v>
      </c>
      <c r="K439" s="459">
        <f>K437+K438</f>
        <v>0</v>
      </c>
      <c r="L439" s="459">
        <f t="shared" si="72"/>
        <v>300000</v>
      </c>
      <c r="M439" s="459">
        <f>M437+M438</f>
        <v>0</v>
      </c>
      <c r="N439" s="459">
        <f>N437+N438</f>
        <v>300000</v>
      </c>
    </row>
    <row r="440" spans="1:14" s="407" customFormat="1" ht="15" hidden="1" customHeight="1">
      <c r="A440" s="1095"/>
      <c r="B440" s="1096"/>
      <c r="C440" s="1095"/>
      <c r="D440" s="1096"/>
      <c r="E440" s="1086" t="s">
        <v>1096</v>
      </c>
      <c r="F440" s="1087"/>
      <c r="G440" s="458" t="s">
        <v>0</v>
      </c>
      <c r="H440" s="459">
        <f t="shared" si="70"/>
        <v>200000</v>
      </c>
      <c r="I440" s="459">
        <f t="shared" si="71"/>
        <v>0</v>
      </c>
      <c r="J440" s="459">
        <v>0</v>
      </c>
      <c r="K440" s="459">
        <v>0</v>
      </c>
      <c r="L440" s="459">
        <f t="shared" si="72"/>
        <v>200000</v>
      </c>
      <c r="M440" s="459">
        <v>0</v>
      </c>
      <c r="N440" s="459">
        <v>200000</v>
      </c>
    </row>
    <row r="441" spans="1:14" s="407" customFormat="1" ht="15" hidden="1" customHeight="1">
      <c r="A441" s="1095"/>
      <c r="B441" s="1123"/>
      <c r="C441" s="1095"/>
      <c r="D441" s="1123"/>
      <c r="E441" s="1088"/>
      <c r="F441" s="1089"/>
      <c r="G441" s="458" t="s">
        <v>1</v>
      </c>
      <c r="H441" s="459">
        <f t="shared" si="70"/>
        <v>0</v>
      </c>
      <c r="I441" s="459">
        <f t="shared" si="71"/>
        <v>0</v>
      </c>
      <c r="J441" s="459">
        <v>0</v>
      </c>
      <c r="K441" s="459">
        <v>0</v>
      </c>
      <c r="L441" s="459">
        <f t="shared" si="72"/>
        <v>0</v>
      </c>
      <c r="M441" s="459">
        <v>0</v>
      </c>
      <c r="N441" s="459">
        <v>0</v>
      </c>
    </row>
    <row r="442" spans="1:14" s="407" customFormat="1" ht="15" hidden="1" customHeight="1">
      <c r="A442" s="1095"/>
      <c r="B442" s="1123"/>
      <c r="C442" s="1095"/>
      <c r="D442" s="1123"/>
      <c r="E442" s="1090"/>
      <c r="F442" s="1091"/>
      <c r="G442" s="458" t="s">
        <v>2</v>
      </c>
      <c r="H442" s="459">
        <f t="shared" si="70"/>
        <v>200000</v>
      </c>
      <c r="I442" s="459">
        <f t="shared" si="71"/>
        <v>0</v>
      </c>
      <c r="J442" s="459">
        <f>J440+J441</f>
        <v>0</v>
      </c>
      <c r="K442" s="459">
        <f>K440+K441</f>
        <v>0</v>
      </c>
      <c r="L442" s="459">
        <f t="shared" si="72"/>
        <v>200000</v>
      </c>
      <c r="M442" s="459">
        <f>M440+M441</f>
        <v>0</v>
      </c>
      <c r="N442" s="459">
        <f>N440+N441</f>
        <v>200000</v>
      </c>
    </row>
    <row r="443" spans="1:14" s="480" customFormat="1" ht="15" hidden="1" customHeight="1">
      <c r="A443" s="1084"/>
      <c r="B443" s="1085"/>
      <c r="C443" s="1084"/>
      <c r="D443" s="1085"/>
      <c r="E443" s="1086" t="s">
        <v>1097</v>
      </c>
      <c r="F443" s="1087"/>
      <c r="G443" s="520" t="s">
        <v>0</v>
      </c>
      <c r="H443" s="502">
        <f t="shared" si="70"/>
        <v>300000</v>
      </c>
      <c r="I443" s="502">
        <f t="shared" si="71"/>
        <v>0</v>
      </c>
      <c r="J443" s="502">
        <v>0</v>
      </c>
      <c r="K443" s="502">
        <v>0</v>
      </c>
      <c r="L443" s="502">
        <f t="shared" si="72"/>
        <v>300000</v>
      </c>
      <c r="M443" s="502">
        <v>0</v>
      </c>
      <c r="N443" s="502">
        <v>300000</v>
      </c>
    </row>
    <row r="444" spans="1:14" s="480" customFormat="1" ht="15" hidden="1" customHeight="1">
      <c r="A444" s="1084"/>
      <c r="B444" s="1118"/>
      <c r="C444" s="1084"/>
      <c r="D444" s="1118"/>
      <c r="E444" s="1088"/>
      <c r="F444" s="1089"/>
      <c r="G444" s="520" t="s">
        <v>1</v>
      </c>
      <c r="H444" s="502">
        <f t="shared" si="70"/>
        <v>0</v>
      </c>
      <c r="I444" s="502">
        <f t="shared" si="71"/>
        <v>0</v>
      </c>
      <c r="J444" s="502">
        <v>0</v>
      </c>
      <c r="K444" s="502">
        <v>0</v>
      </c>
      <c r="L444" s="502">
        <f t="shared" si="72"/>
        <v>0</v>
      </c>
      <c r="M444" s="502">
        <v>0</v>
      </c>
      <c r="N444" s="502">
        <v>0</v>
      </c>
    </row>
    <row r="445" spans="1:14" s="480" customFormat="1" ht="15" hidden="1" customHeight="1">
      <c r="A445" s="1084"/>
      <c r="B445" s="1118"/>
      <c r="C445" s="1084"/>
      <c r="D445" s="1118"/>
      <c r="E445" s="1090"/>
      <c r="F445" s="1091"/>
      <c r="G445" s="520" t="s">
        <v>2</v>
      </c>
      <c r="H445" s="459">
        <f t="shared" si="70"/>
        <v>300000</v>
      </c>
      <c r="I445" s="459">
        <f t="shared" si="71"/>
        <v>0</v>
      </c>
      <c r="J445" s="459">
        <f>J443+J444</f>
        <v>0</v>
      </c>
      <c r="K445" s="459">
        <f>K443+K444</f>
        <v>0</v>
      </c>
      <c r="L445" s="459">
        <f t="shared" si="72"/>
        <v>300000</v>
      </c>
      <c r="M445" s="459">
        <f>M443+M444</f>
        <v>0</v>
      </c>
      <c r="N445" s="459">
        <f>N443+N444</f>
        <v>300000</v>
      </c>
    </row>
    <row r="446" spans="1:14" s="480" customFormat="1" ht="15" hidden="1" customHeight="1">
      <c r="A446" s="1084"/>
      <c r="B446" s="1085"/>
      <c r="C446" s="1084"/>
      <c r="D446" s="1085"/>
      <c r="E446" s="1086" t="s">
        <v>1098</v>
      </c>
      <c r="F446" s="1087"/>
      <c r="G446" s="520" t="s">
        <v>0</v>
      </c>
      <c r="H446" s="502">
        <f t="shared" si="70"/>
        <v>300000</v>
      </c>
      <c r="I446" s="502">
        <f t="shared" si="71"/>
        <v>0</v>
      </c>
      <c r="J446" s="502">
        <v>0</v>
      </c>
      <c r="K446" s="502">
        <v>0</v>
      </c>
      <c r="L446" s="502">
        <f t="shared" si="72"/>
        <v>300000</v>
      </c>
      <c r="M446" s="502">
        <v>0</v>
      </c>
      <c r="N446" s="502">
        <v>300000</v>
      </c>
    </row>
    <row r="447" spans="1:14" s="480" customFormat="1" ht="15" hidden="1" customHeight="1">
      <c r="A447" s="1084"/>
      <c r="B447" s="1118"/>
      <c r="C447" s="1084"/>
      <c r="D447" s="1118"/>
      <c r="E447" s="1088"/>
      <c r="F447" s="1089"/>
      <c r="G447" s="520" t="s">
        <v>1</v>
      </c>
      <c r="H447" s="502">
        <f t="shared" si="70"/>
        <v>0</v>
      </c>
      <c r="I447" s="502">
        <f t="shared" si="71"/>
        <v>0</v>
      </c>
      <c r="J447" s="502">
        <v>0</v>
      </c>
      <c r="K447" s="502">
        <v>0</v>
      </c>
      <c r="L447" s="502">
        <f t="shared" si="72"/>
        <v>0</v>
      </c>
      <c r="M447" s="502">
        <v>0</v>
      </c>
      <c r="N447" s="502">
        <v>0</v>
      </c>
    </row>
    <row r="448" spans="1:14" s="480" customFormat="1" ht="15" hidden="1" customHeight="1">
      <c r="A448" s="1093"/>
      <c r="B448" s="1122"/>
      <c r="C448" s="1093"/>
      <c r="D448" s="1122"/>
      <c r="E448" s="1090"/>
      <c r="F448" s="1091"/>
      <c r="G448" s="520" t="s">
        <v>2</v>
      </c>
      <c r="H448" s="459">
        <f t="shared" si="70"/>
        <v>300000</v>
      </c>
      <c r="I448" s="459">
        <f t="shared" si="71"/>
        <v>0</v>
      </c>
      <c r="J448" s="459">
        <f>J446+J447</f>
        <v>0</v>
      </c>
      <c r="K448" s="459">
        <f>K446+K447</f>
        <v>0</v>
      </c>
      <c r="L448" s="459">
        <f t="shared" si="72"/>
        <v>300000</v>
      </c>
      <c r="M448" s="459">
        <f>M446+M447</f>
        <v>0</v>
      </c>
      <c r="N448" s="459">
        <f>N446+N447</f>
        <v>300000</v>
      </c>
    </row>
    <row r="449" spans="1:14" s="480" customFormat="1" ht="15" hidden="1" customHeight="1">
      <c r="A449" s="1099" t="s">
        <v>67</v>
      </c>
      <c r="B449" s="1100"/>
      <c r="C449" s="1099" t="s">
        <v>1099</v>
      </c>
      <c r="D449" s="1100"/>
      <c r="E449" s="1121" t="s">
        <v>1100</v>
      </c>
      <c r="F449" s="1087"/>
      <c r="G449" s="458" t="s">
        <v>0</v>
      </c>
      <c r="H449" s="459">
        <f>I449+L449</f>
        <v>240000</v>
      </c>
      <c r="I449" s="459">
        <f>J449+K449</f>
        <v>240000</v>
      </c>
      <c r="J449" s="459">
        <v>0</v>
      </c>
      <c r="K449" s="459">
        <v>240000</v>
      </c>
      <c r="L449" s="459">
        <f>M449+N449</f>
        <v>0</v>
      </c>
      <c r="M449" s="459">
        <v>0</v>
      </c>
      <c r="N449" s="459">
        <v>0</v>
      </c>
    </row>
    <row r="450" spans="1:14" s="480" customFormat="1" ht="15" hidden="1" customHeight="1">
      <c r="A450" s="1084"/>
      <c r="B450" s="1118"/>
      <c r="C450" s="1084"/>
      <c r="D450" s="1118"/>
      <c r="E450" s="1088"/>
      <c r="F450" s="1089"/>
      <c r="G450" s="458" t="s">
        <v>1</v>
      </c>
      <c r="H450" s="459">
        <f t="shared" ref="H450:H457" si="101">I450+L450</f>
        <v>0</v>
      </c>
      <c r="I450" s="459">
        <f t="shared" ref="I450:I457" si="102">J450+K450</f>
        <v>0</v>
      </c>
      <c r="J450" s="459">
        <v>0</v>
      </c>
      <c r="K450" s="459">
        <v>0</v>
      </c>
      <c r="L450" s="459">
        <f t="shared" ref="L450:L457" si="103">M450+N450</f>
        <v>0</v>
      </c>
      <c r="M450" s="459">
        <v>0</v>
      </c>
      <c r="N450" s="459">
        <v>0</v>
      </c>
    </row>
    <row r="451" spans="1:14" s="480" customFormat="1" ht="15" hidden="1" customHeight="1">
      <c r="A451" s="1084"/>
      <c r="B451" s="1118"/>
      <c r="C451" s="1084"/>
      <c r="D451" s="1118"/>
      <c r="E451" s="1090"/>
      <c r="F451" s="1091"/>
      <c r="G451" s="458" t="s">
        <v>2</v>
      </c>
      <c r="H451" s="459">
        <f t="shared" si="101"/>
        <v>240000</v>
      </c>
      <c r="I451" s="459">
        <f t="shared" si="102"/>
        <v>240000</v>
      </c>
      <c r="J451" s="459">
        <f>J449+J450</f>
        <v>0</v>
      </c>
      <c r="K451" s="459">
        <f>K449+K450</f>
        <v>240000</v>
      </c>
      <c r="L451" s="459">
        <f t="shared" si="103"/>
        <v>0</v>
      </c>
      <c r="M451" s="459">
        <f>M449+M450</f>
        <v>0</v>
      </c>
      <c r="N451" s="459">
        <f>N449+N450</f>
        <v>0</v>
      </c>
    </row>
    <row r="452" spans="1:14" s="480" customFormat="1" ht="15" hidden="1" customHeight="1">
      <c r="A452" s="1084"/>
      <c r="B452" s="1085"/>
      <c r="C452" s="1084"/>
      <c r="D452" s="1085"/>
      <c r="E452" s="1086" t="s">
        <v>1101</v>
      </c>
      <c r="F452" s="1087"/>
      <c r="G452" s="458" t="s">
        <v>0</v>
      </c>
      <c r="H452" s="459">
        <f t="shared" si="101"/>
        <v>200000</v>
      </c>
      <c r="I452" s="459">
        <f t="shared" si="102"/>
        <v>200000</v>
      </c>
      <c r="J452" s="459">
        <v>0</v>
      </c>
      <c r="K452" s="459">
        <v>200000</v>
      </c>
      <c r="L452" s="459">
        <f t="shared" si="103"/>
        <v>0</v>
      </c>
      <c r="M452" s="459">
        <v>0</v>
      </c>
      <c r="N452" s="459">
        <v>0</v>
      </c>
    </row>
    <row r="453" spans="1:14" s="480" customFormat="1" ht="15" hidden="1" customHeight="1">
      <c r="A453" s="1084"/>
      <c r="B453" s="1118"/>
      <c r="C453" s="1084"/>
      <c r="D453" s="1118"/>
      <c r="E453" s="1088"/>
      <c r="F453" s="1089"/>
      <c r="G453" s="458" t="s">
        <v>1</v>
      </c>
      <c r="H453" s="459">
        <f t="shared" si="101"/>
        <v>0</v>
      </c>
      <c r="I453" s="459">
        <f t="shared" si="102"/>
        <v>0</v>
      </c>
      <c r="J453" s="459">
        <v>0</v>
      </c>
      <c r="K453" s="459">
        <v>0</v>
      </c>
      <c r="L453" s="459">
        <f t="shared" si="103"/>
        <v>0</v>
      </c>
      <c r="M453" s="459">
        <v>0</v>
      </c>
      <c r="N453" s="459">
        <v>0</v>
      </c>
    </row>
    <row r="454" spans="1:14" s="480" customFormat="1" ht="15" hidden="1" customHeight="1">
      <c r="A454" s="1084"/>
      <c r="B454" s="1118"/>
      <c r="C454" s="1084"/>
      <c r="D454" s="1118"/>
      <c r="E454" s="1090"/>
      <c r="F454" s="1091"/>
      <c r="G454" s="458" t="s">
        <v>2</v>
      </c>
      <c r="H454" s="459">
        <f t="shared" si="101"/>
        <v>200000</v>
      </c>
      <c r="I454" s="459">
        <f t="shared" si="102"/>
        <v>200000</v>
      </c>
      <c r="J454" s="459">
        <f>J452+J453</f>
        <v>0</v>
      </c>
      <c r="K454" s="459">
        <f>K452+K453</f>
        <v>200000</v>
      </c>
      <c r="L454" s="459">
        <f t="shared" si="103"/>
        <v>0</v>
      </c>
      <c r="M454" s="459">
        <f>M452+M453</f>
        <v>0</v>
      </c>
      <c r="N454" s="459">
        <f>N452+N453</f>
        <v>0</v>
      </c>
    </row>
    <row r="455" spans="1:14" s="480" customFormat="1" ht="15" hidden="1" customHeight="1">
      <c r="A455" s="1084"/>
      <c r="B455" s="1085"/>
      <c r="C455" s="1084"/>
      <c r="D455" s="1085"/>
      <c r="E455" s="1086" t="s">
        <v>1102</v>
      </c>
      <c r="F455" s="1087"/>
      <c r="G455" s="458" t="s">
        <v>0</v>
      </c>
      <c r="H455" s="459">
        <f t="shared" si="101"/>
        <v>30000</v>
      </c>
      <c r="I455" s="459">
        <f t="shared" si="102"/>
        <v>30000</v>
      </c>
      <c r="J455" s="459">
        <v>0</v>
      </c>
      <c r="K455" s="459">
        <v>30000</v>
      </c>
      <c r="L455" s="459">
        <f t="shared" si="103"/>
        <v>0</v>
      </c>
      <c r="M455" s="459">
        <v>0</v>
      </c>
      <c r="N455" s="459">
        <v>0</v>
      </c>
    </row>
    <row r="456" spans="1:14" s="480" customFormat="1" ht="15" hidden="1" customHeight="1">
      <c r="A456" s="1084"/>
      <c r="B456" s="1118"/>
      <c r="C456" s="1084"/>
      <c r="D456" s="1118"/>
      <c r="E456" s="1088"/>
      <c r="F456" s="1089"/>
      <c r="G456" s="458" t="s">
        <v>1</v>
      </c>
      <c r="H456" s="459">
        <f t="shared" si="101"/>
        <v>0</v>
      </c>
      <c r="I456" s="459">
        <f t="shared" si="102"/>
        <v>0</v>
      </c>
      <c r="J456" s="459">
        <v>0</v>
      </c>
      <c r="K456" s="459">
        <v>0</v>
      </c>
      <c r="L456" s="459">
        <f t="shared" si="103"/>
        <v>0</v>
      </c>
      <c r="M456" s="459">
        <v>0</v>
      </c>
      <c r="N456" s="459">
        <v>0</v>
      </c>
    </row>
    <row r="457" spans="1:14" s="480" customFormat="1" ht="15" hidden="1" customHeight="1">
      <c r="A457" s="1084"/>
      <c r="B457" s="1118"/>
      <c r="C457" s="1093"/>
      <c r="D457" s="1122"/>
      <c r="E457" s="1090"/>
      <c r="F457" s="1091"/>
      <c r="G457" s="458" t="s">
        <v>2</v>
      </c>
      <c r="H457" s="459">
        <f t="shared" si="101"/>
        <v>30000</v>
      </c>
      <c r="I457" s="459">
        <f t="shared" si="102"/>
        <v>30000</v>
      </c>
      <c r="J457" s="459">
        <f>J455+J456</f>
        <v>0</v>
      </c>
      <c r="K457" s="459">
        <f>K455+K456</f>
        <v>30000</v>
      </c>
      <c r="L457" s="459">
        <f t="shared" si="103"/>
        <v>0</v>
      </c>
      <c r="M457" s="459">
        <f>M455+M456</f>
        <v>0</v>
      </c>
      <c r="N457" s="459">
        <f>N455+N456</f>
        <v>0</v>
      </c>
    </row>
    <row r="458" spans="1:14" s="480" customFormat="1" ht="15" hidden="1" customHeight="1">
      <c r="A458" s="1084"/>
      <c r="B458" s="1085"/>
      <c r="C458" s="1099" t="s">
        <v>475</v>
      </c>
      <c r="D458" s="1100"/>
      <c r="E458" s="1121" t="s">
        <v>1103</v>
      </c>
      <c r="F458" s="1087"/>
      <c r="G458" s="458" t="s">
        <v>0</v>
      </c>
      <c r="H458" s="459">
        <f>I458+L458</f>
        <v>182295</v>
      </c>
      <c r="I458" s="459">
        <f>J458+K458</f>
        <v>182295</v>
      </c>
      <c r="J458" s="459">
        <v>182295</v>
      </c>
      <c r="K458" s="459">
        <v>0</v>
      </c>
      <c r="L458" s="459">
        <f>M458+N458</f>
        <v>0</v>
      </c>
      <c r="M458" s="459">
        <v>0</v>
      </c>
      <c r="N458" s="459">
        <v>0</v>
      </c>
    </row>
    <row r="459" spans="1:14" s="480" customFormat="1" ht="15" hidden="1" customHeight="1">
      <c r="A459" s="1084"/>
      <c r="B459" s="1118"/>
      <c r="C459" s="1084"/>
      <c r="D459" s="1118"/>
      <c r="E459" s="1088"/>
      <c r="F459" s="1089"/>
      <c r="G459" s="458" t="s">
        <v>1</v>
      </c>
      <c r="H459" s="459">
        <f t="shared" ref="H459:H460" si="104">I459+L459</f>
        <v>0</v>
      </c>
      <c r="I459" s="459">
        <f t="shared" ref="I459:I460" si="105">J459+K459</f>
        <v>0</v>
      </c>
      <c r="J459" s="459">
        <v>0</v>
      </c>
      <c r="K459" s="459">
        <v>0</v>
      </c>
      <c r="L459" s="459">
        <f t="shared" ref="L459:L460" si="106">M459+N459</f>
        <v>0</v>
      </c>
      <c r="M459" s="459">
        <v>0</v>
      </c>
      <c r="N459" s="459">
        <v>0</v>
      </c>
    </row>
    <row r="460" spans="1:14" s="480" customFormat="1" ht="15" hidden="1" customHeight="1">
      <c r="A460" s="1084"/>
      <c r="B460" s="1118"/>
      <c r="C460" s="1084"/>
      <c r="D460" s="1118"/>
      <c r="E460" s="1090"/>
      <c r="F460" s="1091"/>
      <c r="G460" s="458" t="s">
        <v>2</v>
      </c>
      <c r="H460" s="459">
        <f t="shared" si="104"/>
        <v>182295</v>
      </c>
      <c r="I460" s="459">
        <f t="shared" si="105"/>
        <v>182295</v>
      </c>
      <c r="J460" s="459">
        <f>J458+J459</f>
        <v>182295</v>
      </c>
      <c r="K460" s="459">
        <f>K458+K459</f>
        <v>0</v>
      </c>
      <c r="L460" s="459">
        <f t="shared" si="106"/>
        <v>0</v>
      </c>
      <c r="M460" s="459">
        <f>M458+M459</f>
        <v>0</v>
      </c>
      <c r="N460" s="459">
        <f>N458+N459</f>
        <v>0</v>
      </c>
    </row>
    <row r="461" spans="1:14" s="480" customFormat="1" ht="15" hidden="1" customHeight="1">
      <c r="A461" s="1084"/>
      <c r="B461" s="1085"/>
      <c r="C461" s="1084"/>
      <c r="D461" s="1085"/>
      <c r="E461" s="1086" t="s">
        <v>1104</v>
      </c>
      <c r="F461" s="1087"/>
      <c r="G461" s="458" t="s">
        <v>0</v>
      </c>
      <c r="H461" s="459">
        <f>I461+L461</f>
        <v>55754406</v>
      </c>
      <c r="I461" s="459">
        <f>J461+K461</f>
        <v>55754406</v>
      </c>
      <c r="J461" s="459">
        <v>55754406</v>
      </c>
      <c r="K461" s="459">
        <v>0</v>
      </c>
      <c r="L461" s="459">
        <f>M461+N461</f>
        <v>0</v>
      </c>
      <c r="M461" s="459">
        <v>0</v>
      </c>
      <c r="N461" s="459">
        <v>0</v>
      </c>
    </row>
    <row r="462" spans="1:14" s="480" customFormat="1" ht="15" hidden="1" customHeight="1">
      <c r="A462" s="1084"/>
      <c r="B462" s="1118"/>
      <c r="C462" s="1084"/>
      <c r="D462" s="1118"/>
      <c r="E462" s="1088"/>
      <c r="F462" s="1089"/>
      <c r="G462" s="458" t="s">
        <v>1</v>
      </c>
      <c r="H462" s="459">
        <f t="shared" ref="H462:H463" si="107">I462+L462</f>
        <v>0</v>
      </c>
      <c r="I462" s="459">
        <f t="shared" ref="I462:I463" si="108">J462+K462</f>
        <v>0</v>
      </c>
      <c r="J462" s="459">
        <v>0</v>
      </c>
      <c r="K462" s="459">
        <v>0</v>
      </c>
      <c r="L462" s="459">
        <f t="shared" ref="L462:L463" si="109">M462+N462</f>
        <v>0</v>
      </c>
      <c r="M462" s="459">
        <v>0</v>
      </c>
      <c r="N462" s="459">
        <v>0</v>
      </c>
    </row>
    <row r="463" spans="1:14" s="480" customFormat="1" ht="15" hidden="1" customHeight="1">
      <c r="A463" s="1084"/>
      <c r="B463" s="1118"/>
      <c r="C463" s="1084"/>
      <c r="D463" s="1118"/>
      <c r="E463" s="1090"/>
      <c r="F463" s="1091"/>
      <c r="G463" s="458" t="s">
        <v>2</v>
      </c>
      <c r="H463" s="459">
        <f t="shared" si="107"/>
        <v>55754406</v>
      </c>
      <c r="I463" s="459">
        <f t="shared" si="108"/>
        <v>55754406</v>
      </c>
      <c r="J463" s="459">
        <f>J461+J462</f>
        <v>55754406</v>
      </c>
      <c r="K463" s="459">
        <f>K461+K462</f>
        <v>0</v>
      </c>
      <c r="L463" s="459">
        <f t="shared" si="109"/>
        <v>0</v>
      </c>
      <c r="M463" s="459">
        <f>M461+M462</f>
        <v>0</v>
      </c>
      <c r="N463" s="459">
        <f>N461+N462</f>
        <v>0</v>
      </c>
    </row>
    <row r="464" spans="1:14" s="480" customFormat="1" ht="15" hidden="1" customHeight="1">
      <c r="A464" s="1084"/>
      <c r="B464" s="1085"/>
      <c r="C464" s="1084"/>
      <c r="D464" s="1085"/>
      <c r="E464" s="1086" t="s">
        <v>1105</v>
      </c>
      <c r="F464" s="1087"/>
      <c r="G464" s="458" t="s">
        <v>0</v>
      </c>
      <c r="H464" s="459">
        <f>I464+L464</f>
        <v>100500</v>
      </c>
      <c r="I464" s="459">
        <f>J464+K464</f>
        <v>100500</v>
      </c>
      <c r="J464" s="459">
        <v>0</v>
      </c>
      <c r="K464" s="459">
        <v>100500</v>
      </c>
      <c r="L464" s="459">
        <f>M464+N464</f>
        <v>0</v>
      </c>
      <c r="M464" s="459">
        <v>0</v>
      </c>
      <c r="N464" s="459">
        <v>0</v>
      </c>
    </row>
    <row r="465" spans="1:14" s="480" customFormat="1" ht="15" hidden="1" customHeight="1">
      <c r="A465" s="1084"/>
      <c r="B465" s="1118"/>
      <c r="C465" s="1084"/>
      <c r="D465" s="1118"/>
      <c r="E465" s="1088"/>
      <c r="F465" s="1089"/>
      <c r="G465" s="458" t="s">
        <v>1</v>
      </c>
      <c r="H465" s="459">
        <f t="shared" ref="H465:H469" si="110">I465+L465</f>
        <v>0</v>
      </c>
      <c r="I465" s="459">
        <f t="shared" ref="I465:I469" si="111">J465+K465</f>
        <v>0</v>
      </c>
      <c r="J465" s="459">
        <v>0</v>
      </c>
      <c r="K465" s="459">
        <v>0</v>
      </c>
      <c r="L465" s="459">
        <f t="shared" ref="L465:L469" si="112">M465+N465</f>
        <v>0</v>
      </c>
      <c r="M465" s="459">
        <v>0</v>
      </c>
      <c r="N465" s="459">
        <v>0</v>
      </c>
    </row>
    <row r="466" spans="1:14" s="480" customFormat="1" ht="15" hidden="1" customHeight="1">
      <c r="A466" s="1084"/>
      <c r="B466" s="1118"/>
      <c r="C466" s="1084"/>
      <c r="D466" s="1118"/>
      <c r="E466" s="1090"/>
      <c r="F466" s="1091"/>
      <c r="G466" s="458" t="s">
        <v>2</v>
      </c>
      <c r="H466" s="459">
        <f t="shared" si="110"/>
        <v>100500</v>
      </c>
      <c r="I466" s="459">
        <f t="shared" si="111"/>
        <v>100500</v>
      </c>
      <c r="J466" s="459">
        <f>J464+J465</f>
        <v>0</v>
      </c>
      <c r="K466" s="459">
        <f>K464+K465</f>
        <v>100500</v>
      </c>
      <c r="L466" s="459">
        <f t="shared" si="112"/>
        <v>0</v>
      </c>
      <c r="M466" s="459">
        <f>M464+M465</f>
        <v>0</v>
      </c>
      <c r="N466" s="459">
        <f>N464+N465</f>
        <v>0</v>
      </c>
    </row>
    <row r="467" spans="1:14" s="480" customFormat="1" ht="15" hidden="1" customHeight="1">
      <c r="A467" s="1084"/>
      <c r="B467" s="1085"/>
      <c r="C467" s="1084"/>
      <c r="D467" s="1085"/>
      <c r="E467" s="1086" t="s">
        <v>1106</v>
      </c>
      <c r="F467" s="1087"/>
      <c r="G467" s="458" t="s">
        <v>0</v>
      </c>
      <c r="H467" s="459">
        <f t="shared" si="110"/>
        <v>280000</v>
      </c>
      <c r="I467" s="459">
        <f t="shared" si="111"/>
        <v>280000</v>
      </c>
      <c r="J467" s="459">
        <v>280000</v>
      </c>
      <c r="K467" s="459">
        <v>0</v>
      </c>
      <c r="L467" s="459">
        <f t="shared" si="112"/>
        <v>0</v>
      </c>
      <c r="M467" s="459">
        <v>0</v>
      </c>
      <c r="N467" s="459">
        <v>0</v>
      </c>
    </row>
    <row r="468" spans="1:14" s="480" customFormat="1" ht="15" hidden="1" customHeight="1">
      <c r="A468" s="1084"/>
      <c r="B468" s="1118"/>
      <c r="C468" s="1084"/>
      <c r="D468" s="1118"/>
      <c r="E468" s="1088"/>
      <c r="F468" s="1089"/>
      <c r="G468" s="458" t="s">
        <v>1</v>
      </c>
      <c r="H468" s="459">
        <f t="shared" si="110"/>
        <v>0</v>
      </c>
      <c r="I468" s="459">
        <f t="shared" si="111"/>
        <v>0</v>
      </c>
      <c r="J468" s="459">
        <v>0</v>
      </c>
      <c r="K468" s="459">
        <v>0</v>
      </c>
      <c r="L468" s="459">
        <f t="shared" si="112"/>
        <v>0</v>
      </c>
      <c r="M468" s="459">
        <v>0</v>
      </c>
      <c r="N468" s="459">
        <v>0</v>
      </c>
    </row>
    <row r="469" spans="1:14" s="480" customFormat="1" ht="15" hidden="1" customHeight="1">
      <c r="A469" s="1084"/>
      <c r="B469" s="1118"/>
      <c r="C469" s="1084"/>
      <c r="D469" s="1118"/>
      <c r="E469" s="1090"/>
      <c r="F469" s="1091"/>
      <c r="G469" s="458" t="s">
        <v>2</v>
      </c>
      <c r="H469" s="459">
        <f t="shared" si="110"/>
        <v>280000</v>
      </c>
      <c r="I469" s="459">
        <f t="shared" si="111"/>
        <v>280000</v>
      </c>
      <c r="J469" s="459">
        <f>J467+J468</f>
        <v>280000</v>
      </c>
      <c r="K469" s="459">
        <f>K467+K468</f>
        <v>0</v>
      </c>
      <c r="L469" s="459">
        <f t="shared" si="112"/>
        <v>0</v>
      </c>
      <c r="M469" s="459">
        <f>M467+M468</f>
        <v>0</v>
      </c>
      <c r="N469" s="459">
        <f>N467+N468</f>
        <v>0</v>
      </c>
    </row>
    <row r="470" spans="1:14" s="480" customFormat="1" ht="15" hidden="1" customHeight="1">
      <c r="A470" s="1084"/>
      <c r="B470" s="1085"/>
      <c r="C470" s="1084"/>
      <c r="D470" s="1085"/>
      <c r="E470" s="1086" t="s">
        <v>1107</v>
      </c>
      <c r="F470" s="1087"/>
      <c r="G470" s="458" t="s">
        <v>0</v>
      </c>
      <c r="H470" s="459">
        <f t="shared" si="70"/>
        <v>250000</v>
      </c>
      <c r="I470" s="459">
        <f t="shared" si="71"/>
        <v>250000</v>
      </c>
      <c r="J470" s="459">
        <v>250000</v>
      </c>
      <c r="K470" s="459">
        <v>0</v>
      </c>
      <c r="L470" s="459">
        <f t="shared" si="72"/>
        <v>0</v>
      </c>
      <c r="M470" s="459">
        <v>0</v>
      </c>
      <c r="N470" s="459">
        <v>0</v>
      </c>
    </row>
    <row r="471" spans="1:14" s="480" customFormat="1" ht="15" hidden="1" customHeight="1">
      <c r="A471" s="1084"/>
      <c r="B471" s="1118"/>
      <c r="C471" s="1084"/>
      <c r="D471" s="1118"/>
      <c r="E471" s="1088"/>
      <c r="F471" s="1089"/>
      <c r="G471" s="458" t="s">
        <v>1</v>
      </c>
      <c r="H471" s="459">
        <f t="shared" si="70"/>
        <v>0</v>
      </c>
      <c r="I471" s="459">
        <f t="shared" si="71"/>
        <v>0</v>
      </c>
      <c r="J471" s="459">
        <v>0</v>
      </c>
      <c r="K471" s="459">
        <v>0</v>
      </c>
      <c r="L471" s="459">
        <f t="shared" si="72"/>
        <v>0</v>
      </c>
      <c r="M471" s="459">
        <v>0</v>
      </c>
      <c r="N471" s="459">
        <v>0</v>
      </c>
    </row>
    <row r="472" spans="1:14" s="480" customFormat="1" ht="15" hidden="1" customHeight="1">
      <c r="A472" s="1084"/>
      <c r="B472" s="1118"/>
      <c r="C472" s="1084"/>
      <c r="D472" s="1118"/>
      <c r="E472" s="1090"/>
      <c r="F472" s="1091"/>
      <c r="G472" s="458" t="s">
        <v>2</v>
      </c>
      <c r="H472" s="459">
        <f t="shared" si="70"/>
        <v>250000</v>
      </c>
      <c r="I472" s="459">
        <f t="shared" si="71"/>
        <v>250000</v>
      </c>
      <c r="J472" s="459">
        <f>J470+J471</f>
        <v>250000</v>
      </c>
      <c r="K472" s="459">
        <f>K470+K471</f>
        <v>0</v>
      </c>
      <c r="L472" s="459">
        <f t="shared" si="72"/>
        <v>0</v>
      </c>
      <c r="M472" s="459">
        <f>M470+M471</f>
        <v>0</v>
      </c>
      <c r="N472" s="459">
        <f>N470+N471</f>
        <v>0</v>
      </c>
    </row>
    <row r="473" spans="1:14" s="480" customFormat="1" ht="18" hidden="1" customHeight="1">
      <c r="A473" s="1084"/>
      <c r="B473" s="1085"/>
      <c r="C473" s="1084"/>
      <c r="D473" s="1085"/>
      <c r="E473" s="1086" t="s">
        <v>1108</v>
      </c>
      <c r="F473" s="1087"/>
      <c r="G473" s="458" t="s">
        <v>0</v>
      </c>
      <c r="H473" s="459">
        <f t="shared" si="70"/>
        <v>558000</v>
      </c>
      <c r="I473" s="459">
        <f t="shared" si="71"/>
        <v>558000</v>
      </c>
      <c r="J473" s="459">
        <v>558000</v>
      </c>
      <c r="K473" s="459">
        <v>0</v>
      </c>
      <c r="L473" s="459">
        <f t="shared" si="72"/>
        <v>0</v>
      </c>
      <c r="M473" s="459">
        <v>0</v>
      </c>
      <c r="N473" s="459">
        <v>0</v>
      </c>
    </row>
    <row r="474" spans="1:14" s="480" customFormat="1" ht="18" hidden="1" customHeight="1">
      <c r="A474" s="1084"/>
      <c r="B474" s="1118"/>
      <c r="C474" s="1084"/>
      <c r="D474" s="1118"/>
      <c r="E474" s="1088"/>
      <c r="F474" s="1089"/>
      <c r="G474" s="458" t="s">
        <v>1</v>
      </c>
      <c r="H474" s="459">
        <f t="shared" si="70"/>
        <v>0</v>
      </c>
      <c r="I474" s="459">
        <f t="shared" si="71"/>
        <v>0</v>
      </c>
      <c r="J474" s="459">
        <v>0</v>
      </c>
      <c r="K474" s="459">
        <v>0</v>
      </c>
      <c r="L474" s="459">
        <f t="shared" si="72"/>
        <v>0</v>
      </c>
      <c r="M474" s="459">
        <v>0</v>
      </c>
      <c r="N474" s="459">
        <v>0</v>
      </c>
    </row>
    <row r="475" spans="1:14" s="480" customFormat="1" ht="18" hidden="1" customHeight="1">
      <c r="A475" s="1084"/>
      <c r="B475" s="1118"/>
      <c r="C475" s="1084"/>
      <c r="D475" s="1118"/>
      <c r="E475" s="1090"/>
      <c r="F475" s="1091"/>
      <c r="G475" s="458" t="s">
        <v>2</v>
      </c>
      <c r="H475" s="459">
        <f t="shared" si="70"/>
        <v>558000</v>
      </c>
      <c r="I475" s="459">
        <f t="shared" si="71"/>
        <v>558000</v>
      </c>
      <c r="J475" s="459">
        <f>J473+J474</f>
        <v>558000</v>
      </c>
      <c r="K475" s="459">
        <f>K473+K474</f>
        <v>0</v>
      </c>
      <c r="L475" s="459">
        <f t="shared" si="72"/>
        <v>0</v>
      </c>
      <c r="M475" s="459">
        <f>M473+M474</f>
        <v>0</v>
      </c>
      <c r="N475" s="459">
        <f>N473+N474</f>
        <v>0</v>
      </c>
    </row>
    <row r="476" spans="1:14" s="480" customFormat="1" ht="15" hidden="1" customHeight="1">
      <c r="A476" s="1084"/>
      <c r="B476" s="1085"/>
      <c r="C476" s="1084"/>
      <c r="D476" s="1085"/>
      <c r="E476" s="1086" t="s">
        <v>1109</v>
      </c>
      <c r="F476" s="1087"/>
      <c r="G476" s="458" t="s">
        <v>0</v>
      </c>
      <c r="H476" s="459">
        <f t="shared" si="70"/>
        <v>1943362</v>
      </c>
      <c r="I476" s="459">
        <f t="shared" si="71"/>
        <v>1943362</v>
      </c>
      <c r="J476" s="459">
        <v>1870508</v>
      </c>
      <c r="K476" s="459">
        <v>72854</v>
      </c>
      <c r="L476" s="459">
        <f t="shared" si="72"/>
        <v>0</v>
      </c>
      <c r="M476" s="459">
        <v>0</v>
      </c>
      <c r="N476" s="459">
        <v>0</v>
      </c>
    </row>
    <row r="477" spans="1:14" s="480" customFormat="1" ht="15" hidden="1" customHeight="1">
      <c r="A477" s="1084"/>
      <c r="B477" s="1118"/>
      <c r="C477" s="1084"/>
      <c r="D477" s="1118"/>
      <c r="E477" s="1088"/>
      <c r="F477" s="1089"/>
      <c r="G477" s="458" t="s">
        <v>1</v>
      </c>
      <c r="H477" s="459">
        <f t="shared" si="70"/>
        <v>0</v>
      </c>
      <c r="I477" s="459">
        <f t="shared" si="71"/>
        <v>0</v>
      </c>
      <c r="J477" s="459">
        <v>0</v>
      </c>
      <c r="K477" s="459">
        <v>0</v>
      </c>
      <c r="L477" s="459">
        <f t="shared" si="72"/>
        <v>0</v>
      </c>
      <c r="M477" s="459">
        <v>0</v>
      </c>
      <c r="N477" s="459">
        <v>0</v>
      </c>
    </row>
    <row r="478" spans="1:14" s="480" customFormat="1" ht="15" hidden="1" customHeight="1">
      <c r="A478" s="1084"/>
      <c r="B478" s="1118"/>
      <c r="C478" s="1084"/>
      <c r="D478" s="1118"/>
      <c r="E478" s="1090"/>
      <c r="F478" s="1091"/>
      <c r="G478" s="458" t="s">
        <v>2</v>
      </c>
      <c r="H478" s="459">
        <f t="shared" si="70"/>
        <v>1943362</v>
      </c>
      <c r="I478" s="459">
        <f t="shared" si="71"/>
        <v>1943362</v>
      </c>
      <c r="J478" s="459">
        <f>J476+J477</f>
        <v>1870508</v>
      </c>
      <c r="K478" s="459">
        <f>K476+K477</f>
        <v>72854</v>
      </c>
      <c r="L478" s="459">
        <f t="shared" si="72"/>
        <v>0</v>
      </c>
      <c r="M478" s="459">
        <f>M476+M477</f>
        <v>0</v>
      </c>
      <c r="N478" s="459">
        <f>N476+N477</f>
        <v>0</v>
      </c>
    </row>
    <row r="479" spans="1:14" s="480" customFormat="1" ht="15" hidden="1" customHeight="1">
      <c r="A479" s="1084"/>
      <c r="B479" s="1085"/>
      <c r="C479" s="1084"/>
      <c r="D479" s="1085"/>
      <c r="E479" s="1121" t="s">
        <v>1110</v>
      </c>
      <c r="F479" s="1087"/>
      <c r="G479" s="521" t="s">
        <v>0</v>
      </c>
      <c r="H479" s="459">
        <f>I479+L479</f>
        <v>10200</v>
      </c>
      <c r="I479" s="459">
        <f>J479+K479</f>
        <v>10200</v>
      </c>
      <c r="J479" s="459">
        <v>10200</v>
      </c>
      <c r="K479" s="459">
        <v>0</v>
      </c>
      <c r="L479" s="459">
        <f>M479+N479</f>
        <v>0</v>
      </c>
      <c r="M479" s="459">
        <v>0</v>
      </c>
      <c r="N479" s="459">
        <v>0</v>
      </c>
    </row>
    <row r="480" spans="1:14" s="480" customFormat="1" ht="15" hidden="1" customHeight="1">
      <c r="A480" s="1084"/>
      <c r="B480" s="1092"/>
      <c r="C480" s="1084"/>
      <c r="D480" s="1092"/>
      <c r="E480" s="1088"/>
      <c r="F480" s="1089"/>
      <c r="G480" s="522" t="s">
        <v>1</v>
      </c>
      <c r="H480" s="459">
        <f t="shared" ref="H480" si="113">I480+L480</f>
        <v>0</v>
      </c>
      <c r="I480" s="459">
        <f t="shared" ref="I480:I487" si="114">J480+K480</f>
        <v>0</v>
      </c>
      <c r="J480" s="459">
        <v>0</v>
      </c>
      <c r="K480" s="459">
        <v>0</v>
      </c>
      <c r="L480" s="459">
        <f t="shared" ref="L480:L487" si="115">M480+N480</f>
        <v>0</v>
      </c>
      <c r="M480" s="459">
        <v>0</v>
      </c>
      <c r="N480" s="459">
        <v>0</v>
      </c>
    </row>
    <row r="481" spans="1:14" s="480" customFormat="1" ht="15" hidden="1" customHeight="1">
      <c r="A481" s="1084"/>
      <c r="B481" s="1092"/>
      <c r="C481" s="1084"/>
      <c r="D481" s="1092"/>
      <c r="E481" s="1090"/>
      <c r="F481" s="1091"/>
      <c r="G481" s="522" t="s">
        <v>2</v>
      </c>
      <c r="H481" s="459">
        <f>I481+L481</f>
        <v>10200</v>
      </c>
      <c r="I481" s="459">
        <f t="shared" si="114"/>
        <v>10200</v>
      </c>
      <c r="J481" s="459">
        <f>J479+J480</f>
        <v>10200</v>
      </c>
      <c r="K481" s="459">
        <f>K479+K480</f>
        <v>0</v>
      </c>
      <c r="L481" s="459">
        <f t="shared" si="115"/>
        <v>0</v>
      </c>
      <c r="M481" s="459">
        <f>M479+M480</f>
        <v>0</v>
      </c>
      <c r="N481" s="459">
        <f>N479+N480</f>
        <v>0</v>
      </c>
    </row>
    <row r="482" spans="1:14" s="480" customFormat="1" ht="15.6" customHeight="1">
      <c r="A482" s="1099" t="s">
        <v>67</v>
      </c>
      <c r="B482" s="1100"/>
      <c r="C482" s="1084" t="s">
        <v>475</v>
      </c>
      <c r="D482" s="1085"/>
      <c r="E482" s="1086" t="s">
        <v>1111</v>
      </c>
      <c r="F482" s="1087"/>
      <c r="G482" s="506" t="s">
        <v>0</v>
      </c>
      <c r="H482" s="459">
        <f t="shared" ref="H482:H483" si="116">I482+L482</f>
        <v>0</v>
      </c>
      <c r="I482" s="459">
        <f t="shared" si="114"/>
        <v>0</v>
      </c>
      <c r="J482" s="459">
        <v>0</v>
      </c>
      <c r="K482" s="459">
        <v>0</v>
      </c>
      <c r="L482" s="459">
        <f t="shared" si="115"/>
        <v>0</v>
      </c>
      <c r="M482" s="459">
        <v>0</v>
      </c>
      <c r="N482" s="459">
        <v>0</v>
      </c>
    </row>
    <row r="483" spans="1:14" s="480" customFormat="1" ht="15.6" customHeight="1">
      <c r="A483" s="1084"/>
      <c r="B483" s="1119"/>
      <c r="C483" s="1084"/>
      <c r="D483" s="1119"/>
      <c r="E483" s="1102"/>
      <c r="F483" s="1103"/>
      <c r="G483" s="506" t="s">
        <v>1</v>
      </c>
      <c r="H483" s="459">
        <f t="shared" si="116"/>
        <v>109000</v>
      </c>
      <c r="I483" s="459">
        <f t="shared" si="114"/>
        <v>109000</v>
      </c>
      <c r="J483" s="459">
        <v>109000</v>
      </c>
      <c r="K483" s="459">
        <v>0</v>
      </c>
      <c r="L483" s="459">
        <f t="shared" si="115"/>
        <v>0</v>
      </c>
      <c r="M483" s="459">
        <v>0</v>
      </c>
      <c r="N483" s="459">
        <v>0</v>
      </c>
    </row>
    <row r="484" spans="1:14" s="480" customFormat="1" ht="15.6" customHeight="1">
      <c r="A484" s="1084"/>
      <c r="B484" s="1119"/>
      <c r="C484" s="1093"/>
      <c r="D484" s="1120"/>
      <c r="E484" s="1115"/>
      <c r="F484" s="1116"/>
      <c r="G484" s="506" t="s">
        <v>2</v>
      </c>
      <c r="H484" s="459">
        <f>I484+L484</f>
        <v>109000</v>
      </c>
      <c r="I484" s="459">
        <f t="shared" si="114"/>
        <v>109000</v>
      </c>
      <c r="J484" s="459">
        <f>J482+J483</f>
        <v>109000</v>
      </c>
      <c r="K484" s="459">
        <f>K482+K483</f>
        <v>0</v>
      </c>
      <c r="L484" s="459">
        <f>M484+N484</f>
        <v>0</v>
      </c>
      <c r="M484" s="459">
        <f>M482+M483</f>
        <v>0</v>
      </c>
      <c r="N484" s="459">
        <f>N482+N483</f>
        <v>0</v>
      </c>
    </row>
    <row r="485" spans="1:14" s="480" customFormat="1" ht="14.85" hidden="1" customHeight="1">
      <c r="A485" s="1084"/>
      <c r="B485" s="1085"/>
      <c r="C485" s="1084"/>
      <c r="D485" s="1085"/>
      <c r="E485" s="1117" t="s">
        <v>1112</v>
      </c>
      <c r="F485" s="1103"/>
      <c r="G485" s="523" t="s">
        <v>0</v>
      </c>
      <c r="H485" s="519">
        <f t="shared" ref="H485:H486" si="117">I485+L485</f>
        <v>330000</v>
      </c>
      <c r="I485" s="519">
        <f t="shared" si="114"/>
        <v>330000</v>
      </c>
      <c r="J485" s="519">
        <v>0</v>
      </c>
      <c r="K485" s="519">
        <v>330000</v>
      </c>
      <c r="L485" s="519">
        <f t="shared" si="115"/>
        <v>0</v>
      </c>
      <c r="M485" s="519">
        <v>0</v>
      </c>
      <c r="N485" s="519">
        <v>0</v>
      </c>
    </row>
    <row r="486" spans="1:14" s="480" customFormat="1" ht="14.85" hidden="1" customHeight="1">
      <c r="A486" s="1084"/>
      <c r="B486" s="1118"/>
      <c r="C486" s="1084"/>
      <c r="D486" s="1118"/>
      <c r="E486" s="1088"/>
      <c r="F486" s="1089"/>
      <c r="G486" s="522" t="s">
        <v>1</v>
      </c>
      <c r="H486" s="459">
        <f t="shared" si="117"/>
        <v>0</v>
      </c>
      <c r="I486" s="459">
        <f t="shared" si="114"/>
        <v>0</v>
      </c>
      <c r="J486" s="459">
        <v>0</v>
      </c>
      <c r="K486" s="459">
        <v>0</v>
      </c>
      <c r="L486" s="459">
        <f t="shared" si="115"/>
        <v>0</v>
      </c>
      <c r="M486" s="459">
        <v>0</v>
      </c>
      <c r="N486" s="459">
        <v>0</v>
      </c>
    </row>
    <row r="487" spans="1:14" s="480" customFormat="1" ht="14.85" hidden="1" customHeight="1">
      <c r="A487" s="1084"/>
      <c r="B487" s="1118"/>
      <c r="C487" s="1084"/>
      <c r="D487" s="1118"/>
      <c r="E487" s="1090"/>
      <c r="F487" s="1091"/>
      <c r="G487" s="522" t="s">
        <v>2</v>
      </c>
      <c r="H487" s="459">
        <f>I487+L487</f>
        <v>330000</v>
      </c>
      <c r="I487" s="459">
        <f t="shared" si="114"/>
        <v>330000</v>
      </c>
      <c r="J487" s="459">
        <f>J485+J486</f>
        <v>0</v>
      </c>
      <c r="K487" s="459">
        <f>K485+K486</f>
        <v>330000</v>
      </c>
      <c r="L487" s="459">
        <f t="shared" si="115"/>
        <v>0</v>
      </c>
      <c r="M487" s="459">
        <f>M485+M486</f>
        <v>0</v>
      </c>
      <c r="N487" s="459">
        <f>N485+N486</f>
        <v>0</v>
      </c>
    </row>
    <row r="488" spans="1:14" s="480" customFormat="1" ht="15" hidden="1" customHeight="1">
      <c r="A488" s="1084"/>
      <c r="B488" s="1085"/>
      <c r="C488" s="1099" t="s">
        <v>613</v>
      </c>
      <c r="D488" s="1100"/>
      <c r="E488" s="1086" t="s">
        <v>1113</v>
      </c>
      <c r="F488" s="1087"/>
      <c r="G488" s="458" t="s">
        <v>0</v>
      </c>
      <c r="H488" s="459">
        <f t="shared" si="70"/>
        <v>14192568</v>
      </c>
      <c r="I488" s="459">
        <f t="shared" si="71"/>
        <v>14192568</v>
      </c>
      <c r="J488" s="459">
        <v>14192568</v>
      </c>
      <c r="K488" s="459">
        <v>0</v>
      </c>
      <c r="L488" s="459">
        <f t="shared" si="72"/>
        <v>0</v>
      </c>
      <c r="M488" s="459">
        <v>0</v>
      </c>
      <c r="N488" s="459">
        <v>0</v>
      </c>
    </row>
    <row r="489" spans="1:14" s="480" customFormat="1" ht="15" hidden="1" customHeight="1">
      <c r="A489" s="1084"/>
      <c r="B489" s="1092"/>
      <c r="C489" s="1084"/>
      <c r="D489" s="1092"/>
      <c r="E489" s="1088"/>
      <c r="F489" s="1089"/>
      <c r="G489" s="458" t="s">
        <v>1</v>
      </c>
      <c r="H489" s="459">
        <f t="shared" si="70"/>
        <v>0</v>
      </c>
      <c r="I489" s="459">
        <f t="shared" si="71"/>
        <v>0</v>
      </c>
      <c r="J489" s="459">
        <v>0</v>
      </c>
      <c r="K489" s="459">
        <v>0</v>
      </c>
      <c r="L489" s="459">
        <f t="shared" si="72"/>
        <v>0</v>
      </c>
      <c r="M489" s="459">
        <v>0</v>
      </c>
      <c r="N489" s="459">
        <v>0</v>
      </c>
    </row>
    <row r="490" spans="1:14" s="480" customFormat="1" ht="15" hidden="1" customHeight="1">
      <c r="A490" s="1084"/>
      <c r="B490" s="1092"/>
      <c r="C490" s="1093"/>
      <c r="D490" s="1094"/>
      <c r="E490" s="1090"/>
      <c r="F490" s="1091"/>
      <c r="G490" s="458" t="s">
        <v>2</v>
      </c>
      <c r="H490" s="459">
        <f t="shared" si="70"/>
        <v>14192568</v>
      </c>
      <c r="I490" s="459">
        <f t="shared" si="71"/>
        <v>14192568</v>
      </c>
      <c r="J490" s="459">
        <f>J488+J489</f>
        <v>14192568</v>
      </c>
      <c r="K490" s="459">
        <f>K488+K489</f>
        <v>0</v>
      </c>
      <c r="L490" s="459">
        <f t="shared" si="72"/>
        <v>0</v>
      </c>
      <c r="M490" s="459">
        <f>M488+M489</f>
        <v>0</v>
      </c>
      <c r="N490" s="459">
        <f>N488+N489</f>
        <v>0</v>
      </c>
    </row>
    <row r="491" spans="1:14" s="480" customFormat="1" ht="15" hidden="1" customHeight="1">
      <c r="A491" s="1084"/>
      <c r="B491" s="1085"/>
      <c r="C491" s="1099" t="s">
        <v>483</v>
      </c>
      <c r="D491" s="1100"/>
      <c r="E491" s="1086" t="s">
        <v>1114</v>
      </c>
      <c r="F491" s="1087"/>
      <c r="G491" s="458" t="s">
        <v>0</v>
      </c>
      <c r="H491" s="459">
        <f t="shared" si="70"/>
        <v>294050</v>
      </c>
      <c r="I491" s="459">
        <f t="shared" si="71"/>
        <v>294050</v>
      </c>
      <c r="J491" s="459">
        <v>294050</v>
      </c>
      <c r="K491" s="459">
        <v>0</v>
      </c>
      <c r="L491" s="459">
        <f t="shared" si="72"/>
        <v>0</v>
      </c>
      <c r="M491" s="459">
        <v>0</v>
      </c>
      <c r="N491" s="459">
        <v>0</v>
      </c>
    </row>
    <row r="492" spans="1:14" s="480" customFormat="1" ht="15" hidden="1" customHeight="1">
      <c r="A492" s="1084"/>
      <c r="B492" s="1085"/>
      <c r="C492" s="1084"/>
      <c r="D492" s="1085"/>
      <c r="E492" s="1102"/>
      <c r="F492" s="1103"/>
      <c r="G492" s="458" t="s">
        <v>1</v>
      </c>
      <c r="H492" s="459">
        <f t="shared" si="70"/>
        <v>0</v>
      </c>
      <c r="I492" s="459">
        <f t="shared" si="71"/>
        <v>0</v>
      </c>
      <c r="J492" s="459">
        <v>0</v>
      </c>
      <c r="K492" s="459">
        <v>0</v>
      </c>
      <c r="L492" s="459">
        <f t="shared" si="72"/>
        <v>0</v>
      </c>
      <c r="M492" s="459">
        <v>0</v>
      </c>
      <c r="N492" s="459">
        <v>0</v>
      </c>
    </row>
    <row r="493" spans="1:14" s="480" customFormat="1" ht="15" hidden="1" customHeight="1">
      <c r="A493" s="1084"/>
      <c r="B493" s="1085"/>
      <c r="C493" s="1084"/>
      <c r="D493" s="1085"/>
      <c r="E493" s="1115"/>
      <c r="F493" s="1116"/>
      <c r="G493" s="458" t="s">
        <v>2</v>
      </c>
      <c r="H493" s="459">
        <f t="shared" si="70"/>
        <v>294050</v>
      </c>
      <c r="I493" s="459">
        <f t="shared" si="71"/>
        <v>294050</v>
      </c>
      <c r="J493" s="459">
        <f>J491+J492</f>
        <v>294050</v>
      </c>
      <c r="K493" s="459">
        <f>K491+K492</f>
        <v>0</v>
      </c>
      <c r="L493" s="459">
        <f t="shared" si="72"/>
        <v>0</v>
      </c>
      <c r="M493" s="459">
        <f>M491+M492</f>
        <v>0</v>
      </c>
      <c r="N493" s="459">
        <f>N491+N492</f>
        <v>0</v>
      </c>
    </row>
    <row r="494" spans="1:14" s="480" customFormat="1" ht="15" hidden="1" customHeight="1">
      <c r="A494" s="1084"/>
      <c r="B494" s="1085"/>
      <c r="C494" s="1084"/>
      <c r="D494" s="1085"/>
      <c r="E494" s="1086" t="s">
        <v>1115</v>
      </c>
      <c r="F494" s="1087"/>
      <c r="G494" s="458" t="s">
        <v>0</v>
      </c>
      <c r="H494" s="459">
        <f t="shared" si="70"/>
        <v>1461843</v>
      </c>
      <c r="I494" s="459">
        <f t="shared" si="71"/>
        <v>1461843</v>
      </c>
      <c r="J494" s="459">
        <v>1461843</v>
      </c>
      <c r="K494" s="459">
        <v>0</v>
      </c>
      <c r="L494" s="459">
        <f t="shared" si="72"/>
        <v>0</v>
      </c>
      <c r="M494" s="459">
        <v>0</v>
      </c>
      <c r="N494" s="459">
        <v>0</v>
      </c>
    </row>
    <row r="495" spans="1:14" s="480" customFormat="1" ht="15" hidden="1" customHeight="1">
      <c r="A495" s="1084"/>
      <c r="B495" s="1092"/>
      <c r="C495" s="1084"/>
      <c r="D495" s="1092"/>
      <c r="E495" s="1088"/>
      <c r="F495" s="1089"/>
      <c r="G495" s="458" t="s">
        <v>1</v>
      </c>
      <c r="H495" s="459">
        <f t="shared" si="70"/>
        <v>0</v>
      </c>
      <c r="I495" s="459">
        <f t="shared" si="71"/>
        <v>0</v>
      </c>
      <c r="J495" s="459">
        <v>0</v>
      </c>
      <c r="K495" s="459">
        <v>0</v>
      </c>
      <c r="L495" s="459">
        <f t="shared" si="72"/>
        <v>0</v>
      </c>
      <c r="M495" s="459">
        <v>0</v>
      </c>
      <c r="N495" s="459">
        <v>0</v>
      </c>
    </row>
    <row r="496" spans="1:14" s="480" customFormat="1" ht="15" hidden="1" customHeight="1">
      <c r="A496" s="1084"/>
      <c r="B496" s="1092"/>
      <c r="C496" s="1084"/>
      <c r="D496" s="1092"/>
      <c r="E496" s="1090"/>
      <c r="F496" s="1091"/>
      <c r="G496" s="458" t="s">
        <v>2</v>
      </c>
      <c r="H496" s="459">
        <f t="shared" si="70"/>
        <v>1461843</v>
      </c>
      <c r="I496" s="459">
        <f t="shared" si="71"/>
        <v>1461843</v>
      </c>
      <c r="J496" s="459">
        <f>J494+J495</f>
        <v>1461843</v>
      </c>
      <c r="K496" s="459">
        <f>K494+K495</f>
        <v>0</v>
      </c>
      <c r="L496" s="459">
        <f t="shared" si="72"/>
        <v>0</v>
      </c>
      <c r="M496" s="459">
        <f>M494+M495</f>
        <v>0</v>
      </c>
      <c r="N496" s="459">
        <f>N494+N495</f>
        <v>0</v>
      </c>
    </row>
    <row r="497" spans="1:14" s="480" customFormat="1" ht="15" hidden="1" customHeight="1">
      <c r="A497" s="1084"/>
      <c r="B497" s="1085"/>
      <c r="C497" s="1084"/>
      <c r="D497" s="1085"/>
      <c r="E497" s="1086" t="s">
        <v>1116</v>
      </c>
      <c r="F497" s="1087"/>
      <c r="G497" s="458" t="s">
        <v>0</v>
      </c>
      <c r="H497" s="459">
        <f t="shared" si="70"/>
        <v>325858</v>
      </c>
      <c r="I497" s="459">
        <f t="shared" si="71"/>
        <v>325858</v>
      </c>
      <c r="J497" s="459">
        <v>325858</v>
      </c>
      <c r="K497" s="459">
        <v>0</v>
      </c>
      <c r="L497" s="459">
        <f t="shared" si="72"/>
        <v>0</v>
      </c>
      <c r="M497" s="459">
        <v>0</v>
      </c>
      <c r="N497" s="459">
        <v>0</v>
      </c>
    </row>
    <row r="498" spans="1:14" s="480" customFormat="1" ht="15" hidden="1" customHeight="1">
      <c r="A498" s="1084"/>
      <c r="B498" s="1092"/>
      <c r="C498" s="1084"/>
      <c r="D498" s="1092"/>
      <c r="E498" s="1088"/>
      <c r="F498" s="1089"/>
      <c r="G498" s="458" t="s">
        <v>1</v>
      </c>
      <c r="H498" s="459">
        <f t="shared" si="70"/>
        <v>0</v>
      </c>
      <c r="I498" s="459">
        <f t="shared" si="71"/>
        <v>0</v>
      </c>
      <c r="J498" s="459">
        <v>0</v>
      </c>
      <c r="K498" s="459">
        <v>0</v>
      </c>
      <c r="L498" s="459">
        <f t="shared" si="72"/>
        <v>0</v>
      </c>
      <c r="M498" s="459">
        <v>0</v>
      </c>
      <c r="N498" s="459">
        <v>0</v>
      </c>
    </row>
    <row r="499" spans="1:14" s="480" customFormat="1" ht="15" hidden="1" customHeight="1">
      <c r="A499" s="1084"/>
      <c r="B499" s="1092"/>
      <c r="C499" s="1084"/>
      <c r="D499" s="1092"/>
      <c r="E499" s="1090"/>
      <c r="F499" s="1091"/>
      <c r="G499" s="458" t="s">
        <v>2</v>
      </c>
      <c r="H499" s="459">
        <f t="shared" si="70"/>
        <v>325858</v>
      </c>
      <c r="I499" s="459">
        <f t="shared" si="71"/>
        <v>325858</v>
      </c>
      <c r="J499" s="459">
        <f>J497+J498</f>
        <v>325858</v>
      </c>
      <c r="K499" s="459">
        <f>K497+K498</f>
        <v>0</v>
      </c>
      <c r="L499" s="459">
        <f t="shared" si="72"/>
        <v>0</v>
      </c>
      <c r="M499" s="459">
        <f>M497+M498</f>
        <v>0</v>
      </c>
      <c r="N499" s="459">
        <f>N497+N498</f>
        <v>0</v>
      </c>
    </row>
    <row r="500" spans="1:14" s="480" customFormat="1" ht="15" hidden="1" customHeight="1">
      <c r="A500" s="1084"/>
      <c r="B500" s="1085"/>
      <c r="C500" s="1084"/>
      <c r="D500" s="1085"/>
      <c r="E500" s="1086" t="s">
        <v>1117</v>
      </c>
      <c r="F500" s="1087"/>
      <c r="G500" s="458" t="s">
        <v>0</v>
      </c>
      <c r="H500" s="459">
        <f t="shared" si="70"/>
        <v>500000</v>
      </c>
      <c r="I500" s="459">
        <f t="shared" si="71"/>
        <v>500000</v>
      </c>
      <c r="J500" s="459">
        <v>500000</v>
      </c>
      <c r="K500" s="459">
        <v>0</v>
      </c>
      <c r="L500" s="459">
        <f t="shared" si="72"/>
        <v>0</v>
      </c>
      <c r="M500" s="459">
        <v>0</v>
      </c>
      <c r="N500" s="459">
        <v>0</v>
      </c>
    </row>
    <row r="501" spans="1:14" s="480" customFormat="1" ht="15" hidden="1" customHeight="1">
      <c r="A501" s="1084"/>
      <c r="B501" s="1092"/>
      <c r="C501" s="1084"/>
      <c r="D501" s="1092"/>
      <c r="E501" s="1088"/>
      <c r="F501" s="1089"/>
      <c r="G501" s="458" t="s">
        <v>1</v>
      </c>
      <c r="H501" s="459">
        <f t="shared" si="70"/>
        <v>0</v>
      </c>
      <c r="I501" s="459">
        <f t="shared" si="71"/>
        <v>0</v>
      </c>
      <c r="J501" s="459">
        <v>0</v>
      </c>
      <c r="K501" s="459">
        <v>0</v>
      </c>
      <c r="L501" s="459">
        <f t="shared" si="72"/>
        <v>0</v>
      </c>
      <c r="M501" s="459">
        <v>0</v>
      </c>
      <c r="N501" s="459">
        <v>0</v>
      </c>
    </row>
    <row r="502" spans="1:14" s="480" customFormat="1" ht="15" hidden="1" customHeight="1">
      <c r="A502" s="1084"/>
      <c r="B502" s="1092"/>
      <c r="C502" s="1084"/>
      <c r="D502" s="1092"/>
      <c r="E502" s="1088"/>
      <c r="F502" s="1089"/>
      <c r="G502" s="520" t="s">
        <v>2</v>
      </c>
      <c r="H502" s="502">
        <f t="shared" si="70"/>
        <v>500000</v>
      </c>
      <c r="I502" s="502">
        <f t="shared" si="71"/>
        <v>500000</v>
      </c>
      <c r="J502" s="502">
        <f>J500+J501</f>
        <v>500000</v>
      </c>
      <c r="K502" s="502">
        <f>K500+K501</f>
        <v>0</v>
      </c>
      <c r="L502" s="502">
        <f t="shared" si="72"/>
        <v>0</v>
      </c>
      <c r="M502" s="502">
        <f>M500+M501</f>
        <v>0</v>
      </c>
      <c r="N502" s="502">
        <f>N500+N501</f>
        <v>0</v>
      </c>
    </row>
    <row r="503" spans="1:14" s="480" customFormat="1" ht="15.6" customHeight="1">
      <c r="A503" s="1084"/>
      <c r="B503" s="1085"/>
      <c r="C503" s="1099" t="s">
        <v>483</v>
      </c>
      <c r="D503" s="1100"/>
      <c r="E503" s="1086" t="s">
        <v>1118</v>
      </c>
      <c r="F503" s="1087"/>
      <c r="G503" s="458" t="s">
        <v>0</v>
      </c>
      <c r="H503" s="459">
        <f t="shared" si="70"/>
        <v>0</v>
      </c>
      <c r="I503" s="459">
        <f t="shared" si="71"/>
        <v>0</v>
      </c>
      <c r="J503" s="459">
        <v>0</v>
      </c>
      <c r="K503" s="459">
        <v>0</v>
      </c>
      <c r="L503" s="459">
        <f t="shared" si="72"/>
        <v>0</v>
      </c>
      <c r="M503" s="459">
        <v>0</v>
      </c>
      <c r="N503" s="459">
        <v>0</v>
      </c>
    </row>
    <row r="504" spans="1:14" s="480" customFormat="1" ht="15.6" customHeight="1">
      <c r="A504" s="1084"/>
      <c r="B504" s="1092"/>
      <c r="C504" s="1084"/>
      <c r="D504" s="1092"/>
      <c r="E504" s="1088"/>
      <c r="F504" s="1089"/>
      <c r="G504" s="458" t="s">
        <v>1</v>
      </c>
      <c r="H504" s="459">
        <f t="shared" si="70"/>
        <v>5439019</v>
      </c>
      <c r="I504" s="459">
        <f t="shared" si="71"/>
        <v>5439019</v>
      </c>
      <c r="J504" s="459">
        <v>5238042</v>
      </c>
      <c r="K504" s="459">
        <v>200977</v>
      </c>
      <c r="L504" s="459">
        <f t="shared" si="72"/>
        <v>0</v>
      </c>
      <c r="M504" s="459">
        <v>0</v>
      </c>
      <c r="N504" s="459">
        <v>0</v>
      </c>
    </row>
    <row r="505" spans="1:14" s="480" customFormat="1" ht="15.6" customHeight="1">
      <c r="A505" s="1093"/>
      <c r="B505" s="1094"/>
      <c r="C505" s="1093"/>
      <c r="D505" s="1094"/>
      <c r="E505" s="1090"/>
      <c r="F505" s="1091"/>
      <c r="G505" s="458" t="s">
        <v>2</v>
      </c>
      <c r="H505" s="459">
        <f t="shared" si="70"/>
        <v>5439019</v>
      </c>
      <c r="I505" s="459">
        <f t="shared" si="71"/>
        <v>5439019</v>
      </c>
      <c r="J505" s="459">
        <f>J503+J504</f>
        <v>5238042</v>
      </c>
      <c r="K505" s="459">
        <f>K503+K504</f>
        <v>200977</v>
      </c>
      <c r="L505" s="459">
        <f t="shared" si="72"/>
        <v>0</v>
      </c>
      <c r="M505" s="459">
        <f>M503+M504</f>
        <v>0</v>
      </c>
      <c r="N505" s="459">
        <f>N503+N504</f>
        <v>0</v>
      </c>
    </row>
    <row r="506" spans="1:14" s="480" customFormat="1" ht="15" hidden="1" customHeight="1">
      <c r="A506" s="1084"/>
      <c r="B506" s="1085"/>
      <c r="C506" s="1084"/>
      <c r="D506" s="1085"/>
      <c r="E506" s="1102" t="s">
        <v>1119</v>
      </c>
      <c r="F506" s="1103"/>
      <c r="G506" s="518" t="s">
        <v>0</v>
      </c>
      <c r="H506" s="519">
        <f t="shared" si="70"/>
        <v>8264007</v>
      </c>
      <c r="I506" s="519">
        <f t="shared" si="71"/>
        <v>8264007</v>
      </c>
      <c r="J506" s="519">
        <v>7899441</v>
      </c>
      <c r="K506" s="519">
        <v>364566</v>
      </c>
      <c r="L506" s="519">
        <f t="shared" si="72"/>
        <v>0</v>
      </c>
      <c r="M506" s="519">
        <v>0</v>
      </c>
      <c r="N506" s="519">
        <v>0</v>
      </c>
    </row>
    <row r="507" spans="1:14" s="480" customFormat="1" ht="15" hidden="1" customHeight="1">
      <c r="A507" s="1084"/>
      <c r="B507" s="1092"/>
      <c r="C507" s="1084"/>
      <c r="D507" s="1092"/>
      <c r="E507" s="1088"/>
      <c r="F507" s="1089"/>
      <c r="G507" s="458" t="s">
        <v>1</v>
      </c>
      <c r="H507" s="459">
        <f t="shared" si="70"/>
        <v>0</v>
      </c>
      <c r="I507" s="459">
        <f t="shared" si="71"/>
        <v>0</v>
      </c>
      <c r="J507" s="459">
        <v>0</v>
      </c>
      <c r="K507" s="459">
        <v>0</v>
      </c>
      <c r="L507" s="459">
        <f t="shared" si="72"/>
        <v>0</v>
      </c>
      <c r="M507" s="459">
        <v>0</v>
      </c>
      <c r="N507" s="459">
        <v>0</v>
      </c>
    </row>
    <row r="508" spans="1:14" s="480" customFormat="1" ht="15" hidden="1" customHeight="1">
      <c r="A508" s="1084"/>
      <c r="B508" s="1092"/>
      <c r="C508" s="1084"/>
      <c r="D508" s="1092"/>
      <c r="E508" s="1090"/>
      <c r="F508" s="1091"/>
      <c r="G508" s="458" t="s">
        <v>2</v>
      </c>
      <c r="H508" s="459">
        <f t="shared" si="70"/>
        <v>8264007</v>
      </c>
      <c r="I508" s="459">
        <f t="shared" si="71"/>
        <v>8264007</v>
      </c>
      <c r="J508" s="459">
        <f>J506+J507</f>
        <v>7899441</v>
      </c>
      <c r="K508" s="459">
        <f>K506+K507</f>
        <v>364566</v>
      </c>
      <c r="L508" s="459">
        <f t="shared" si="72"/>
        <v>0</v>
      </c>
      <c r="M508" s="459">
        <f>M506+M507</f>
        <v>0</v>
      </c>
      <c r="N508" s="459">
        <f>N506+N507</f>
        <v>0</v>
      </c>
    </row>
    <row r="509" spans="1:14" s="480" customFormat="1" ht="15" hidden="1" customHeight="1">
      <c r="A509" s="1084"/>
      <c r="B509" s="1085"/>
      <c r="C509" s="1084"/>
      <c r="D509" s="1085"/>
      <c r="E509" s="1086" t="s">
        <v>1120</v>
      </c>
      <c r="F509" s="1087"/>
      <c r="G509" s="458" t="s">
        <v>0</v>
      </c>
      <c r="H509" s="459">
        <f t="shared" si="70"/>
        <v>180000</v>
      </c>
      <c r="I509" s="459">
        <f t="shared" si="71"/>
        <v>180000</v>
      </c>
      <c r="J509" s="459">
        <v>0</v>
      </c>
      <c r="K509" s="459">
        <v>180000</v>
      </c>
      <c r="L509" s="459">
        <f t="shared" si="72"/>
        <v>0</v>
      </c>
      <c r="M509" s="459">
        <v>0</v>
      </c>
      <c r="N509" s="459">
        <v>0</v>
      </c>
    </row>
    <row r="510" spans="1:14" s="480" customFormat="1" ht="15" hidden="1" customHeight="1">
      <c r="A510" s="1084"/>
      <c r="B510" s="1092"/>
      <c r="C510" s="1084"/>
      <c r="D510" s="1092"/>
      <c r="E510" s="1088"/>
      <c r="F510" s="1089"/>
      <c r="G510" s="458" t="s">
        <v>1</v>
      </c>
      <c r="H510" s="459">
        <f t="shared" si="70"/>
        <v>0</v>
      </c>
      <c r="I510" s="459">
        <f t="shared" si="71"/>
        <v>0</v>
      </c>
      <c r="J510" s="459">
        <v>0</v>
      </c>
      <c r="K510" s="459">
        <v>0</v>
      </c>
      <c r="L510" s="459">
        <f t="shared" si="72"/>
        <v>0</v>
      </c>
      <c r="M510" s="459">
        <v>0</v>
      </c>
      <c r="N510" s="459">
        <v>0</v>
      </c>
    </row>
    <row r="511" spans="1:14" s="480" customFormat="1" ht="15" hidden="1" customHeight="1">
      <c r="A511" s="1084"/>
      <c r="B511" s="1092"/>
      <c r="C511" s="1084"/>
      <c r="D511" s="1092"/>
      <c r="E511" s="1090"/>
      <c r="F511" s="1091"/>
      <c r="G511" s="458" t="s">
        <v>2</v>
      </c>
      <c r="H511" s="459">
        <f t="shared" si="70"/>
        <v>180000</v>
      </c>
      <c r="I511" s="459">
        <f t="shared" si="71"/>
        <v>180000</v>
      </c>
      <c r="J511" s="459">
        <f>J509+J510</f>
        <v>0</v>
      </c>
      <c r="K511" s="459">
        <f>K509+K510</f>
        <v>180000</v>
      </c>
      <c r="L511" s="459">
        <f t="shared" si="72"/>
        <v>0</v>
      </c>
      <c r="M511" s="459">
        <f>M509+M510</f>
        <v>0</v>
      </c>
      <c r="N511" s="459">
        <f>N509+N510</f>
        <v>0</v>
      </c>
    </row>
    <row r="512" spans="1:14" s="480" customFormat="1" ht="15" hidden="1" customHeight="1">
      <c r="A512" s="1084"/>
      <c r="B512" s="1085"/>
      <c r="C512" s="1084"/>
      <c r="D512" s="1085"/>
      <c r="E512" s="1086" t="s">
        <v>1121</v>
      </c>
      <c r="F512" s="1087"/>
      <c r="G512" s="458" t="s">
        <v>0</v>
      </c>
      <c r="H512" s="459">
        <f t="shared" si="70"/>
        <v>960000</v>
      </c>
      <c r="I512" s="459">
        <f t="shared" si="71"/>
        <v>960000</v>
      </c>
      <c r="J512" s="459">
        <v>960000</v>
      </c>
      <c r="K512" s="459">
        <v>0</v>
      </c>
      <c r="L512" s="459">
        <f t="shared" si="72"/>
        <v>0</v>
      </c>
      <c r="M512" s="459">
        <v>0</v>
      </c>
      <c r="N512" s="459">
        <v>0</v>
      </c>
    </row>
    <row r="513" spans="1:14" s="480" customFormat="1" ht="15" hidden="1" customHeight="1">
      <c r="A513" s="1084"/>
      <c r="B513" s="1092"/>
      <c r="C513" s="1084"/>
      <c r="D513" s="1092"/>
      <c r="E513" s="1088"/>
      <c r="F513" s="1089"/>
      <c r="G513" s="458" t="s">
        <v>1</v>
      </c>
      <c r="H513" s="459">
        <f t="shared" si="70"/>
        <v>0</v>
      </c>
      <c r="I513" s="459">
        <f t="shared" si="71"/>
        <v>0</v>
      </c>
      <c r="J513" s="459">
        <v>0</v>
      </c>
      <c r="K513" s="459">
        <v>0</v>
      </c>
      <c r="L513" s="459">
        <f t="shared" si="72"/>
        <v>0</v>
      </c>
      <c r="M513" s="459">
        <v>0</v>
      </c>
      <c r="N513" s="459">
        <v>0</v>
      </c>
    </row>
    <row r="514" spans="1:14" s="480" customFormat="1" ht="15" hidden="1" customHeight="1">
      <c r="A514" s="1084"/>
      <c r="B514" s="1092"/>
      <c r="C514" s="1084"/>
      <c r="D514" s="1092"/>
      <c r="E514" s="1088"/>
      <c r="F514" s="1089"/>
      <c r="G514" s="520" t="s">
        <v>2</v>
      </c>
      <c r="H514" s="502">
        <f t="shared" si="70"/>
        <v>960000</v>
      </c>
      <c r="I514" s="502">
        <f t="shared" si="71"/>
        <v>960000</v>
      </c>
      <c r="J514" s="502">
        <f>J512+J513</f>
        <v>960000</v>
      </c>
      <c r="K514" s="502">
        <f>K512+K513</f>
        <v>0</v>
      </c>
      <c r="L514" s="502">
        <f t="shared" si="72"/>
        <v>0</v>
      </c>
      <c r="M514" s="502">
        <f>M512+M513</f>
        <v>0</v>
      </c>
      <c r="N514" s="502">
        <f>N512+N513</f>
        <v>0</v>
      </c>
    </row>
    <row r="515" spans="1:14" s="480" customFormat="1" ht="14.45" customHeight="1">
      <c r="A515" s="1099"/>
      <c r="B515" s="1100"/>
      <c r="C515" s="1099"/>
      <c r="D515" s="1100"/>
      <c r="E515" s="1086" t="s">
        <v>1122</v>
      </c>
      <c r="F515" s="1087"/>
      <c r="G515" s="458" t="s">
        <v>0</v>
      </c>
      <c r="H515" s="459">
        <f t="shared" si="70"/>
        <v>0</v>
      </c>
      <c r="I515" s="459">
        <f t="shared" si="71"/>
        <v>0</v>
      </c>
      <c r="J515" s="459">
        <v>0</v>
      </c>
      <c r="K515" s="459">
        <v>0</v>
      </c>
      <c r="L515" s="459">
        <f t="shared" si="72"/>
        <v>0</v>
      </c>
      <c r="M515" s="459">
        <v>0</v>
      </c>
      <c r="N515" s="459">
        <v>0</v>
      </c>
    </row>
    <row r="516" spans="1:14" s="480" customFormat="1" ht="14.45" customHeight="1">
      <c r="A516" s="1084"/>
      <c r="B516" s="1092"/>
      <c r="C516" s="1084"/>
      <c r="D516" s="1092"/>
      <c r="E516" s="1088"/>
      <c r="F516" s="1089"/>
      <c r="G516" s="458" t="s">
        <v>1</v>
      </c>
      <c r="H516" s="459">
        <f t="shared" si="70"/>
        <v>100000</v>
      </c>
      <c r="I516" s="459">
        <f t="shared" si="71"/>
        <v>100000</v>
      </c>
      <c r="J516" s="459">
        <v>100000</v>
      </c>
      <c r="K516" s="459">
        <v>0</v>
      </c>
      <c r="L516" s="459">
        <f t="shared" si="72"/>
        <v>0</v>
      </c>
      <c r="M516" s="459">
        <v>0</v>
      </c>
      <c r="N516" s="459">
        <v>0</v>
      </c>
    </row>
    <row r="517" spans="1:14" s="480" customFormat="1" ht="14.45" customHeight="1">
      <c r="A517" s="1084"/>
      <c r="B517" s="1092"/>
      <c r="C517" s="1084"/>
      <c r="D517" s="1092"/>
      <c r="E517" s="1090"/>
      <c r="F517" s="1091"/>
      <c r="G517" s="458" t="s">
        <v>2</v>
      </c>
      <c r="H517" s="459">
        <f t="shared" si="70"/>
        <v>100000</v>
      </c>
      <c r="I517" s="459">
        <f t="shared" si="71"/>
        <v>100000</v>
      </c>
      <c r="J517" s="459">
        <f>J515+J516</f>
        <v>100000</v>
      </c>
      <c r="K517" s="459">
        <f>K515+K516</f>
        <v>0</v>
      </c>
      <c r="L517" s="459">
        <f t="shared" si="72"/>
        <v>0</v>
      </c>
      <c r="M517" s="459">
        <f>M515+M516</f>
        <v>0</v>
      </c>
      <c r="N517" s="459">
        <f>N515+N516</f>
        <v>0</v>
      </c>
    </row>
    <row r="518" spans="1:14" s="480" customFormat="1" ht="15" hidden="1" customHeight="1">
      <c r="A518" s="1084"/>
      <c r="B518" s="1085"/>
      <c r="C518" s="1084"/>
      <c r="D518" s="1085"/>
      <c r="E518" s="1102" t="s">
        <v>1123</v>
      </c>
      <c r="F518" s="1103"/>
      <c r="G518" s="518" t="s">
        <v>0</v>
      </c>
      <c r="H518" s="519">
        <f t="shared" si="70"/>
        <v>20000</v>
      </c>
      <c r="I518" s="519">
        <f t="shared" si="71"/>
        <v>20000</v>
      </c>
      <c r="J518" s="519">
        <v>20000</v>
      </c>
      <c r="K518" s="519">
        <v>0</v>
      </c>
      <c r="L518" s="519">
        <f t="shared" si="72"/>
        <v>0</v>
      </c>
      <c r="M518" s="519">
        <v>0</v>
      </c>
      <c r="N518" s="519">
        <v>0</v>
      </c>
    </row>
    <row r="519" spans="1:14" s="480" customFormat="1" ht="15" hidden="1" customHeight="1">
      <c r="A519" s="1084"/>
      <c r="B519" s="1092"/>
      <c r="C519" s="1084"/>
      <c r="D519" s="1092"/>
      <c r="E519" s="1088"/>
      <c r="F519" s="1089"/>
      <c r="G519" s="458" t="s">
        <v>1</v>
      </c>
      <c r="H519" s="459">
        <f t="shared" si="70"/>
        <v>0</v>
      </c>
      <c r="I519" s="459">
        <f t="shared" si="71"/>
        <v>0</v>
      </c>
      <c r="J519" s="459">
        <v>0</v>
      </c>
      <c r="K519" s="459">
        <v>0</v>
      </c>
      <c r="L519" s="459">
        <f t="shared" si="72"/>
        <v>0</v>
      </c>
      <c r="M519" s="459">
        <v>0</v>
      </c>
      <c r="N519" s="459">
        <v>0</v>
      </c>
    </row>
    <row r="520" spans="1:14" s="480" customFormat="1" ht="15" hidden="1" customHeight="1">
      <c r="A520" s="1084"/>
      <c r="B520" s="1092"/>
      <c r="C520" s="1084"/>
      <c r="D520" s="1092"/>
      <c r="E520" s="1090"/>
      <c r="F520" s="1091"/>
      <c r="G520" s="458" t="s">
        <v>2</v>
      </c>
      <c r="H520" s="459">
        <f t="shared" si="70"/>
        <v>20000</v>
      </c>
      <c r="I520" s="459">
        <f t="shared" si="71"/>
        <v>20000</v>
      </c>
      <c r="J520" s="459">
        <f>J518+J519</f>
        <v>20000</v>
      </c>
      <c r="K520" s="459">
        <f>K518+K519</f>
        <v>0</v>
      </c>
      <c r="L520" s="459">
        <f t="shared" si="72"/>
        <v>0</v>
      </c>
      <c r="M520" s="459">
        <f>M518+M519</f>
        <v>0</v>
      </c>
      <c r="N520" s="459">
        <f>N518+N519</f>
        <v>0</v>
      </c>
    </row>
    <row r="521" spans="1:14" s="480" customFormat="1" ht="15" hidden="1" customHeight="1">
      <c r="A521" s="1084"/>
      <c r="B521" s="1085"/>
      <c r="C521" s="1084"/>
      <c r="D521" s="1085"/>
      <c r="E521" s="1086" t="s">
        <v>1124</v>
      </c>
      <c r="F521" s="1087"/>
      <c r="G521" s="458" t="s">
        <v>0</v>
      </c>
      <c r="H521" s="459">
        <f t="shared" si="70"/>
        <v>50000</v>
      </c>
      <c r="I521" s="459">
        <f t="shared" si="71"/>
        <v>50000</v>
      </c>
      <c r="J521" s="459">
        <v>0</v>
      </c>
      <c r="K521" s="459">
        <v>50000</v>
      </c>
      <c r="L521" s="459">
        <f t="shared" si="72"/>
        <v>0</v>
      </c>
      <c r="M521" s="459">
        <v>0</v>
      </c>
      <c r="N521" s="459">
        <v>0</v>
      </c>
    </row>
    <row r="522" spans="1:14" s="480" customFormat="1" ht="15" hidden="1" customHeight="1">
      <c r="A522" s="1084"/>
      <c r="B522" s="1092"/>
      <c r="C522" s="1084"/>
      <c r="D522" s="1092"/>
      <c r="E522" s="1088"/>
      <c r="F522" s="1089"/>
      <c r="G522" s="458" t="s">
        <v>1</v>
      </c>
      <c r="H522" s="459">
        <f t="shared" si="70"/>
        <v>0</v>
      </c>
      <c r="I522" s="459">
        <f t="shared" si="71"/>
        <v>0</v>
      </c>
      <c r="J522" s="459">
        <v>0</v>
      </c>
      <c r="K522" s="459">
        <v>0</v>
      </c>
      <c r="L522" s="459">
        <f t="shared" si="72"/>
        <v>0</v>
      </c>
      <c r="M522" s="459">
        <v>0</v>
      </c>
      <c r="N522" s="459">
        <v>0</v>
      </c>
    </row>
    <row r="523" spans="1:14" s="480" customFormat="1" ht="15" hidden="1" customHeight="1">
      <c r="A523" s="1084"/>
      <c r="B523" s="1092"/>
      <c r="C523" s="1084"/>
      <c r="D523" s="1092"/>
      <c r="E523" s="1090"/>
      <c r="F523" s="1091"/>
      <c r="G523" s="458" t="s">
        <v>2</v>
      </c>
      <c r="H523" s="459">
        <f t="shared" si="70"/>
        <v>50000</v>
      </c>
      <c r="I523" s="459">
        <f t="shared" si="71"/>
        <v>50000</v>
      </c>
      <c r="J523" s="459">
        <f>J521+J522</f>
        <v>0</v>
      </c>
      <c r="K523" s="459">
        <f>K521+K522</f>
        <v>50000</v>
      </c>
      <c r="L523" s="459">
        <f t="shared" si="72"/>
        <v>0</v>
      </c>
      <c r="M523" s="459">
        <f>M521+M522</f>
        <v>0</v>
      </c>
      <c r="N523" s="459">
        <f>N521+N522</f>
        <v>0</v>
      </c>
    </row>
    <row r="524" spans="1:14" s="480" customFormat="1" ht="15" hidden="1" customHeight="1">
      <c r="A524" s="1084"/>
      <c r="B524" s="1085"/>
      <c r="C524" s="1084"/>
      <c r="D524" s="1085"/>
      <c r="E524" s="1086" t="s">
        <v>1125</v>
      </c>
      <c r="F524" s="1087"/>
      <c r="G524" s="458" t="s">
        <v>0</v>
      </c>
      <c r="H524" s="459">
        <f t="shared" si="70"/>
        <v>8092</v>
      </c>
      <c r="I524" s="459">
        <f t="shared" si="71"/>
        <v>8092</v>
      </c>
      <c r="J524" s="459">
        <v>8092</v>
      </c>
      <c r="K524" s="459">
        <v>0</v>
      </c>
      <c r="L524" s="459">
        <f t="shared" si="72"/>
        <v>0</v>
      </c>
      <c r="M524" s="459">
        <v>0</v>
      </c>
      <c r="N524" s="459">
        <v>0</v>
      </c>
    </row>
    <row r="525" spans="1:14" s="480" customFormat="1" ht="15" hidden="1" customHeight="1">
      <c r="A525" s="1084"/>
      <c r="B525" s="1092"/>
      <c r="C525" s="1084"/>
      <c r="D525" s="1092"/>
      <c r="E525" s="1088"/>
      <c r="F525" s="1089"/>
      <c r="G525" s="458" t="s">
        <v>1</v>
      </c>
      <c r="H525" s="459">
        <f t="shared" si="70"/>
        <v>0</v>
      </c>
      <c r="I525" s="459">
        <f t="shared" si="71"/>
        <v>0</v>
      </c>
      <c r="J525" s="459">
        <v>0</v>
      </c>
      <c r="K525" s="459">
        <v>0</v>
      </c>
      <c r="L525" s="459">
        <f t="shared" si="72"/>
        <v>0</v>
      </c>
      <c r="M525" s="459">
        <v>0</v>
      </c>
      <c r="N525" s="459">
        <v>0</v>
      </c>
    </row>
    <row r="526" spans="1:14" s="480" customFormat="1" ht="15" hidden="1" customHeight="1">
      <c r="A526" s="1084"/>
      <c r="B526" s="1092"/>
      <c r="C526" s="1084"/>
      <c r="D526" s="1092"/>
      <c r="E526" s="1088"/>
      <c r="F526" s="1089"/>
      <c r="G526" s="520" t="s">
        <v>2</v>
      </c>
      <c r="H526" s="502">
        <f t="shared" si="70"/>
        <v>8092</v>
      </c>
      <c r="I526" s="502">
        <f t="shared" si="71"/>
        <v>8092</v>
      </c>
      <c r="J526" s="502">
        <f>J524+J525</f>
        <v>8092</v>
      </c>
      <c r="K526" s="502">
        <f>K524+K525</f>
        <v>0</v>
      </c>
      <c r="L526" s="502">
        <f t="shared" si="72"/>
        <v>0</v>
      </c>
      <c r="M526" s="502">
        <f>M524+M525</f>
        <v>0</v>
      </c>
      <c r="N526" s="502">
        <f>N524+N525</f>
        <v>0</v>
      </c>
    </row>
    <row r="527" spans="1:14" s="411" customFormat="1" ht="14.45" customHeight="1">
      <c r="A527" s="1104"/>
      <c r="B527" s="1105"/>
      <c r="C527" s="1104"/>
      <c r="D527" s="1105"/>
      <c r="E527" s="1106" t="s">
        <v>1126</v>
      </c>
      <c r="F527" s="1107"/>
      <c r="G527" s="524" t="s">
        <v>0</v>
      </c>
      <c r="H527" s="459">
        <f>I527+L527</f>
        <v>0</v>
      </c>
      <c r="I527" s="459">
        <f>J527+K527</f>
        <v>0</v>
      </c>
      <c r="J527" s="459">
        <v>0</v>
      </c>
      <c r="K527" s="459">
        <v>0</v>
      </c>
      <c r="L527" s="459">
        <f>M527+N527</f>
        <v>0</v>
      </c>
      <c r="M527" s="459">
        <v>0</v>
      </c>
      <c r="N527" s="459">
        <v>0</v>
      </c>
    </row>
    <row r="528" spans="1:14" s="411" customFormat="1" ht="14.45" customHeight="1">
      <c r="A528" s="1104"/>
      <c r="B528" s="1112"/>
      <c r="C528" s="1104"/>
      <c r="D528" s="1112"/>
      <c r="E528" s="1108"/>
      <c r="F528" s="1109"/>
      <c r="G528" s="525" t="s">
        <v>1</v>
      </c>
      <c r="H528" s="459">
        <f t="shared" ref="H528" si="118">I528+L528</f>
        <v>65000</v>
      </c>
      <c r="I528" s="459">
        <f t="shared" ref="I528:I529" si="119">J528+K528</f>
        <v>65000</v>
      </c>
      <c r="J528" s="459">
        <v>0</v>
      </c>
      <c r="K528" s="459">
        <v>65000</v>
      </c>
      <c r="L528" s="459">
        <f t="shared" ref="L528:L529" si="120">M528+N528</f>
        <v>0</v>
      </c>
      <c r="M528" s="459">
        <v>0</v>
      </c>
      <c r="N528" s="459">
        <v>0</v>
      </c>
    </row>
    <row r="529" spans="1:14" s="411" customFormat="1" ht="14.45" customHeight="1">
      <c r="A529" s="1104"/>
      <c r="B529" s="1112"/>
      <c r="C529" s="1113"/>
      <c r="D529" s="1114"/>
      <c r="E529" s="1110"/>
      <c r="F529" s="1111"/>
      <c r="G529" s="525" t="s">
        <v>2</v>
      </c>
      <c r="H529" s="459">
        <f>I529+L529</f>
        <v>65000</v>
      </c>
      <c r="I529" s="459">
        <f t="shared" si="119"/>
        <v>65000</v>
      </c>
      <c r="J529" s="459">
        <f>J527+J528</f>
        <v>0</v>
      </c>
      <c r="K529" s="459">
        <f>K527+K528</f>
        <v>65000</v>
      </c>
      <c r="L529" s="459">
        <f t="shared" si="120"/>
        <v>0</v>
      </c>
      <c r="M529" s="459">
        <f>M527+M528</f>
        <v>0</v>
      </c>
      <c r="N529" s="459">
        <f>N527+N528</f>
        <v>0</v>
      </c>
    </row>
    <row r="530" spans="1:14" s="480" customFormat="1" ht="15" hidden="1" customHeight="1">
      <c r="A530" s="1084"/>
      <c r="B530" s="1085"/>
      <c r="C530" s="1084"/>
      <c r="D530" s="1085"/>
      <c r="E530" s="1102" t="s">
        <v>1127</v>
      </c>
      <c r="F530" s="1103"/>
      <c r="G530" s="518" t="s">
        <v>0</v>
      </c>
      <c r="H530" s="519">
        <f t="shared" si="70"/>
        <v>791425</v>
      </c>
      <c r="I530" s="519">
        <f t="shared" si="71"/>
        <v>791425</v>
      </c>
      <c r="J530" s="519">
        <v>791425</v>
      </c>
      <c r="K530" s="519">
        <v>0</v>
      </c>
      <c r="L530" s="519">
        <f t="shared" si="72"/>
        <v>0</v>
      </c>
      <c r="M530" s="519">
        <v>0</v>
      </c>
      <c r="N530" s="519">
        <v>0</v>
      </c>
    </row>
    <row r="531" spans="1:14" s="480" customFormat="1" ht="15" hidden="1" customHeight="1">
      <c r="A531" s="1084"/>
      <c r="B531" s="1092"/>
      <c r="C531" s="1084"/>
      <c r="D531" s="1092"/>
      <c r="E531" s="1088"/>
      <c r="F531" s="1089"/>
      <c r="G531" s="458" t="s">
        <v>1</v>
      </c>
      <c r="H531" s="459">
        <f t="shared" si="70"/>
        <v>0</v>
      </c>
      <c r="I531" s="459">
        <f t="shared" si="71"/>
        <v>0</v>
      </c>
      <c r="J531" s="459">
        <v>0</v>
      </c>
      <c r="K531" s="459">
        <v>0</v>
      </c>
      <c r="L531" s="459">
        <f t="shared" si="72"/>
        <v>0</v>
      </c>
      <c r="M531" s="459">
        <v>0</v>
      </c>
      <c r="N531" s="459">
        <v>0</v>
      </c>
    </row>
    <row r="532" spans="1:14" s="480" customFormat="1" ht="15" hidden="1" customHeight="1">
      <c r="A532" s="1084"/>
      <c r="B532" s="1092"/>
      <c r="C532" s="1084"/>
      <c r="D532" s="1092"/>
      <c r="E532" s="1090"/>
      <c r="F532" s="1091"/>
      <c r="G532" s="458" t="s">
        <v>2</v>
      </c>
      <c r="H532" s="459">
        <f t="shared" si="70"/>
        <v>791425</v>
      </c>
      <c r="I532" s="459">
        <f t="shared" si="71"/>
        <v>791425</v>
      </c>
      <c r="J532" s="459">
        <f>J530+J531</f>
        <v>791425</v>
      </c>
      <c r="K532" s="459">
        <f>K530+K531</f>
        <v>0</v>
      </c>
      <c r="L532" s="459">
        <f t="shared" si="72"/>
        <v>0</v>
      </c>
      <c r="M532" s="459">
        <f>M530+M531</f>
        <v>0</v>
      </c>
      <c r="N532" s="459">
        <f>N530+N531</f>
        <v>0</v>
      </c>
    </row>
    <row r="533" spans="1:14" s="480" customFormat="1" ht="15" hidden="1" customHeight="1">
      <c r="A533" s="1084"/>
      <c r="B533" s="1085"/>
      <c r="C533" s="1084"/>
      <c r="D533" s="1085"/>
      <c r="E533" s="1086" t="s">
        <v>1128</v>
      </c>
      <c r="F533" s="1087"/>
      <c r="G533" s="458" t="s">
        <v>0</v>
      </c>
      <c r="H533" s="459">
        <f t="shared" si="70"/>
        <v>27000</v>
      </c>
      <c r="I533" s="459">
        <f t="shared" si="71"/>
        <v>27000</v>
      </c>
      <c r="J533" s="459">
        <v>12000</v>
      </c>
      <c r="K533" s="459">
        <v>15000</v>
      </c>
      <c r="L533" s="459">
        <f t="shared" si="72"/>
        <v>0</v>
      </c>
      <c r="M533" s="459">
        <v>0</v>
      </c>
      <c r="N533" s="459">
        <v>0</v>
      </c>
    </row>
    <row r="534" spans="1:14" s="480" customFormat="1" ht="15" hidden="1" customHeight="1">
      <c r="A534" s="1084"/>
      <c r="B534" s="1092"/>
      <c r="C534" s="1084"/>
      <c r="D534" s="1092"/>
      <c r="E534" s="1088"/>
      <c r="F534" s="1089"/>
      <c r="G534" s="458" t="s">
        <v>1</v>
      </c>
      <c r="H534" s="459">
        <f t="shared" si="70"/>
        <v>0</v>
      </c>
      <c r="I534" s="459">
        <f t="shared" si="71"/>
        <v>0</v>
      </c>
      <c r="J534" s="459">
        <v>0</v>
      </c>
      <c r="K534" s="459">
        <v>0</v>
      </c>
      <c r="L534" s="459">
        <f t="shared" si="72"/>
        <v>0</v>
      </c>
      <c r="M534" s="459">
        <v>0</v>
      </c>
      <c r="N534" s="459">
        <v>0</v>
      </c>
    </row>
    <row r="535" spans="1:14" s="480" customFormat="1" ht="15" hidden="1" customHeight="1">
      <c r="A535" s="1084"/>
      <c r="B535" s="1092"/>
      <c r="C535" s="1093"/>
      <c r="D535" s="1094"/>
      <c r="E535" s="1090"/>
      <c r="F535" s="1091"/>
      <c r="G535" s="458" t="s">
        <v>2</v>
      </c>
      <c r="H535" s="459">
        <f t="shared" si="70"/>
        <v>27000</v>
      </c>
      <c r="I535" s="459">
        <f t="shared" si="71"/>
        <v>27000</v>
      </c>
      <c r="J535" s="459">
        <f>J533+J534</f>
        <v>12000</v>
      </c>
      <c r="K535" s="459">
        <f>K533+K534</f>
        <v>15000</v>
      </c>
      <c r="L535" s="459">
        <f t="shared" si="72"/>
        <v>0</v>
      </c>
      <c r="M535" s="459">
        <f>M533+M534</f>
        <v>0</v>
      </c>
      <c r="N535" s="459">
        <f>N533+N534</f>
        <v>0</v>
      </c>
    </row>
    <row r="536" spans="1:14" s="480" customFormat="1" ht="15" hidden="1" customHeight="1">
      <c r="A536" s="1084"/>
      <c r="B536" s="1085"/>
      <c r="C536" s="1099" t="s">
        <v>494</v>
      </c>
      <c r="D536" s="1100"/>
      <c r="E536" s="1086" t="s">
        <v>1129</v>
      </c>
      <c r="F536" s="1087"/>
      <c r="G536" s="458" t="s">
        <v>0</v>
      </c>
      <c r="H536" s="459">
        <f t="shared" si="70"/>
        <v>223000</v>
      </c>
      <c r="I536" s="459">
        <f t="shared" si="71"/>
        <v>223000</v>
      </c>
      <c r="J536" s="459">
        <v>223000</v>
      </c>
      <c r="K536" s="459">
        <v>0</v>
      </c>
      <c r="L536" s="459">
        <f t="shared" si="72"/>
        <v>0</v>
      </c>
      <c r="M536" s="459">
        <v>0</v>
      </c>
      <c r="N536" s="459">
        <v>0</v>
      </c>
    </row>
    <row r="537" spans="1:14" s="480" customFormat="1" ht="15" hidden="1" customHeight="1">
      <c r="A537" s="1084"/>
      <c r="B537" s="1092"/>
      <c r="C537" s="1084"/>
      <c r="D537" s="1092"/>
      <c r="E537" s="1088"/>
      <c r="F537" s="1089"/>
      <c r="G537" s="458" t="s">
        <v>1</v>
      </c>
      <c r="H537" s="459">
        <f t="shared" si="70"/>
        <v>0</v>
      </c>
      <c r="I537" s="459">
        <f t="shared" si="71"/>
        <v>0</v>
      </c>
      <c r="J537" s="459">
        <v>0</v>
      </c>
      <c r="K537" s="459">
        <v>0</v>
      </c>
      <c r="L537" s="459">
        <f t="shared" si="72"/>
        <v>0</v>
      </c>
      <c r="M537" s="459">
        <v>0</v>
      </c>
      <c r="N537" s="459">
        <v>0</v>
      </c>
    </row>
    <row r="538" spans="1:14" s="480" customFormat="1" ht="15" hidden="1" customHeight="1">
      <c r="A538" s="1084"/>
      <c r="B538" s="1092"/>
      <c r="C538" s="1084"/>
      <c r="D538" s="1092"/>
      <c r="E538" s="1088"/>
      <c r="F538" s="1089"/>
      <c r="G538" s="520" t="s">
        <v>2</v>
      </c>
      <c r="H538" s="502">
        <f t="shared" si="70"/>
        <v>223000</v>
      </c>
      <c r="I538" s="502">
        <f t="shared" si="71"/>
        <v>223000</v>
      </c>
      <c r="J538" s="502">
        <f>J536+J537</f>
        <v>223000</v>
      </c>
      <c r="K538" s="502">
        <f>K536+K537</f>
        <v>0</v>
      </c>
      <c r="L538" s="502">
        <f t="shared" si="72"/>
        <v>0</v>
      </c>
      <c r="M538" s="502">
        <f>M536+M537</f>
        <v>0</v>
      </c>
      <c r="N538" s="502">
        <f>N536+N537</f>
        <v>0</v>
      </c>
    </row>
    <row r="539" spans="1:14" s="480" customFormat="1" ht="14.45" customHeight="1">
      <c r="A539" s="1084"/>
      <c r="B539" s="1085"/>
      <c r="C539" s="1099" t="s">
        <v>494</v>
      </c>
      <c r="D539" s="1100"/>
      <c r="E539" s="1086" t="s">
        <v>1130</v>
      </c>
      <c r="F539" s="1087"/>
      <c r="G539" s="458" t="s">
        <v>0</v>
      </c>
      <c r="H539" s="459">
        <f t="shared" si="70"/>
        <v>19300</v>
      </c>
      <c r="I539" s="459">
        <f t="shared" si="71"/>
        <v>19300</v>
      </c>
      <c r="J539" s="459">
        <v>19300</v>
      </c>
      <c r="K539" s="459">
        <v>0</v>
      </c>
      <c r="L539" s="459">
        <f t="shared" si="72"/>
        <v>0</v>
      </c>
      <c r="M539" s="459">
        <v>0</v>
      </c>
      <c r="N539" s="459">
        <v>0</v>
      </c>
    </row>
    <row r="540" spans="1:14" s="480" customFormat="1" ht="14.45" customHeight="1">
      <c r="A540" s="1084"/>
      <c r="B540" s="1092"/>
      <c r="C540" s="1084"/>
      <c r="D540" s="1092"/>
      <c r="E540" s="1088"/>
      <c r="F540" s="1089"/>
      <c r="G540" s="458" t="s">
        <v>1</v>
      </c>
      <c r="H540" s="459">
        <f t="shared" si="70"/>
        <v>23830</v>
      </c>
      <c r="I540" s="459">
        <f t="shared" si="71"/>
        <v>23830</v>
      </c>
      <c r="J540" s="459">
        <v>23830</v>
      </c>
      <c r="K540" s="459">
        <v>0</v>
      </c>
      <c r="L540" s="459">
        <f t="shared" si="72"/>
        <v>0</v>
      </c>
      <c r="M540" s="459">
        <v>0</v>
      </c>
      <c r="N540" s="459">
        <v>0</v>
      </c>
    </row>
    <row r="541" spans="1:14" s="480" customFormat="1" ht="14.45" customHeight="1">
      <c r="A541" s="1084"/>
      <c r="B541" s="1092"/>
      <c r="C541" s="1084"/>
      <c r="D541" s="1092"/>
      <c r="E541" s="1090"/>
      <c r="F541" s="1091"/>
      <c r="G541" s="458" t="s">
        <v>2</v>
      </c>
      <c r="H541" s="459">
        <f t="shared" si="70"/>
        <v>43130</v>
      </c>
      <c r="I541" s="459">
        <f t="shared" si="71"/>
        <v>43130</v>
      </c>
      <c r="J541" s="459">
        <f>J539+J540</f>
        <v>43130</v>
      </c>
      <c r="K541" s="459">
        <f>K539+K540</f>
        <v>0</v>
      </c>
      <c r="L541" s="459">
        <f t="shared" si="72"/>
        <v>0</v>
      </c>
      <c r="M541" s="459">
        <f>M539+M540</f>
        <v>0</v>
      </c>
      <c r="N541" s="459">
        <f>N539+N540</f>
        <v>0</v>
      </c>
    </row>
    <row r="542" spans="1:14" s="480" customFormat="1" ht="15" hidden="1" customHeight="1">
      <c r="A542" s="1084"/>
      <c r="B542" s="1085"/>
      <c r="C542" s="1084"/>
      <c r="D542" s="1085"/>
      <c r="E542" s="1086" t="s">
        <v>1131</v>
      </c>
      <c r="F542" s="1087"/>
      <c r="G542" s="458" t="s">
        <v>0</v>
      </c>
      <c r="H542" s="459">
        <f t="shared" si="70"/>
        <v>183653</v>
      </c>
      <c r="I542" s="459">
        <f t="shared" si="71"/>
        <v>183653</v>
      </c>
      <c r="J542" s="459">
        <v>183653</v>
      </c>
      <c r="K542" s="459">
        <v>0</v>
      </c>
      <c r="L542" s="459">
        <f t="shared" si="72"/>
        <v>0</v>
      </c>
      <c r="M542" s="459">
        <v>0</v>
      </c>
      <c r="N542" s="459">
        <v>0</v>
      </c>
    </row>
    <row r="543" spans="1:14" s="480" customFormat="1" ht="15" hidden="1" customHeight="1">
      <c r="A543" s="1084"/>
      <c r="B543" s="1092"/>
      <c r="C543" s="1084"/>
      <c r="D543" s="1092"/>
      <c r="E543" s="1088"/>
      <c r="F543" s="1089"/>
      <c r="G543" s="458" t="s">
        <v>1</v>
      </c>
      <c r="H543" s="459">
        <f t="shared" si="70"/>
        <v>0</v>
      </c>
      <c r="I543" s="459">
        <f t="shared" si="71"/>
        <v>0</v>
      </c>
      <c r="J543" s="459">
        <v>0</v>
      </c>
      <c r="K543" s="459">
        <v>0</v>
      </c>
      <c r="L543" s="459">
        <f t="shared" si="72"/>
        <v>0</v>
      </c>
      <c r="M543" s="459">
        <v>0</v>
      </c>
      <c r="N543" s="459">
        <v>0</v>
      </c>
    </row>
    <row r="544" spans="1:14" s="480" customFormat="1" ht="15" hidden="1" customHeight="1">
      <c r="A544" s="1084"/>
      <c r="B544" s="1092"/>
      <c r="C544" s="1084"/>
      <c r="D544" s="1092"/>
      <c r="E544" s="1090"/>
      <c r="F544" s="1091"/>
      <c r="G544" s="458" t="s">
        <v>2</v>
      </c>
      <c r="H544" s="459">
        <f t="shared" si="70"/>
        <v>183653</v>
      </c>
      <c r="I544" s="459">
        <f t="shared" si="71"/>
        <v>183653</v>
      </c>
      <c r="J544" s="459">
        <f>J542+J543</f>
        <v>183653</v>
      </c>
      <c r="K544" s="459">
        <f>K542+K543</f>
        <v>0</v>
      </c>
      <c r="L544" s="459">
        <f t="shared" si="72"/>
        <v>0</v>
      </c>
      <c r="M544" s="459">
        <f>M542+M543</f>
        <v>0</v>
      </c>
      <c r="N544" s="459">
        <f>N542+N543</f>
        <v>0</v>
      </c>
    </row>
    <row r="545" spans="1:14" s="480" customFormat="1" ht="15" hidden="1" customHeight="1">
      <c r="A545" s="1084"/>
      <c r="B545" s="1085"/>
      <c r="C545" s="1084"/>
      <c r="D545" s="1085"/>
      <c r="E545" s="1086" t="s">
        <v>1132</v>
      </c>
      <c r="F545" s="1087"/>
      <c r="G545" s="458" t="s">
        <v>0</v>
      </c>
      <c r="H545" s="459">
        <f t="shared" si="70"/>
        <v>64240</v>
      </c>
      <c r="I545" s="459">
        <f t="shared" si="71"/>
        <v>64240</v>
      </c>
      <c r="J545" s="459">
        <v>0</v>
      </c>
      <c r="K545" s="459">
        <v>64240</v>
      </c>
      <c r="L545" s="459">
        <f t="shared" si="72"/>
        <v>0</v>
      </c>
      <c r="M545" s="459">
        <v>0</v>
      </c>
      <c r="N545" s="459">
        <v>0</v>
      </c>
    </row>
    <row r="546" spans="1:14" s="480" customFormat="1" ht="15" hidden="1" customHeight="1">
      <c r="A546" s="1084"/>
      <c r="B546" s="1092"/>
      <c r="C546" s="1084"/>
      <c r="D546" s="1092"/>
      <c r="E546" s="1088"/>
      <c r="F546" s="1089"/>
      <c r="G546" s="458" t="s">
        <v>1</v>
      </c>
      <c r="H546" s="459">
        <f t="shared" si="70"/>
        <v>0</v>
      </c>
      <c r="I546" s="459">
        <f t="shared" si="71"/>
        <v>0</v>
      </c>
      <c r="J546" s="459">
        <v>0</v>
      </c>
      <c r="K546" s="459">
        <v>0</v>
      </c>
      <c r="L546" s="459">
        <f t="shared" si="72"/>
        <v>0</v>
      </c>
      <c r="M546" s="459">
        <v>0</v>
      </c>
      <c r="N546" s="459">
        <v>0</v>
      </c>
    </row>
    <row r="547" spans="1:14" s="480" customFormat="1" ht="15" hidden="1" customHeight="1">
      <c r="A547" s="1084"/>
      <c r="B547" s="1092"/>
      <c r="C547" s="1093"/>
      <c r="D547" s="1094"/>
      <c r="E547" s="1090"/>
      <c r="F547" s="1091"/>
      <c r="G547" s="458" t="s">
        <v>2</v>
      </c>
      <c r="H547" s="459">
        <f t="shared" si="70"/>
        <v>64240</v>
      </c>
      <c r="I547" s="459">
        <f t="shared" si="71"/>
        <v>64240</v>
      </c>
      <c r="J547" s="459">
        <f>J545+J546</f>
        <v>0</v>
      </c>
      <c r="K547" s="459">
        <f>K545+K546</f>
        <v>64240</v>
      </c>
      <c r="L547" s="459">
        <f t="shared" si="72"/>
        <v>0</v>
      </c>
      <c r="M547" s="459">
        <f>M545+M546</f>
        <v>0</v>
      </c>
      <c r="N547" s="459">
        <f>N545+N546</f>
        <v>0</v>
      </c>
    </row>
    <row r="548" spans="1:14" s="480" customFormat="1" ht="15" hidden="1" customHeight="1">
      <c r="A548" s="1084"/>
      <c r="B548" s="1085"/>
      <c r="C548" s="1099" t="s">
        <v>499</v>
      </c>
      <c r="D548" s="1100"/>
      <c r="E548" s="1086" t="s">
        <v>1102</v>
      </c>
      <c r="F548" s="1087"/>
      <c r="G548" s="458" t="s">
        <v>0</v>
      </c>
      <c r="H548" s="459">
        <f t="shared" si="70"/>
        <v>30000</v>
      </c>
      <c r="I548" s="459">
        <f t="shared" si="71"/>
        <v>30000</v>
      </c>
      <c r="J548" s="459">
        <v>0</v>
      </c>
      <c r="K548" s="459">
        <v>30000</v>
      </c>
      <c r="L548" s="459">
        <f t="shared" si="72"/>
        <v>0</v>
      </c>
      <c r="M548" s="459">
        <v>0</v>
      </c>
      <c r="N548" s="459">
        <v>0</v>
      </c>
    </row>
    <row r="549" spans="1:14" s="480" customFormat="1" ht="15" hidden="1" customHeight="1">
      <c r="A549" s="1084"/>
      <c r="B549" s="1092"/>
      <c r="C549" s="1084"/>
      <c r="D549" s="1092"/>
      <c r="E549" s="1088"/>
      <c r="F549" s="1089"/>
      <c r="G549" s="458" t="s">
        <v>1</v>
      </c>
      <c r="H549" s="459">
        <f t="shared" si="70"/>
        <v>0</v>
      </c>
      <c r="I549" s="459">
        <f t="shared" si="71"/>
        <v>0</v>
      </c>
      <c r="J549" s="459">
        <v>0</v>
      </c>
      <c r="K549" s="459">
        <v>0</v>
      </c>
      <c r="L549" s="459">
        <f t="shared" si="72"/>
        <v>0</v>
      </c>
      <c r="M549" s="459">
        <v>0</v>
      </c>
      <c r="N549" s="459">
        <v>0</v>
      </c>
    </row>
    <row r="550" spans="1:14" s="480" customFormat="1" ht="15" hidden="1" customHeight="1">
      <c r="A550" s="1084"/>
      <c r="B550" s="1092"/>
      <c r="C550" s="1084"/>
      <c r="D550" s="1092"/>
      <c r="E550" s="1090"/>
      <c r="F550" s="1091"/>
      <c r="G550" s="458" t="s">
        <v>2</v>
      </c>
      <c r="H550" s="459">
        <f t="shared" si="70"/>
        <v>30000</v>
      </c>
      <c r="I550" s="459">
        <f t="shared" si="71"/>
        <v>30000</v>
      </c>
      <c r="J550" s="459">
        <f>J548+J549</f>
        <v>0</v>
      </c>
      <c r="K550" s="459">
        <f>K548+K549</f>
        <v>30000</v>
      </c>
      <c r="L550" s="459">
        <f t="shared" si="72"/>
        <v>0</v>
      </c>
      <c r="M550" s="459">
        <f>M548+M549</f>
        <v>0</v>
      </c>
      <c r="N550" s="459">
        <f>N548+N549</f>
        <v>0</v>
      </c>
    </row>
    <row r="551" spans="1:14" s="480" customFormat="1" ht="15" hidden="1" customHeight="1">
      <c r="A551" s="1084"/>
      <c r="B551" s="1085"/>
      <c r="C551" s="1084"/>
      <c r="D551" s="1085"/>
      <c r="E551" s="1086" t="s">
        <v>1133</v>
      </c>
      <c r="F551" s="1087"/>
      <c r="G551" s="458" t="s">
        <v>0</v>
      </c>
      <c r="H551" s="459">
        <f>I551+L551</f>
        <v>29800</v>
      </c>
      <c r="I551" s="459">
        <f>J551+K551</f>
        <v>29800</v>
      </c>
      <c r="J551" s="459">
        <v>0</v>
      </c>
      <c r="K551" s="459">
        <v>29800</v>
      </c>
      <c r="L551" s="459">
        <f>M551+N551</f>
        <v>0</v>
      </c>
      <c r="M551" s="459">
        <v>0</v>
      </c>
      <c r="N551" s="459">
        <v>0</v>
      </c>
    </row>
    <row r="552" spans="1:14" s="480" customFormat="1" ht="15" hidden="1" customHeight="1">
      <c r="A552" s="1084"/>
      <c r="B552" s="1092"/>
      <c r="C552" s="1084"/>
      <c r="D552" s="1092"/>
      <c r="E552" s="1088"/>
      <c r="F552" s="1089"/>
      <c r="G552" s="458" t="s">
        <v>1</v>
      </c>
      <c r="H552" s="459">
        <f t="shared" ref="H552:H553" si="121">I552+L552</f>
        <v>0</v>
      </c>
      <c r="I552" s="459">
        <f t="shared" ref="I552:I553" si="122">J552+K552</f>
        <v>0</v>
      </c>
      <c r="J552" s="459">
        <v>0</v>
      </c>
      <c r="K552" s="459">
        <v>0</v>
      </c>
      <c r="L552" s="459">
        <f t="shared" ref="L552:L553" si="123">M552+N552</f>
        <v>0</v>
      </c>
      <c r="M552" s="459">
        <v>0</v>
      </c>
      <c r="N552" s="459">
        <v>0</v>
      </c>
    </row>
    <row r="553" spans="1:14" s="480" customFormat="1" ht="15" hidden="1" customHeight="1">
      <c r="A553" s="1084"/>
      <c r="B553" s="1092"/>
      <c r="C553" s="1084"/>
      <c r="D553" s="1092"/>
      <c r="E553" s="1090"/>
      <c r="F553" s="1091"/>
      <c r="G553" s="458" t="s">
        <v>2</v>
      </c>
      <c r="H553" s="459">
        <f t="shared" si="121"/>
        <v>29800</v>
      </c>
      <c r="I553" s="459">
        <f t="shared" si="122"/>
        <v>29800</v>
      </c>
      <c r="J553" s="459">
        <f>J551+J552</f>
        <v>0</v>
      </c>
      <c r="K553" s="459">
        <f>K551+K552</f>
        <v>29800</v>
      </c>
      <c r="L553" s="459">
        <f t="shared" si="123"/>
        <v>0</v>
      </c>
      <c r="M553" s="459">
        <f>M551+M552</f>
        <v>0</v>
      </c>
      <c r="N553" s="459">
        <f>N551+N552</f>
        <v>0</v>
      </c>
    </row>
    <row r="554" spans="1:14" s="480" customFormat="1" ht="15" hidden="1" customHeight="1">
      <c r="A554" s="1084"/>
      <c r="B554" s="1085"/>
      <c r="C554" s="1084"/>
      <c r="D554" s="1085"/>
      <c r="E554" s="1086" t="s">
        <v>1134</v>
      </c>
      <c r="F554" s="1087"/>
      <c r="G554" s="458" t="s">
        <v>0</v>
      </c>
      <c r="H554" s="459">
        <f>I554+L554</f>
        <v>15000</v>
      </c>
      <c r="I554" s="459">
        <f>J554+K554</f>
        <v>15000</v>
      </c>
      <c r="J554" s="459">
        <v>0</v>
      </c>
      <c r="K554" s="459">
        <v>15000</v>
      </c>
      <c r="L554" s="459">
        <f>M554+N554</f>
        <v>0</v>
      </c>
      <c r="M554" s="459">
        <v>0</v>
      </c>
      <c r="N554" s="459">
        <v>0</v>
      </c>
    </row>
    <row r="555" spans="1:14" s="480" customFormat="1" ht="15" hidden="1" customHeight="1">
      <c r="A555" s="1084"/>
      <c r="B555" s="1092"/>
      <c r="C555" s="1084"/>
      <c r="D555" s="1092"/>
      <c r="E555" s="1088"/>
      <c r="F555" s="1089"/>
      <c r="G555" s="458" t="s">
        <v>1</v>
      </c>
      <c r="H555" s="459">
        <f t="shared" ref="H555:H565" si="124">I555+L555</f>
        <v>0</v>
      </c>
      <c r="I555" s="459">
        <f t="shared" ref="I555:I565" si="125">J555+K555</f>
        <v>0</v>
      </c>
      <c r="J555" s="459">
        <v>0</v>
      </c>
      <c r="K555" s="459">
        <v>0</v>
      </c>
      <c r="L555" s="459">
        <f t="shared" ref="L555:L565" si="126">M555+N555</f>
        <v>0</v>
      </c>
      <c r="M555" s="459">
        <v>0</v>
      </c>
      <c r="N555" s="459">
        <v>0</v>
      </c>
    </row>
    <row r="556" spans="1:14" s="480" customFormat="1" ht="15" hidden="1" customHeight="1">
      <c r="A556" s="1084"/>
      <c r="B556" s="1092"/>
      <c r="C556" s="1084"/>
      <c r="D556" s="1092"/>
      <c r="E556" s="1090"/>
      <c r="F556" s="1091"/>
      <c r="G556" s="458" t="s">
        <v>2</v>
      </c>
      <c r="H556" s="459">
        <f t="shared" si="124"/>
        <v>15000</v>
      </c>
      <c r="I556" s="459">
        <f t="shared" si="125"/>
        <v>15000</v>
      </c>
      <c r="J556" s="459">
        <f>J554+J555</f>
        <v>0</v>
      </c>
      <c r="K556" s="459">
        <f>K554+K555</f>
        <v>15000</v>
      </c>
      <c r="L556" s="459">
        <f t="shared" si="126"/>
        <v>0</v>
      </c>
      <c r="M556" s="459">
        <f>M554+M555</f>
        <v>0</v>
      </c>
      <c r="N556" s="459">
        <f>N554+N555</f>
        <v>0</v>
      </c>
    </row>
    <row r="557" spans="1:14" s="480" customFormat="1" ht="14.65" hidden="1" customHeight="1">
      <c r="A557" s="1084"/>
      <c r="B557" s="1085"/>
      <c r="C557" s="1084"/>
      <c r="D557" s="1085"/>
      <c r="E557" s="1086" t="s">
        <v>1135</v>
      </c>
      <c r="F557" s="1087"/>
      <c r="G557" s="506" t="s">
        <v>0</v>
      </c>
      <c r="H557" s="459">
        <f t="shared" si="124"/>
        <v>10000</v>
      </c>
      <c r="I557" s="459">
        <f t="shared" si="125"/>
        <v>10000</v>
      </c>
      <c r="J557" s="459">
        <v>0</v>
      </c>
      <c r="K557" s="459">
        <v>10000</v>
      </c>
      <c r="L557" s="459">
        <f t="shared" si="126"/>
        <v>0</v>
      </c>
      <c r="M557" s="459">
        <v>0</v>
      </c>
      <c r="N557" s="459">
        <v>0</v>
      </c>
    </row>
    <row r="558" spans="1:14" s="480" customFormat="1" ht="14.65" hidden="1" customHeight="1">
      <c r="A558" s="1084"/>
      <c r="B558" s="1092"/>
      <c r="C558" s="1084"/>
      <c r="D558" s="1092"/>
      <c r="E558" s="1088"/>
      <c r="F558" s="1089"/>
      <c r="G558" s="507" t="s">
        <v>1</v>
      </c>
      <c r="H558" s="459">
        <f t="shared" si="124"/>
        <v>0</v>
      </c>
      <c r="I558" s="459">
        <f t="shared" si="125"/>
        <v>0</v>
      </c>
      <c r="J558" s="459">
        <v>0</v>
      </c>
      <c r="K558" s="459">
        <v>0</v>
      </c>
      <c r="L558" s="459">
        <f t="shared" si="126"/>
        <v>0</v>
      </c>
      <c r="M558" s="459">
        <v>0</v>
      </c>
      <c r="N558" s="459">
        <v>0</v>
      </c>
    </row>
    <row r="559" spans="1:14" s="480" customFormat="1" ht="14.65" hidden="1" customHeight="1">
      <c r="A559" s="1084"/>
      <c r="B559" s="1092"/>
      <c r="C559" s="1084"/>
      <c r="D559" s="1092"/>
      <c r="E559" s="1090"/>
      <c r="F559" s="1091"/>
      <c r="G559" s="507" t="s">
        <v>2</v>
      </c>
      <c r="H559" s="459">
        <f>I559+L559</f>
        <v>10000</v>
      </c>
      <c r="I559" s="459">
        <f t="shared" si="125"/>
        <v>10000</v>
      </c>
      <c r="J559" s="459">
        <f>J557+J558</f>
        <v>0</v>
      </c>
      <c r="K559" s="459">
        <f>K557+K558</f>
        <v>10000</v>
      </c>
      <c r="L559" s="459">
        <f t="shared" si="126"/>
        <v>0</v>
      </c>
      <c r="M559" s="459">
        <f>M557+M558</f>
        <v>0</v>
      </c>
      <c r="N559" s="459">
        <f>N557+N558</f>
        <v>0</v>
      </c>
    </row>
    <row r="560" spans="1:14" s="480" customFormat="1" ht="18" customHeight="1">
      <c r="A560" s="1084"/>
      <c r="B560" s="1085"/>
      <c r="C560" s="1099" t="s">
        <v>499</v>
      </c>
      <c r="D560" s="1100"/>
      <c r="E560" s="1086" t="s">
        <v>1136</v>
      </c>
      <c r="F560" s="1087"/>
      <c r="G560" s="458" t="s">
        <v>0</v>
      </c>
      <c r="H560" s="459">
        <f t="shared" ref="H560:H562" si="127">I560+L560</f>
        <v>0</v>
      </c>
      <c r="I560" s="459">
        <f t="shared" si="125"/>
        <v>0</v>
      </c>
      <c r="J560" s="459">
        <v>0</v>
      </c>
      <c r="K560" s="459">
        <v>0</v>
      </c>
      <c r="L560" s="459">
        <f t="shared" si="126"/>
        <v>0</v>
      </c>
      <c r="M560" s="459">
        <v>0</v>
      </c>
      <c r="N560" s="459">
        <v>0</v>
      </c>
    </row>
    <row r="561" spans="1:14" s="480" customFormat="1" ht="18" customHeight="1">
      <c r="A561" s="1084"/>
      <c r="B561" s="1092"/>
      <c r="C561" s="1084"/>
      <c r="D561" s="1092"/>
      <c r="E561" s="1088"/>
      <c r="F561" s="1089"/>
      <c r="G561" s="458" t="s">
        <v>1</v>
      </c>
      <c r="H561" s="459">
        <f t="shared" si="127"/>
        <v>174603</v>
      </c>
      <c r="I561" s="459">
        <f t="shared" si="125"/>
        <v>174603</v>
      </c>
      <c r="J561" s="459">
        <v>100791</v>
      </c>
      <c r="K561" s="459">
        <v>73812</v>
      </c>
      <c r="L561" s="459">
        <f t="shared" si="126"/>
        <v>0</v>
      </c>
      <c r="M561" s="459">
        <v>0</v>
      </c>
      <c r="N561" s="459">
        <v>0</v>
      </c>
    </row>
    <row r="562" spans="1:14" s="480" customFormat="1" ht="18" customHeight="1">
      <c r="A562" s="1084"/>
      <c r="B562" s="1092"/>
      <c r="C562" s="1084"/>
      <c r="D562" s="1092"/>
      <c r="E562" s="1090"/>
      <c r="F562" s="1091"/>
      <c r="G562" s="458" t="s">
        <v>2</v>
      </c>
      <c r="H562" s="459">
        <f t="shared" si="127"/>
        <v>174603</v>
      </c>
      <c r="I562" s="459">
        <f t="shared" si="125"/>
        <v>174603</v>
      </c>
      <c r="J562" s="459">
        <f>J560+J561</f>
        <v>100791</v>
      </c>
      <c r="K562" s="459">
        <f>K560+K561</f>
        <v>73812</v>
      </c>
      <c r="L562" s="459">
        <f t="shared" si="126"/>
        <v>0</v>
      </c>
      <c r="M562" s="459">
        <f>M560+M561</f>
        <v>0</v>
      </c>
      <c r="N562" s="459">
        <f>N560+N561</f>
        <v>0</v>
      </c>
    </row>
    <row r="563" spans="1:14" s="480" customFormat="1" ht="15" hidden="1" customHeight="1">
      <c r="A563" s="1084"/>
      <c r="B563" s="1085"/>
      <c r="C563" s="1084"/>
      <c r="D563" s="1085"/>
      <c r="E563" s="1086" t="s">
        <v>1137</v>
      </c>
      <c r="F563" s="1087"/>
      <c r="G563" s="458" t="s">
        <v>0</v>
      </c>
      <c r="H563" s="459">
        <f t="shared" si="124"/>
        <v>22246496</v>
      </c>
      <c r="I563" s="459">
        <f t="shared" si="125"/>
        <v>22246496</v>
      </c>
      <c r="J563" s="459">
        <v>22246496</v>
      </c>
      <c r="K563" s="459">
        <v>0</v>
      </c>
      <c r="L563" s="459">
        <f t="shared" si="126"/>
        <v>0</v>
      </c>
      <c r="M563" s="459">
        <v>0</v>
      </c>
      <c r="N563" s="459">
        <v>0</v>
      </c>
    </row>
    <row r="564" spans="1:14" s="480" customFormat="1" ht="15" hidden="1" customHeight="1">
      <c r="A564" s="1084"/>
      <c r="B564" s="1092"/>
      <c r="C564" s="1084"/>
      <c r="D564" s="1092"/>
      <c r="E564" s="1088"/>
      <c r="F564" s="1089"/>
      <c r="G564" s="458" t="s">
        <v>1</v>
      </c>
      <c r="H564" s="459">
        <f t="shared" si="124"/>
        <v>0</v>
      </c>
      <c r="I564" s="459">
        <f t="shared" si="125"/>
        <v>0</v>
      </c>
      <c r="J564" s="459">
        <v>0</v>
      </c>
      <c r="K564" s="459">
        <v>0</v>
      </c>
      <c r="L564" s="459">
        <f t="shared" si="126"/>
        <v>0</v>
      </c>
      <c r="M564" s="459">
        <v>0</v>
      </c>
      <c r="N564" s="459">
        <v>0</v>
      </c>
    </row>
    <row r="565" spans="1:14" s="480" customFormat="1" ht="15" hidden="1" customHeight="1">
      <c r="A565" s="1084"/>
      <c r="B565" s="1092"/>
      <c r="C565" s="1084"/>
      <c r="D565" s="1092"/>
      <c r="E565" s="1090"/>
      <c r="F565" s="1091"/>
      <c r="G565" s="458" t="s">
        <v>2</v>
      </c>
      <c r="H565" s="459">
        <f t="shared" si="124"/>
        <v>22246496</v>
      </c>
      <c r="I565" s="459">
        <f t="shared" si="125"/>
        <v>22246496</v>
      </c>
      <c r="J565" s="459">
        <f>J563+J564</f>
        <v>22246496</v>
      </c>
      <c r="K565" s="459">
        <f>K563+K564</f>
        <v>0</v>
      </c>
      <c r="L565" s="459">
        <f t="shared" si="126"/>
        <v>0</v>
      </c>
      <c r="M565" s="459">
        <f>M563+M564</f>
        <v>0</v>
      </c>
      <c r="N565" s="459">
        <f>N563+N564</f>
        <v>0</v>
      </c>
    </row>
    <row r="566" spans="1:14" s="480" customFormat="1" ht="15" hidden="1" customHeight="1">
      <c r="A566" s="1084"/>
      <c r="B566" s="1085"/>
      <c r="C566" s="1084"/>
      <c r="D566" s="1085"/>
      <c r="E566" s="1086" t="s">
        <v>1138</v>
      </c>
      <c r="F566" s="1087"/>
      <c r="G566" s="458" t="s">
        <v>0</v>
      </c>
      <c r="H566" s="459">
        <f>I566+L566</f>
        <v>42500</v>
      </c>
      <c r="I566" s="459">
        <f>J566+K566</f>
        <v>42500</v>
      </c>
      <c r="J566" s="459">
        <v>0</v>
      </c>
      <c r="K566" s="459">
        <v>42500</v>
      </c>
      <c r="L566" s="459">
        <f>M566+N566</f>
        <v>0</v>
      </c>
      <c r="M566" s="459">
        <v>0</v>
      </c>
      <c r="N566" s="459">
        <v>0</v>
      </c>
    </row>
    <row r="567" spans="1:14" s="480" customFormat="1" ht="15" hidden="1" customHeight="1">
      <c r="A567" s="1084"/>
      <c r="B567" s="1092"/>
      <c r="C567" s="1084"/>
      <c r="D567" s="1092"/>
      <c r="E567" s="1088"/>
      <c r="F567" s="1089"/>
      <c r="G567" s="458" t="s">
        <v>1</v>
      </c>
      <c r="H567" s="459">
        <f t="shared" ref="H567:H568" si="128">I567+L567</f>
        <v>0</v>
      </c>
      <c r="I567" s="459">
        <f t="shared" ref="I567:I568" si="129">J567+K567</f>
        <v>0</v>
      </c>
      <c r="J567" s="459">
        <v>0</v>
      </c>
      <c r="K567" s="459">
        <v>0</v>
      </c>
      <c r="L567" s="459">
        <f t="shared" ref="L567:L568" si="130">M567+N567</f>
        <v>0</v>
      </c>
      <c r="M567" s="459">
        <v>0</v>
      </c>
      <c r="N567" s="459">
        <v>0</v>
      </c>
    </row>
    <row r="568" spans="1:14" s="480" customFormat="1" ht="15" hidden="1" customHeight="1">
      <c r="A568" s="1084"/>
      <c r="B568" s="1092"/>
      <c r="C568" s="1084"/>
      <c r="D568" s="1092"/>
      <c r="E568" s="1090"/>
      <c r="F568" s="1091"/>
      <c r="G568" s="458" t="s">
        <v>2</v>
      </c>
      <c r="H568" s="459">
        <f t="shared" si="128"/>
        <v>42500</v>
      </c>
      <c r="I568" s="459">
        <f t="shared" si="129"/>
        <v>42500</v>
      </c>
      <c r="J568" s="459">
        <f>J566+J567</f>
        <v>0</v>
      </c>
      <c r="K568" s="459">
        <f>K566+K567</f>
        <v>42500</v>
      </c>
      <c r="L568" s="459">
        <f t="shared" si="130"/>
        <v>0</v>
      </c>
      <c r="M568" s="459">
        <f>M566+M567</f>
        <v>0</v>
      </c>
      <c r="N568" s="459">
        <f>N566+N567</f>
        <v>0</v>
      </c>
    </row>
    <row r="569" spans="1:14" s="480" customFormat="1" ht="15" hidden="1" customHeight="1">
      <c r="A569" s="1084"/>
      <c r="B569" s="1085"/>
      <c r="C569" s="1084"/>
      <c r="D569" s="1085"/>
      <c r="E569" s="1086" t="s">
        <v>1139</v>
      </c>
      <c r="F569" s="1087"/>
      <c r="G569" s="458" t="s">
        <v>0</v>
      </c>
      <c r="H569" s="459">
        <f>I569+L569</f>
        <v>120614</v>
      </c>
      <c r="I569" s="459">
        <f>J569+K569</f>
        <v>120614</v>
      </c>
      <c r="J569" s="459">
        <v>120614</v>
      </c>
      <c r="K569" s="459">
        <v>0</v>
      </c>
      <c r="L569" s="459">
        <f>M569+N569</f>
        <v>0</v>
      </c>
      <c r="M569" s="459">
        <v>0</v>
      </c>
      <c r="N569" s="459">
        <v>0</v>
      </c>
    </row>
    <row r="570" spans="1:14" s="480" customFormat="1" ht="15" hidden="1" customHeight="1">
      <c r="A570" s="1084"/>
      <c r="B570" s="1092"/>
      <c r="C570" s="1084"/>
      <c r="D570" s="1092"/>
      <c r="E570" s="1088"/>
      <c r="F570" s="1089"/>
      <c r="G570" s="458" t="s">
        <v>1</v>
      </c>
      <c r="H570" s="459">
        <f t="shared" ref="H570:H571" si="131">I570+L570</f>
        <v>0</v>
      </c>
      <c r="I570" s="459">
        <f t="shared" ref="I570:I571" si="132">J570+K570</f>
        <v>0</v>
      </c>
      <c r="J570" s="459">
        <v>0</v>
      </c>
      <c r="K570" s="459">
        <v>0</v>
      </c>
      <c r="L570" s="459">
        <f t="shared" ref="L570:L571" si="133">M570+N570</f>
        <v>0</v>
      </c>
      <c r="M570" s="459">
        <v>0</v>
      </c>
      <c r="N570" s="459">
        <v>0</v>
      </c>
    </row>
    <row r="571" spans="1:14" s="480" customFormat="1" ht="15" hidden="1" customHeight="1">
      <c r="A571" s="1084"/>
      <c r="B571" s="1092"/>
      <c r="C571" s="1084"/>
      <c r="D571" s="1092"/>
      <c r="E571" s="1090"/>
      <c r="F571" s="1091"/>
      <c r="G571" s="458" t="s">
        <v>2</v>
      </c>
      <c r="H571" s="459">
        <f t="shared" si="131"/>
        <v>120614</v>
      </c>
      <c r="I571" s="459">
        <f t="shared" si="132"/>
        <v>120614</v>
      </c>
      <c r="J571" s="459">
        <f>J569+J570</f>
        <v>120614</v>
      </c>
      <c r="K571" s="459">
        <f>K569+K570</f>
        <v>0</v>
      </c>
      <c r="L571" s="459">
        <f t="shared" si="133"/>
        <v>0</v>
      </c>
      <c r="M571" s="459">
        <f>M569+M570</f>
        <v>0</v>
      </c>
      <c r="N571" s="459">
        <f>N569+N570</f>
        <v>0</v>
      </c>
    </row>
    <row r="572" spans="1:14" s="480" customFormat="1" ht="15" hidden="1" customHeight="1">
      <c r="A572" s="1084"/>
      <c r="B572" s="1085"/>
      <c r="C572" s="1084"/>
      <c r="D572" s="1085"/>
      <c r="E572" s="1086" t="s">
        <v>1140</v>
      </c>
      <c r="F572" s="1087"/>
      <c r="G572" s="458" t="s">
        <v>0</v>
      </c>
      <c r="H572" s="459">
        <f>I572+L572</f>
        <v>85495</v>
      </c>
      <c r="I572" s="459">
        <f>J572+K572</f>
        <v>85495</v>
      </c>
      <c r="J572" s="459">
        <v>50743</v>
      </c>
      <c r="K572" s="459">
        <v>34752</v>
      </c>
      <c r="L572" s="459">
        <f>M572+N572</f>
        <v>0</v>
      </c>
      <c r="M572" s="459">
        <v>0</v>
      </c>
      <c r="N572" s="459">
        <v>0</v>
      </c>
    </row>
    <row r="573" spans="1:14" s="480" customFormat="1" ht="15" hidden="1" customHeight="1">
      <c r="A573" s="1084"/>
      <c r="B573" s="1092"/>
      <c r="C573" s="1084"/>
      <c r="D573" s="1092"/>
      <c r="E573" s="1088"/>
      <c r="F573" s="1089"/>
      <c r="G573" s="458" t="s">
        <v>1</v>
      </c>
      <c r="H573" s="459">
        <f t="shared" ref="H573:H574" si="134">I573+L573</f>
        <v>0</v>
      </c>
      <c r="I573" s="459">
        <f t="shared" ref="I573:I574" si="135">J573+K573</f>
        <v>0</v>
      </c>
      <c r="J573" s="459">
        <v>0</v>
      </c>
      <c r="K573" s="459">
        <v>0</v>
      </c>
      <c r="L573" s="459">
        <f t="shared" ref="L573:L574" si="136">M573+N573</f>
        <v>0</v>
      </c>
      <c r="M573" s="459">
        <v>0</v>
      </c>
      <c r="N573" s="459">
        <v>0</v>
      </c>
    </row>
    <row r="574" spans="1:14" s="480" customFormat="1" ht="15" hidden="1" customHeight="1">
      <c r="A574" s="1084"/>
      <c r="B574" s="1092"/>
      <c r="C574" s="1084"/>
      <c r="D574" s="1092"/>
      <c r="E574" s="1090"/>
      <c r="F574" s="1091"/>
      <c r="G574" s="458" t="s">
        <v>2</v>
      </c>
      <c r="H574" s="459">
        <f t="shared" si="134"/>
        <v>85495</v>
      </c>
      <c r="I574" s="459">
        <f t="shared" si="135"/>
        <v>85495</v>
      </c>
      <c r="J574" s="459">
        <f>J572+J573</f>
        <v>50743</v>
      </c>
      <c r="K574" s="459">
        <f>K572+K573</f>
        <v>34752</v>
      </c>
      <c r="L574" s="459">
        <f t="shared" si="136"/>
        <v>0</v>
      </c>
      <c r="M574" s="459">
        <f>M572+M573</f>
        <v>0</v>
      </c>
      <c r="N574" s="459">
        <f>N572+N573</f>
        <v>0</v>
      </c>
    </row>
    <row r="575" spans="1:14" s="480" customFormat="1" ht="15" hidden="1" customHeight="1">
      <c r="A575" s="1084"/>
      <c r="B575" s="1085"/>
      <c r="C575" s="1084"/>
      <c r="D575" s="1085"/>
      <c r="E575" s="1086" t="s">
        <v>1141</v>
      </c>
      <c r="F575" s="1087"/>
      <c r="G575" s="458" t="s">
        <v>0</v>
      </c>
      <c r="H575" s="459">
        <f>I575+L575</f>
        <v>250000</v>
      </c>
      <c r="I575" s="459">
        <f>J575+K575</f>
        <v>250000</v>
      </c>
      <c r="J575" s="459">
        <v>0</v>
      </c>
      <c r="K575" s="459">
        <v>250000</v>
      </c>
      <c r="L575" s="459">
        <f>M575+N575</f>
        <v>0</v>
      </c>
      <c r="M575" s="459">
        <v>0</v>
      </c>
      <c r="N575" s="459">
        <v>0</v>
      </c>
    </row>
    <row r="576" spans="1:14" s="480" customFormat="1" ht="15" hidden="1" customHeight="1">
      <c r="A576" s="1084"/>
      <c r="B576" s="1092"/>
      <c r="C576" s="1084"/>
      <c r="D576" s="1092"/>
      <c r="E576" s="1088"/>
      <c r="F576" s="1089"/>
      <c r="G576" s="458" t="s">
        <v>1</v>
      </c>
      <c r="H576" s="459">
        <f t="shared" ref="H576:H577" si="137">I576+L576</f>
        <v>0</v>
      </c>
      <c r="I576" s="459">
        <f t="shared" ref="I576:I577" si="138">J576+K576</f>
        <v>0</v>
      </c>
      <c r="J576" s="459">
        <v>0</v>
      </c>
      <c r="K576" s="459">
        <v>0</v>
      </c>
      <c r="L576" s="459">
        <f t="shared" ref="L576:L577" si="139">M576+N576</f>
        <v>0</v>
      </c>
      <c r="M576" s="459">
        <v>0</v>
      </c>
      <c r="N576" s="459">
        <v>0</v>
      </c>
    </row>
    <row r="577" spans="1:14" s="480" customFormat="1" ht="15" hidden="1" customHeight="1">
      <c r="A577" s="1084"/>
      <c r="B577" s="1092"/>
      <c r="C577" s="1084"/>
      <c r="D577" s="1092"/>
      <c r="E577" s="1090"/>
      <c r="F577" s="1091"/>
      <c r="G577" s="458" t="s">
        <v>2</v>
      </c>
      <c r="H577" s="459">
        <f t="shared" si="137"/>
        <v>250000</v>
      </c>
      <c r="I577" s="459">
        <f t="shared" si="138"/>
        <v>250000</v>
      </c>
      <c r="J577" s="459">
        <f>J575+J576</f>
        <v>0</v>
      </c>
      <c r="K577" s="459">
        <f>K575+K576</f>
        <v>250000</v>
      </c>
      <c r="L577" s="459">
        <f t="shared" si="139"/>
        <v>0</v>
      </c>
      <c r="M577" s="459">
        <f>M575+M576</f>
        <v>0</v>
      </c>
      <c r="N577" s="459">
        <f>N575+N576</f>
        <v>0</v>
      </c>
    </row>
    <row r="578" spans="1:14" s="480" customFormat="1" ht="14.45" customHeight="1">
      <c r="A578" s="1084"/>
      <c r="B578" s="1085"/>
      <c r="C578" s="1084"/>
      <c r="D578" s="1085"/>
      <c r="E578" s="1086" t="s">
        <v>1142</v>
      </c>
      <c r="F578" s="1087"/>
      <c r="G578" s="506" t="s">
        <v>0</v>
      </c>
      <c r="H578" s="459">
        <f>I578+L578</f>
        <v>0</v>
      </c>
      <c r="I578" s="459">
        <f>J578+K578</f>
        <v>0</v>
      </c>
      <c r="J578" s="459">
        <v>0</v>
      </c>
      <c r="K578" s="459">
        <v>0</v>
      </c>
      <c r="L578" s="459">
        <f>M578+N578</f>
        <v>0</v>
      </c>
      <c r="M578" s="459">
        <v>0</v>
      </c>
      <c r="N578" s="459">
        <v>0</v>
      </c>
    </row>
    <row r="579" spans="1:14" s="480" customFormat="1" ht="14.45" customHeight="1">
      <c r="A579" s="1084"/>
      <c r="B579" s="1092"/>
      <c r="C579" s="1084"/>
      <c r="D579" s="1092"/>
      <c r="E579" s="1088"/>
      <c r="F579" s="1089"/>
      <c r="G579" s="507" t="s">
        <v>1</v>
      </c>
      <c r="H579" s="459">
        <f t="shared" ref="H579" si="140">I579+L579</f>
        <v>19434</v>
      </c>
      <c r="I579" s="459">
        <f t="shared" ref="I579:I580" si="141">J579+K579</f>
        <v>19434</v>
      </c>
      <c r="J579" s="459">
        <v>0</v>
      </c>
      <c r="K579" s="459">
        <v>19434</v>
      </c>
      <c r="L579" s="459">
        <f t="shared" ref="L579:L580" si="142">M579+N579</f>
        <v>0</v>
      </c>
      <c r="M579" s="459">
        <v>0</v>
      </c>
      <c r="N579" s="459">
        <v>0</v>
      </c>
    </row>
    <row r="580" spans="1:14" s="480" customFormat="1" ht="14.45" customHeight="1">
      <c r="A580" s="1084"/>
      <c r="B580" s="1092"/>
      <c r="C580" s="1084"/>
      <c r="D580" s="1092"/>
      <c r="E580" s="1090"/>
      <c r="F580" s="1091"/>
      <c r="G580" s="507" t="s">
        <v>2</v>
      </c>
      <c r="H580" s="459">
        <f>I580+L580</f>
        <v>19434</v>
      </c>
      <c r="I580" s="459">
        <f t="shared" si="141"/>
        <v>19434</v>
      </c>
      <c r="J580" s="459">
        <f>J578+J579</f>
        <v>0</v>
      </c>
      <c r="K580" s="459">
        <f>K578+K579</f>
        <v>19434</v>
      </c>
      <c r="L580" s="459">
        <f t="shared" si="142"/>
        <v>0</v>
      </c>
      <c r="M580" s="459">
        <f>M578+M579</f>
        <v>0</v>
      </c>
      <c r="N580" s="459">
        <f>N578+N579</f>
        <v>0</v>
      </c>
    </row>
    <row r="581" spans="1:14" s="480" customFormat="1" ht="15" hidden="1" customHeight="1">
      <c r="A581" s="1084"/>
      <c r="B581" s="1085"/>
      <c r="C581" s="1099" t="s">
        <v>503</v>
      </c>
      <c r="D581" s="1100"/>
      <c r="E581" s="1086" t="s">
        <v>1143</v>
      </c>
      <c r="F581" s="1087"/>
      <c r="G581" s="458" t="s">
        <v>0</v>
      </c>
      <c r="H581" s="459">
        <f t="shared" si="70"/>
        <v>100000</v>
      </c>
      <c r="I581" s="459">
        <f t="shared" si="71"/>
        <v>100000</v>
      </c>
      <c r="J581" s="459">
        <v>0</v>
      </c>
      <c r="K581" s="459">
        <v>100000</v>
      </c>
      <c r="L581" s="459">
        <f t="shared" si="72"/>
        <v>0</v>
      </c>
      <c r="M581" s="459">
        <v>0</v>
      </c>
      <c r="N581" s="459">
        <v>0</v>
      </c>
    </row>
    <row r="582" spans="1:14" s="480" customFormat="1" ht="15" hidden="1" customHeight="1">
      <c r="A582" s="1084"/>
      <c r="B582" s="1092"/>
      <c r="C582" s="1084"/>
      <c r="D582" s="1092"/>
      <c r="E582" s="1088"/>
      <c r="F582" s="1089"/>
      <c r="G582" s="458" t="s">
        <v>1</v>
      </c>
      <c r="H582" s="459">
        <f t="shared" si="70"/>
        <v>0</v>
      </c>
      <c r="I582" s="459">
        <f t="shared" si="71"/>
        <v>0</v>
      </c>
      <c r="J582" s="459">
        <v>0</v>
      </c>
      <c r="K582" s="459">
        <v>0</v>
      </c>
      <c r="L582" s="459">
        <f t="shared" si="72"/>
        <v>0</v>
      </c>
      <c r="M582" s="459">
        <v>0</v>
      </c>
      <c r="N582" s="459">
        <v>0</v>
      </c>
    </row>
    <row r="583" spans="1:14" s="480" customFormat="1" ht="15" hidden="1" customHeight="1">
      <c r="A583" s="1084"/>
      <c r="B583" s="1092"/>
      <c r="C583" s="1084"/>
      <c r="D583" s="1092"/>
      <c r="E583" s="1090"/>
      <c r="F583" s="1091"/>
      <c r="G583" s="458" t="s">
        <v>2</v>
      </c>
      <c r="H583" s="459">
        <f t="shared" si="70"/>
        <v>100000</v>
      </c>
      <c r="I583" s="459">
        <f t="shared" si="71"/>
        <v>100000</v>
      </c>
      <c r="J583" s="459">
        <f>J581+J582</f>
        <v>0</v>
      </c>
      <c r="K583" s="459">
        <f>K581+K582</f>
        <v>100000</v>
      </c>
      <c r="L583" s="459">
        <f t="shared" si="72"/>
        <v>0</v>
      </c>
      <c r="M583" s="459">
        <f>M581+M582</f>
        <v>0</v>
      </c>
      <c r="N583" s="459">
        <f>N581+N582</f>
        <v>0</v>
      </c>
    </row>
    <row r="584" spans="1:14" s="480" customFormat="1" ht="15" hidden="1" customHeight="1">
      <c r="A584" s="1084"/>
      <c r="B584" s="1085"/>
      <c r="C584" s="1084"/>
      <c r="D584" s="1085"/>
      <c r="E584" s="1086" t="s">
        <v>1144</v>
      </c>
      <c r="F584" s="1087"/>
      <c r="G584" s="458" t="s">
        <v>0</v>
      </c>
      <c r="H584" s="459">
        <f t="shared" si="70"/>
        <v>1110974</v>
      </c>
      <c r="I584" s="459">
        <f t="shared" si="71"/>
        <v>1110974</v>
      </c>
      <c r="J584" s="459">
        <v>1110974</v>
      </c>
      <c r="K584" s="459">
        <v>0</v>
      </c>
      <c r="L584" s="459">
        <f t="shared" si="72"/>
        <v>0</v>
      </c>
      <c r="M584" s="459">
        <v>0</v>
      </c>
      <c r="N584" s="459">
        <v>0</v>
      </c>
    </row>
    <row r="585" spans="1:14" s="480" customFormat="1" ht="15" hidden="1" customHeight="1">
      <c r="A585" s="1084"/>
      <c r="B585" s="1092"/>
      <c r="C585" s="1084"/>
      <c r="D585" s="1092"/>
      <c r="E585" s="1088"/>
      <c r="F585" s="1089"/>
      <c r="G585" s="458" t="s">
        <v>1</v>
      </c>
      <c r="H585" s="459">
        <f t="shared" si="70"/>
        <v>0</v>
      </c>
      <c r="I585" s="459">
        <f t="shared" si="71"/>
        <v>0</v>
      </c>
      <c r="J585" s="459">
        <v>0</v>
      </c>
      <c r="K585" s="459">
        <v>0</v>
      </c>
      <c r="L585" s="459">
        <f t="shared" si="72"/>
        <v>0</v>
      </c>
      <c r="M585" s="459">
        <v>0</v>
      </c>
      <c r="N585" s="459">
        <v>0</v>
      </c>
    </row>
    <row r="586" spans="1:14" s="480" customFormat="1" ht="15" hidden="1" customHeight="1">
      <c r="A586" s="1084"/>
      <c r="B586" s="1092"/>
      <c r="C586" s="1084"/>
      <c r="D586" s="1092"/>
      <c r="E586" s="1090"/>
      <c r="F586" s="1091"/>
      <c r="G586" s="458" t="s">
        <v>2</v>
      </c>
      <c r="H586" s="459">
        <f t="shared" si="70"/>
        <v>1110974</v>
      </c>
      <c r="I586" s="459">
        <f t="shared" si="71"/>
        <v>1110974</v>
      </c>
      <c r="J586" s="459">
        <f>J584+J585</f>
        <v>1110974</v>
      </c>
      <c r="K586" s="459">
        <f>K584+K585</f>
        <v>0</v>
      </c>
      <c r="L586" s="459">
        <f t="shared" si="72"/>
        <v>0</v>
      </c>
      <c r="M586" s="459">
        <f>M584+M585</f>
        <v>0</v>
      </c>
      <c r="N586" s="459">
        <f>N584+N585</f>
        <v>0</v>
      </c>
    </row>
    <row r="587" spans="1:14" s="480" customFormat="1" ht="15" hidden="1" customHeight="1">
      <c r="A587" s="1084"/>
      <c r="B587" s="1085"/>
      <c r="C587" s="1084"/>
      <c r="D587" s="1085"/>
      <c r="E587" s="1086" t="s">
        <v>1145</v>
      </c>
      <c r="F587" s="1087"/>
      <c r="G587" s="458" t="s">
        <v>0</v>
      </c>
      <c r="H587" s="459">
        <f t="shared" si="70"/>
        <v>238900</v>
      </c>
      <c r="I587" s="459">
        <f t="shared" si="71"/>
        <v>238900</v>
      </c>
      <c r="J587" s="459">
        <v>0</v>
      </c>
      <c r="K587" s="459">
        <v>238900</v>
      </c>
      <c r="L587" s="459">
        <f t="shared" si="72"/>
        <v>0</v>
      </c>
      <c r="M587" s="459">
        <v>0</v>
      </c>
      <c r="N587" s="459">
        <v>0</v>
      </c>
    </row>
    <row r="588" spans="1:14" s="480" customFormat="1" ht="15" hidden="1" customHeight="1">
      <c r="A588" s="1084"/>
      <c r="B588" s="1092"/>
      <c r="C588" s="1084"/>
      <c r="D588" s="1092"/>
      <c r="E588" s="1088"/>
      <c r="F588" s="1089"/>
      <c r="G588" s="458" t="s">
        <v>1</v>
      </c>
      <c r="H588" s="459">
        <f t="shared" si="70"/>
        <v>0</v>
      </c>
      <c r="I588" s="459">
        <f t="shared" si="71"/>
        <v>0</v>
      </c>
      <c r="J588" s="459">
        <v>0</v>
      </c>
      <c r="K588" s="459">
        <v>0</v>
      </c>
      <c r="L588" s="459">
        <f t="shared" si="72"/>
        <v>0</v>
      </c>
      <c r="M588" s="459">
        <v>0</v>
      </c>
      <c r="N588" s="459">
        <v>0</v>
      </c>
    </row>
    <row r="589" spans="1:14" s="480" customFormat="1" ht="15" hidden="1" customHeight="1">
      <c r="A589" s="1084"/>
      <c r="B589" s="1092"/>
      <c r="C589" s="1084"/>
      <c r="D589" s="1092"/>
      <c r="E589" s="1090"/>
      <c r="F589" s="1091"/>
      <c r="G589" s="458" t="s">
        <v>2</v>
      </c>
      <c r="H589" s="459">
        <f t="shared" si="70"/>
        <v>238900</v>
      </c>
      <c r="I589" s="459">
        <f t="shared" si="71"/>
        <v>238900</v>
      </c>
      <c r="J589" s="459">
        <f>J587+J588</f>
        <v>0</v>
      </c>
      <c r="K589" s="459">
        <f>K587+K588</f>
        <v>238900</v>
      </c>
      <c r="L589" s="459">
        <f t="shared" si="72"/>
        <v>0</v>
      </c>
      <c r="M589" s="459">
        <f>M587+M588</f>
        <v>0</v>
      </c>
      <c r="N589" s="459">
        <f>N587+N588</f>
        <v>0</v>
      </c>
    </row>
    <row r="590" spans="1:14" s="480" customFormat="1" ht="15" hidden="1" customHeight="1">
      <c r="A590" s="1084"/>
      <c r="B590" s="1085"/>
      <c r="C590" s="1084"/>
      <c r="D590" s="1085"/>
      <c r="E590" s="1086" t="s">
        <v>1146</v>
      </c>
      <c r="F590" s="1087"/>
      <c r="G590" s="458" t="s">
        <v>0</v>
      </c>
      <c r="H590" s="459">
        <f t="shared" si="70"/>
        <v>71800</v>
      </c>
      <c r="I590" s="459">
        <f t="shared" si="71"/>
        <v>71800</v>
      </c>
      <c r="J590" s="459">
        <v>68700</v>
      </c>
      <c r="K590" s="459">
        <v>3100</v>
      </c>
      <c r="L590" s="459">
        <f t="shared" si="72"/>
        <v>0</v>
      </c>
      <c r="M590" s="459">
        <v>0</v>
      </c>
      <c r="N590" s="459">
        <v>0</v>
      </c>
    </row>
    <row r="591" spans="1:14" s="480" customFormat="1" ht="15" hidden="1" customHeight="1">
      <c r="A591" s="1084"/>
      <c r="B591" s="1092"/>
      <c r="C591" s="1084"/>
      <c r="D591" s="1092"/>
      <c r="E591" s="1088"/>
      <c r="F591" s="1089"/>
      <c r="G591" s="458" t="s">
        <v>1</v>
      </c>
      <c r="H591" s="459">
        <f t="shared" si="70"/>
        <v>0</v>
      </c>
      <c r="I591" s="459">
        <f t="shared" si="71"/>
        <v>0</v>
      </c>
      <c r="J591" s="459">
        <v>0</v>
      </c>
      <c r="K591" s="459">
        <v>0</v>
      </c>
      <c r="L591" s="459">
        <f t="shared" si="72"/>
        <v>0</v>
      </c>
      <c r="M591" s="459">
        <v>0</v>
      </c>
      <c r="N591" s="459">
        <v>0</v>
      </c>
    </row>
    <row r="592" spans="1:14" s="480" customFormat="1" ht="15" hidden="1" customHeight="1">
      <c r="A592" s="1084"/>
      <c r="B592" s="1092"/>
      <c r="C592" s="1084"/>
      <c r="D592" s="1092"/>
      <c r="E592" s="1090"/>
      <c r="F592" s="1091"/>
      <c r="G592" s="458" t="s">
        <v>2</v>
      </c>
      <c r="H592" s="459">
        <f t="shared" si="70"/>
        <v>71800</v>
      </c>
      <c r="I592" s="459">
        <f t="shared" si="71"/>
        <v>71800</v>
      </c>
      <c r="J592" s="459">
        <f>J590+J591</f>
        <v>68700</v>
      </c>
      <c r="K592" s="459">
        <f>K590+K591</f>
        <v>3100</v>
      </c>
      <c r="L592" s="459">
        <f t="shared" si="72"/>
        <v>0</v>
      </c>
      <c r="M592" s="459">
        <f>M590+M591</f>
        <v>0</v>
      </c>
      <c r="N592" s="459">
        <f>N590+N591</f>
        <v>0</v>
      </c>
    </row>
    <row r="593" spans="1:14" s="480" customFormat="1" ht="14.45" customHeight="1">
      <c r="A593" s="1084"/>
      <c r="B593" s="1085"/>
      <c r="C593" s="1099" t="s">
        <v>503</v>
      </c>
      <c r="D593" s="1100"/>
      <c r="E593" s="1086" t="s">
        <v>1147</v>
      </c>
      <c r="F593" s="1087"/>
      <c r="G593" s="458" t="s">
        <v>0</v>
      </c>
      <c r="H593" s="459">
        <f t="shared" si="70"/>
        <v>0</v>
      </c>
      <c r="I593" s="459">
        <f t="shared" si="71"/>
        <v>0</v>
      </c>
      <c r="J593" s="459">
        <v>0</v>
      </c>
      <c r="K593" s="459">
        <v>0</v>
      </c>
      <c r="L593" s="459">
        <f t="shared" si="72"/>
        <v>0</v>
      </c>
      <c r="M593" s="459">
        <v>0</v>
      </c>
      <c r="N593" s="459">
        <v>0</v>
      </c>
    </row>
    <row r="594" spans="1:14" s="480" customFormat="1" ht="14.45" customHeight="1">
      <c r="A594" s="1084"/>
      <c r="B594" s="1092"/>
      <c r="C594" s="1084"/>
      <c r="D594" s="1092"/>
      <c r="E594" s="1088"/>
      <c r="F594" s="1089"/>
      <c r="G594" s="458" t="s">
        <v>1</v>
      </c>
      <c r="H594" s="459">
        <f t="shared" si="70"/>
        <v>46330</v>
      </c>
      <c r="I594" s="459">
        <f t="shared" si="71"/>
        <v>46330</v>
      </c>
      <c r="J594" s="459">
        <v>46330</v>
      </c>
      <c r="K594" s="459">
        <v>0</v>
      </c>
      <c r="L594" s="459">
        <f t="shared" si="72"/>
        <v>0</v>
      </c>
      <c r="M594" s="459">
        <v>0</v>
      </c>
      <c r="N594" s="459">
        <v>0</v>
      </c>
    </row>
    <row r="595" spans="1:14" s="480" customFormat="1" ht="14.45" customHeight="1">
      <c r="A595" s="1084"/>
      <c r="B595" s="1092"/>
      <c r="C595" s="1084"/>
      <c r="D595" s="1092"/>
      <c r="E595" s="1090"/>
      <c r="F595" s="1091"/>
      <c r="G595" s="458" t="s">
        <v>2</v>
      </c>
      <c r="H595" s="459">
        <f t="shared" si="70"/>
        <v>46330</v>
      </c>
      <c r="I595" s="459">
        <f t="shared" si="71"/>
        <v>46330</v>
      </c>
      <c r="J595" s="459">
        <f>J593+J594</f>
        <v>46330</v>
      </c>
      <c r="K595" s="459">
        <f>K593+K594</f>
        <v>0</v>
      </c>
      <c r="L595" s="459">
        <f t="shared" si="72"/>
        <v>0</v>
      </c>
      <c r="M595" s="459">
        <f>M593+M594</f>
        <v>0</v>
      </c>
      <c r="N595" s="459">
        <f>N593+N594</f>
        <v>0</v>
      </c>
    </row>
    <row r="596" spans="1:14" s="480" customFormat="1" ht="15" hidden="1" customHeight="1">
      <c r="A596" s="1084"/>
      <c r="B596" s="1085"/>
      <c r="C596" s="1084"/>
      <c r="D596" s="1085"/>
      <c r="E596" s="1086" t="s">
        <v>1148</v>
      </c>
      <c r="F596" s="1087"/>
      <c r="G596" s="458" t="s">
        <v>0</v>
      </c>
      <c r="H596" s="459">
        <f>I596+L596</f>
        <v>190000</v>
      </c>
      <c r="I596" s="459">
        <f>J596+K596</f>
        <v>190000</v>
      </c>
      <c r="J596" s="459">
        <v>190000</v>
      </c>
      <c r="K596" s="459">
        <v>0</v>
      </c>
      <c r="L596" s="459">
        <f>M596+N596</f>
        <v>0</v>
      </c>
      <c r="M596" s="459">
        <v>0</v>
      </c>
      <c r="N596" s="459">
        <v>0</v>
      </c>
    </row>
    <row r="597" spans="1:14" s="480" customFormat="1" ht="15" hidden="1" customHeight="1">
      <c r="A597" s="1084"/>
      <c r="B597" s="1092"/>
      <c r="C597" s="1084"/>
      <c r="D597" s="1092"/>
      <c r="E597" s="1088"/>
      <c r="F597" s="1089"/>
      <c r="G597" s="458" t="s">
        <v>1</v>
      </c>
      <c r="H597" s="459">
        <f t="shared" ref="H597:H598" si="143">I597+L597</f>
        <v>0</v>
      </c>
      <c r="I597" s="459">
        <f t="shared" ref="I597:I598" si="144">J597+K597</f>
        <v>0</v>
      </c>
      <c r="J597" s="459">
        <v>0</v>
      </c>
      <c r="K597" s="459">
        <v>0</v>
      </c>
      <c r="L597" s="459">
        <f t="shared" ref="L597:L598" si="145">M597+N597</f>
        <v>0</v>
      </c>
      <c r="M597" s="459">
        <v>0</v>
      </c>
      <c r="N597" s="459">
        <v>0</v>
      </c>
    </row>
    <row r="598" spans="1:14" s="480" customFormat="1" ht="15" hidden="1" customHeight="1">
      <c r="A598" s="1084"/>
      <c r="B598" s="1092"/>
      <c r="C598" s="1084"/>
      <c r="D598" s="1092"/>
      <c r="E598" s="1090"/>
      <c r="F598" s="1091"/>
      <c r="G598" s="458" t="s">
        <v>2</v>
      </c>
      <c r="H598" s="459">
        <f t="shared" si="143"/>
        <v>190000</v>
      </c>
      <c r="I598" s="459">
        <f t="shared" si="144"/>
        <v>190000</v>
      </c>
      <c r="J598" s="459">
        <f>J596+J597</f>
        <v>190000</v>
      </c>
      <c r="K598" s="459">
        <f>K596+K597</f>
        <v>0</v>
      </c>
      <c r="L598" s="459">
        <f t="shared" si="145"/>
        <v>0</v>
      </c>
      <c r="M598" s="459">
        <f>M596+M597</f>
        <v>0</v>
      </c>
      <c r="N598" s="459">
        <f>N596+N597</f>
        <v>0</v>
      </c>
    </row>
    <row r="599" spans="1:14" s="480" customFormat="1" ht="15" hidden="1" customHeight="1">
      <c r="A599" s="1084"/>
      <c r="B599" s="1085"/>
      <c r="C599" s="1084"/>
      <c r="D599" s="1085"/>
      <c r="E599" s="1086" t="s">
        <v>1149</v>
      </c>
      <c r="F599" s="1087"/>
      <c r="G599" s="458" t="s">
        <v>0</v>
      </c>
      <c r="H599" s="459">
        <f>I599+L599</f>
        <v>401625</v>
      </c>
      <c r="I599" s="459">
        <f>J599+K599</f>
        <v>401625</v>
      </c>
      <c r="J599" s="459">
        <v>401625</v>
      </c>
      <c r="K599" s="459">
        <v>0</v>
      </c>
      <c r="L599" s="459">
        <f>M599+N599</f>
        <v>0</v>
      </c>
      <c r="M599" s="459">
        <v>0</v>
      </c>
      <c r="N599" s="459">
        <v>0</v>
      </c>
    </row>
    <row r="600" spans="1:14" s="480" customFormat="1" ht="15" hidden="1" customHeight="1">
      <c r="A600" s="1084"/>
      <c r="B600" s="1092"/>
      <c r="C600" s="1084"/>
      <c r="D600" s="1092"/>
      <c r="E600" s="1088"/>
      <c r="F600" s="1089"/>
      <c r="G600" s="458" t="s">
        <v>1</v>
      </c>
      <c r="H600" s="459">
        <f t="shared" ref="H600:H601" si="146">I600+L600</f>
        <v>0</v>
      </c>
      <c r="I600" s="459">
        <f t="shared" ref="I600:I601" si="147">J600+K600</f>
        <v>0</v>
      </c>
      <c r="J600" s="459">
        <v>0</v>
      </c>
      <c r="K600" s="459">
        <v>0</v>
      </c>
      <c r="L600" s="459">
        <f t="shared" ref="L600:L601" si="148">M600+N600</f>
        <v>0</v>
      </c>
      <c r="M600" s="459">
        <v>0</v>
      </c>
      <c r="N600" s="459">
        <v>0</v>
      </c>
    </row>
    <row r="601" spans="1:14" s="480" customFormat="1" ht="15" hidden="1" customHeight="1">
      <c r="A601" s="1084"/>
      <c r="B601" s="1092"/>
      <c r="C601" s="1084"/>
      <c r="D601" s="1092"/>
      <c r="E601" s="1090"/>
      <c r="F601" s="1091"/>
      <c r="G601" s="458" t="s">
        <v>2</v>
      </c>
      <c r="H601" s="459">
        <f t="shared" si="146"/>
        <v>401625</v>
      </c>
      <c r="I601" s="459">
        <f t="shared" si="147"/>
        <v>401625</v>
      </c>
      <c r="J601" s="459">
        <f>J599+J600</f>
        <v>401625</v>
      </c>
      <c r="K601" s="459">
        <f>K599+K600</f>
        <v>0</v>
      </c>
      <c r="L601" s="459">
        <f t="shared" si="148"/>
        <v>0</v>
      </c>
      <c r="M601" s="459">
        <f>M599+M600</f>
        <v>0</v>
      </c>
      <c r="N601" s="459">
        <f>N599+N600</f>
        <v>0</v>
      </c>
    </row>
    <row r="602" spans="1:14" s="480" customFormat="1" ht="15" hidden="1" customHeight="1">
      <c r="A602" s="1084"/>
      <c r="B602" s="1085"/>
      <c r="C602" s="1084"/>
      <c r="D602" s="1085"/>
      <c r="E602" s="1086" t="s">
        <v>1150</v>
      </c>
      <c r="F602" s="1087"/>
      <c r="G602" s="458" t="s">
        <v>0</v>
      </c>
      <c r="H602" s="459">
        <f>I602+L602</f>
        <v>67500</v>
      </c>
      <c r="I602" s="459">
        <f>J602+K602</f>
        <v>67500</v>
      </c>
      <c r="J602" s="459">
        <v>67500</v>
      </c>
      <c r="K602" s="459">
        <v>0</v>
      </c>
      <c r="L602" s="459">
        <f>M602+N602</f>
        <v>0</v>
      </c>
      <c r="M602" s="459">
        <v>0</v>
      </c>
      <c r="N602" s="459">
        <v>0</v>
      </c>
    </row>
    <row r="603" spans="1:14" s="480" customFormat="1" ht="15" hidden="1" customHeight="1">
      <c r="A603" s="1084"/>
      <c r="B603" s="1092"/>
      <c r="C603" s="1084"/>
      <c r="D603" s="1092"/>
      <c r="E603" s="1088"/>
      <c r="F603" s="1089"/>
      <c r="G603" s="458" t="s">
        <v>1</v>
      </c>
      <c r="H603" s="459">
        <f t="shared" ref="H603:H604" si="149">I603+L603</f>
        <v>0</v>
      </c>
      <c r="I603" s="459">
        <f t="shared" ref="I603:I604" si="150">J603+K603</f>
        <v>0</v>
      </c>
      <c r="J603" s="459">
        <v>0</v>
      </c>
      <c r="K603" s="459">
        <v>0</v>
      </c>
      <c r="L603" s="459">
        <f t="shared" ref="L603:L604" si="151">M603+N603</f>
        <v>0</v>
      </c>
      <c r="M603" s="459">
        <v>0</v>
      </c>
      <c r="N603" s="459">
        <v>0</v>
      </c>
    </row>
    <row r="604" spans="1:14" s="480" customFormat="1" ht="15" hidden="1" customHeight="1">
      <c r="A604" s="1084"/>
      <c r="B604" s="1092"/>
      <c r="C604" s="1084"/>
      <c r="D604" s="1092"/>
      <c r="E604" s="1090"/>
      <c r="F604" s="1091"/>
      <c r="G604" s="458" t="s">
        <v>2</v>
      </c>
      <c r="H604" s="459">
        <f t="shared" si="149"/>
        <v>67500</v>
      </c>
      <c r="I604" s="459">
        <f t="shared" si="150"/>
        <v>67500</v>
      </c>
      <c r="J604" s="459">
        <f>J602+J603</f>
        <v>67500</v>
      </c>
      <c r="K604" s="459">
        <f>K602+K603</f>
        <v>0</v>
      </c>
      <c r="L604" s="459">
        <f t="shared" si="151"/>
        <v>0</v>
      </c>
      <c r="M604" s="459">
        <f>M602+M603</f>
        <v>0</v>
      </c>
      <c r="N604" s="459">
        <f>N602+N603</f>
        <v>0</v>
      </c>
    </row>
    <row r="605" spans="1:14" s="480" customFormat="1" ht="15" hidden="1" customHeight="1">
      <c r="A605" s="1084"/>
      <c r="B605" s="1085"/>
      <c r="C605" s="1084"/>
      <c r="D605" s="1085"/>
      <c r="E605" s="1086" t="s">
        <v>1151</v>
      </c>
      <c r="F605" s="1087"/>
      <c r="G605" s="458" t="s">
        <v>0</v>
      </c>
      <c r="H605" s="459">
        <f>I605+L605</f>
        <v>150000</v>
      </c>
      <c r="I605" s="459">
        <f>J605+K605</f>
        <v>150000</v>
      </c>
      <c r="J605" s="459">
        <v>150000</v>
      </c>
      <c r="K605" s="459">
        <v>0</v>
      </c>
      <c r="L605" s="459">
        <f>M605+N605</f>
        <v>0</v>
      </c>
      <c r="M605" s="459">
        <v>0</v>
      </c>
      <c r="N605" s="459">
        <v>0</v>
      </c>
    </row>
    <row r="606" spans="1:14" s="480" customFormat="1" ht="15" hidden="1" customHeight="1">
      <c r="A606" s="1084"/>
      <c r="B606" s="1092"/>
      <c r="C606" s="1084"/>
      <c r="D606" s="1092"/>
      <c r="E606" s="1088"/>
      <c r="F606" s="1089"/>
      <c r="G606" s="458" t="s">
        <v>1</v>
      </c>
      <c r="H606" s="459">
        <f t="shared" ref="H606:H607" si="152">I606+L606</f>
        <v>0</v>
      </c>
      <c r="I606" s="459">
        <f t="shared" ref="I606:I607" si="153">J606+K606</f>
        <v>0</v>
      </c>
      <c r="J606" s="459">
        <v>0</v>
      </c>
      <c r="K606" s="459">
        <v>0</v>
      </c>
      <c r="L606" s="459">
        <f t="shared" ref="L606:L607" si="154">M606+N606</f>
        <v>0</v>
      </c>
      <c r="M606" s="459">
        <v>0</v>
      </c>
      <c r="N606" s="459">
        <v>0</v>
      </c>
    </row>
    <row r="607" spans="1:14" s="480" customFormat="1" ht="15" hidden="1" customHeight="1">
      <c r="A607" s="1084"/>
      <c r="B607" s="1092"/>
      <c r="C607" s="1084"/>
      <c r="D607" s="1092"/>
      <c r="E607" s="1090"/>
      <c r="F607" s="1091"/>
      <c r="G607" s="458" t="s">
        <v>2</v>
      </c>
      <c r="H607" s="459">
        <f t="shared" si="152"/>
        <v>150000</v>
      </c>
      <c r="I607" s="459">
        <f t="shared" si="153"/>
        <v>150000</v>
      </c>
      <c r="J607" s="459">
        <f>J605+J606</f>
        <v>150000</v>
      </c>
      <c r="K607" s="459">
        <f>K605+K606</f>
        <v>0</v>
      </c>
      <c r="L607" s="459">
        <f t="shared" si="154"/>
        <v>0</v>
      </c>
      <c r="M607" s="459">
        <f>M605+M606</f>
        <v>0</v>
      </c>
      <c r="N607" s="459">
        <f>N605+N606</f>
        <v>0</v>
      </c>
    </row>
    <row r="608" spans="1:14" s="480" customFormat="1" ht="15" hidden="1" customHeight="1">
      <c r="A608" s="1084"/>
      <c r="B608" s="1085"/>
      <c r="C608" s="1084"/>
      <c r="D608" s="1085"/>
      <c r="E608" s="1086" t="s">
        <v>1152</v>
      </c>
      <c r="F608" s="1087"/>
      <c r="G608" s="458" t="s">
        <v>0</v>
      </c>
      <c r="H608" s="459">
        <f>I608+L608</f>
        <v>55000</v>
      </c>
      <c r="I608" s="459">
        <f>J608+K608</f>
        <v>55000</v>
      </c>
      <c r="J608" s="459">
        <v>55000</v>
      </c>
      <c r="K608" s="459">
        <v>0</v>
      </c>
      <c r="L608" s="459">
        <f>M608+N608</f>
        <v>0</v>
      </c>
      <c r="M608" s="459">
        <v>0</v>
      </c>
      <c r="N608" s="459">
        <v>0</v>
      </c>
    </row>
    <row r="609" spans="1:14" s="480" customFormat="1" ht="15" hidden="1" customHeight="1">
      <c r="A609" s="1084"/>
      <c r="B609" s="1092"/>
      <c r="C609" s="1084"/>
      <c r="D609" s="1092"/>
      <c r="E609" s="1088"/>
      <c r="F609" s="1089"/>
      <c r="G609" s="458" t="s">
        <v>1</v>
      </c>
      <c r="H609" s="459">
        <f t="shared" ref="H609:H610" si="155">I609+L609</f>
        <v>0</v>
      </c>
      <c r="I609" s="459">
        <f t="shared" ref="I609:I610" si="156">J609+K609</f>
        <v>0</v>
      </c>
      <c r="J609" s="459">
        <v>0</v>
      </c>
      <c r="K609" s="459">
        <v>0</v>
      </c>
      <c r="L609" s="459">
        <f t="shared" ref="L609:L610" si="157">M609+N609</f>
        <v>0</v>
      </c>
      <c r="M609" s="459">
        <v>0</v>
      </c>
      <c r="N609" s="459">
        <v>0</v>
      </c>
    </row>
    <row r="610" spans="1:14" s="480" customFormat="1" ht="15" hidden="1" customHeight="1">
      <c r="A610" s="1084"/>
      <c r="B610" s="1092"/>
      <c r="C610" s="1093"/>
      <c r="D610" s="1094"/>
      <c r="E610" s="1090"/>
      <c r="F610" s="1091"/>
      <c r="G610" s="458" t="s">
        <v>2</v>
      </c>
      <c r="H610" s="459">
        <f t="shared" si="155"/>
        <v>55000</v>
      </c>
      <c r="I610" s="459">
        <f t="shared" si="156"/>
        <v>55000</v>
      </c>
      <c r="J610" s="459">
        <f>J608+J609</f>
        <v>55000</v>
      </c>
      <c r="K610" s="459">
        <f>K608+K609</f>
        <v>0</v>
      </c>
      <c r="L610" s="459">
        <f t="shared" si="157"/>
        <v>0</v>
      </c>
      <c r="M610" s="459">
        <f>M608+M609</f>
        <v>0</v>
      </c>
      <c r="N610" s="459">
        <f>N608+N609</f>
        <v>0</v>
      </c>
    </row>
    <row r="611" spans="1:14" s="407" customFormat="1" ht="15" hidden="1" customHeight="1">
      <c r="A611" s="1095"/>
      <c r="B611" s="1096"/>
      <c r="C611" s="1097" t="s">
        <v>1153</v>
      </c>
      <c r="D611" s="1098"/>
      <c r="E611" s="1086" t="s">
        <v>1154</v>
      </c>
      <c r="F611" s="1087"/>
      <c r="G611" s="458" t="s">
        <v>0</v>
      </c>
      <c r="H611" s="459">
        <f t="shared" si="70"/>
        <v>1845000</v>
      </c>
      <c r="I611" s="459">
        <f t="shared" si="71"/>
        <v>571470</v>
      </c>
      <c r="J611" s="459">
        <v>0</v>
      </c>
      <c r="K611" s="459">
        <v>571470</v>
      </c>
      <c r="L611" s="459">
        <f t="shared" si="72"/>
        <v>1273530</v>
      </c>
      <c r="M611" s="459">
        <v>0</v>
      </c>
      <c r="N611" s="459">
        <v>1273530</v>
      </c>
    </row>
    <row r="612" spans="1:14" s="407" customFormat="1" ht="15" hidden="1" customHeight="1">
      <c r="A612" s="1095"/>
      <c r="B612" s="1092"/>
      <c r="C612" s="1095"/>
      <c r="D612" s="1092"/>
      <c r="E612" s="1088"/>
      <c r="F612" s="1089"/>
      <c r="G612" s="458" t="s">
        <v>1</v>
      </c>
      <c r="H612" s="459">
        <f t="shared" si="70"/>
        <v>0</v>
      </c>
      <c r="I612" s="459">
        <f t="shared" si="71"/>
        <v>0</v>
      </c>
      <c r="J612" s="459">
        <v>0</v>
      </c>
      <c r="K612" s="459">
        <v>0</v>
      </c>
      <c r="L612" s="459">
        <f t="shared" si="72"/>
        <v>0</v>
      </c>
      <c r="M612" s="459">
        <v>0</v>
      </c>
      <c r="N612" s="459">
        <v>0</v>
      </c>
    </row>
    <row r="613" spans="1:14" s="407" customFormat="1" ht="15" hidden="1" customHeight="1">
      <c r="A613" s="1095"/>
      <c r="B613" s="1092"/>
      <c r="C613" s="1101"/>
      <c r="D613" s="1094"/>
      <c r="E613" s="1090"/>
      <c r="F613" s="1091"/>
      <c r="G613" s="458" t="s">
        <v>2</v>
      </c>
      <c r="H613" s="459">
        <f t="shared" si="70"/>
        <v>1845000</v>
      </c>
      <c r="I613" s="459">
        <f t="shared" si="71"/>
        <v>571470</v>
      </c>
      <c r="J613" s="459">
        <v>0</v>
      </c>
      <c r="K613" s="459">
        <f>K611+K612</f>
        <v>571470</v>
      </c>
      <c r="L613" s="459">
        <f t="shared" si="72"/>
        <v>1273530</v>
      </c>
      <c r="M613" s="459">
        <v>0</v>
      </c>
      <c r="N613" s="459">
        <f>N611+N612</f>
        <v>1273530</v>
      </c>
    </row>
    <row r="614" spans="1:14" s="480" customFormat="1" ht="15" hidden="1" customHeight="1">
      <c r="A614" s="1084"/>
      <c r="B614" s="1085"/>
      <c r="C614" s="1099" t="s">
        <v>510</v>
      </c>
      <c r="D614" s="1100"/>
      <c r="E614" s="1086" t="s">
        <v>1155</v>
      </c>
      <c r="F614" s="1087"/>
      <c r="G614" s="458" t="s">
        <v>0</v>
      </c>
      <c r="H614" s="459">
        <f t="shared" si="70"/>
        <v>1300000</v>
      </c>
      <c r="I614" s="459">
        <f t="shared" si="71"/>
        <v>0</v>
      </c>
      <c r="J614" s="459">
        <v>0</v>
      </c>
      <c r="K614" s="459">
        <v>0</v>
      </c>
      <c r="L614" s="459">
        <f t="shared" si="72"/>
        <v>1300000</v>
      </c>
      <c r="M614" s="459">
        <v>0</v>
      </c>
      <c r="N614" s="459">
        <v>1300000</v>
      </c>
    </row>
    <row r="615" spans="1:14" s="480" customFormat="1" ht="15" hidden="1" customHeight="1">
      <c r="A615" s="1084"/>
      <c r="B615" s="1092"/>
      <c r="C615" s="1084"/>
      <c r="D615" s="1092"/>
      <c r="E615" s="1088"/>
      <c r="F615" s="1089"/>
      <c r="G615" s="458" t="s">
        <v>1</v>
      </c>
      <c r="H615" s="459">
        <f t="shared" si="70"/>
        <v>0</v>
      </c>
      <c r="I615" s="459">
        <f t="shared" si="71"/>
        <v>0</v>
      </c>
      <c r="J615" s="459">
        <v>0</v>
      </c>
      <c r="K615" s="459">
        <v>0</v>
      </c>
      <c r="L615" s="459">
        <f t="shared" si="72"/>
        <v>0</v>
      </c>
      <c r="M615" s="459">
        <v>0</v>
      </c>
      <c r="N615" s="459">
        <v>0</v>
      </c>
    </row>
    <row r="616" spans="1:14" s="480" customFormat="1" ht="15" hidden="1" customHeight="1">
      <c r="A616" s="1084"/>
      <c r="B616" s="1092"/>
      <c r="C616" s="1084"/>
      <c r="D616" s="1092"/>
      <c r="E616" s="1090"/>
      <c r="F616" s="1091"/>
      <c r="G616" s="458" t="s">
        <v>2</v>
      </c>
      <c r="H616" s="459">
        <f t="shared" si="70"/>
        <v>1300000</v>
      </c>
      <c r="I616" s="459">
        <f t="shared" si="71"/>
        <v>0</v>
      </c>
      <c r="J616" s="459">
        <f>J614+J615</f>
        <v>0</v>
      </c>
      <c r="K616" s="459">
        <f>K614+K615</f>
        <v>0</v>
      </c>
      <c r="L616" s="459">
        <f t="shared" si="72"/>
        <v>1300000</v>
      </c>
      <c r="M616" s="459">
        <f>M614+M615</f>
        <v>0</v>
      </c>
      <c r="N616" s="459">
        <f>N614+N615</f>
        <v>1300000</v>
      </c>
    </row>
    <row r="617" spans="1:14" s="407" customFormat="1" ht="15" hidden="1" customHeight="1">
      <c r="A617" s="1095"/>
      <c r="B617" s="1096"/>
      <c r="C617" s="1095"/>
      <c r="D617" s="1096"/>
      <c r="E617" s="1086" t="s">
        <v>1156</v>
      </c>
      <c r="F617" s="1087"/>
      <c r="G617" s="458" t="s">
        <v>0</v>
      </c>
      <c r="H617" s="459">
        <f t="shared" si="70"/>
        <v>500000</v>
      </c>
      <c r="I617" s="459">
        <f t="shared" si="71"/>
        <v>500000</v>
      </c>
      <c r="J617" s="459">
        <v>0</v>
      </c>
      <c r="K617" s="459">
        <v>500000</v>
      </c>
      <c r="L617" s="459">
        <f t="shared" si="72"/>
        <v>0</v>
      </c>
      <c r="M617" s="459">
        <v>0</v>
      </c>
      <c r="N617" s="459">
        <v>0</v>
      </c>
    </row>
    <row r="618" spans="1:14" s="407" customFormat="1" ht="15" hidden="1" customHeight="1">
      <c r="A618" s="1095"/>
      <c r="B618" s="1092"/>
      <c r="C618" s="1095"/>
      <c r="D618" s="1092"/>
      <c r="E618" s="1088"/>
      <c r="F618" s="1089"/>
      <c r="G618" s="458" t="s">
        <v>1</v>
      </c>
      <c r="H618" s="459">
        <f t="shared" ref="H618:H685" si="158">I618+L618</f>
        <v>0</v>
      </c>
      <c r="I618" s="459">
        <f t="shared" ref="I618:I685" si="159">J618+K618</f>
        <v>0</v>
      </c>
      <c r="J618" s="459">
        <v>0</v>
      </c>
      <c r="K618" s="459">
        <v>0</v>
      </c>
      <c r="L618" s="459">
        <f t="shared" ref="L618:L685" si="160">M618+N618</f>
        <v>0</v>
      </c>
      <c r="M618" s="459">
        <v>0</v>
      </c>
      <c r="N618" s="459">
        <v>0</v>
      </c>
    </row>
    <row r="619" spans="1:14" s="407" customFormat="1" ht="15" hidden="1" customHeight="1">
      <c r="A619" s="1095"/>
      <c r="B619" s="1092"/>
      <c r="C619" s="1095"/>
      <c r="D619" s="1092"/>
      <c r="E619" s="1090"/>
      <c r="F619" s="1091"/>
      <c r="G619" s="458" t="s">
        <v>2</v>
      </c>
      <c r="H619" s="459">
        <f t="shared" si="158"/>
        <v>500000</v>
      </c>
      <c r="I619" s="459">
        <f t="shared" si="159"/>
        <v>500000</v>
      </c>
      <c r="J619" s="459">
        <f>J617+J618</f>
        <v>0</v>
      </c>
      <c r="K619" s="459">
        <f>K617+K618</f>
        <v>500000</v>
      </c>
      <c r="L619" s="459">
        <f t="shared" si="160"/>
        <v>0</v>
      </c>
      <c r="M619" s="459">
        <f>M617+M618</f>
        <v>0</v>
      </c>
      <c r="N619" s="459">
        <f>N617+N618</f>
        <v>0</v>
      </c>
    </row>
    <row r="620" spans="1:14" s="407" customFormat="1" ht="14.45" customHeight="1">
      <c r="A620" s="1095"/>
      <c r="B620" s="1096"/>
      <c r="C620" s="1097" t="s">
        <v>510</v>
      </c>
      <c r="D620" s="1098"/>
      <c r="E620" s="1086" t="s">
        <v>1157</v>
      </c>
      <c r="F620" s="1087"/>
      <c r="G620" s="458" t="s">
        <v>0</v>
      </c>
      <c r="H620" s="459">
        <f t="shared" si="158"/>
        <v>1000000</v>
      </c>
      <c r="I620" s="459">
        <f t="shared" si="159"/>
        <v>1000000</v>
      </c>
      <c r="J620" s="459">
        <v>0</v>
      </c>
      <c r="K620" s="459">
        <v>1000000</v>
      </c>
      <c r="L620" s="459">
        <f t="shared" si="160"/>
        <v>0</v>
      </c>
      <c r="M620" s="459">
        <v>0</v>
      </c>
      <c r="N620" s="459">
        <v>0</v>
      </c>
    </row>
    <row r="621" spans="1:14" s="407" customFormat="1" ht="14.45" customHeight="1">
      <c r="A621" s="1095"/>
      <c r="B621" s="1092"/>
      <c r="C621" s="1095"/>
      <c r="D621" s="1092"/>
      <c r="E621" s="1088"/>
      <c r="F621" s="1089"/>
      <c r="G621" s="458" t="s">
        <v>1</v>
      </c>
      <c r="H621" s="459">
        <f t="shared" si="158"/>
        <v>134000</v>
      </c>
      <c r="I621" s="459">
        <f t="shared" si="159"/>
        <v>134000</v>
      </c>
      <c r="J621" s="459">
        <v>335711</v>
      </c>
      <c r="K621" s="459">
        <v>-201711</v>
      </c>
      <c r="L621" s="459">
        <f t="shared" si="160"/>
        <v>0</v>
      </c>
      <c r="M621" s="459">
        <v>0</v>
      </c>
      <c r="N621" s="459">
        <v>0</v>
      </c>
    </row>
    <row r="622" spans="1:14" s="407" customFormat="1" ht="14.45" customHeight="1">
      <c r="A622" s="1095"/>
      <c r="B622" s="1092"/>
      <c r="C622" s="1095"/>
      <c r="D622" s="1092"/>
      <c r="E622" s="1090"/>
      <c r="F622" s="1091"/>
      <c r="G622" s="458" t="s">
        <v>2</v>
      </c>
      <c r="H622" s="459">
        <f t="shared" si="158"/>
        <v>1134000</v>
      </c>
      <c r="I622" s="459">
        <f t="shared" si="159"/>
        <v>1134000</v>
      </c>
      <c r="J622" s="459">
        <f>J620+J621</f>
        <v>335711</v>
      </c>
      <c r="K622" s="459">
        <f>K620+K621</f>
        <v>798289</v>
      </c>
      <c r="L622" s="459">
        <f t="shared" si="160"/>
        <v>0</v>
      </c>
      <c r="M622" s="459">
        <f>M620+M621</f>
        <v>0</v>
      </c>
      <c r="N622" s="459">
        <f>N620+N621</f>
        <v>0</v>
      </c>
    </row>
    <row r="623" spans="1:14" s="480" customFormat="1" ht="15" hidden="1" customHeight="1">
      <c r="A623" s="1084"/>
      <c r="B623" s="1085"/>
      <c r="C623" s="1084"/>
      <c r="D623" s="1085"/>
      <c r="E623" s="1086" t="s">
        <v>1158</v>
      </c>
      <c r="F623" s="1087"/>
      <c r="G623" s="458" t="s">
        <v>0</v>
      </c>
      <c r="H623" s="459">
        <f t="shared" si="158"/>
        <v>50000</v>
      </c>
      <c r="I623" s="459">
        <f t="shared" si="159"/>
        <v>50000</v>
      </c>
      <c r="J623" s="459">
        <v>0</v>
      </c>
      <c r="K623" s="459">
        <v>50000</v>
      </c>
      <c r="L623" s="459">
        <f t="shared" si="160"/>
        <v>0</v>
      </c>
      <c r="M623" s="459">
        <v>0</v>
      </c>
      <c r="N623" s="459">
        <v>0</v>
      </c>
    </row>
    <row r="624" spans="1:14" s="480" customFormat="1" ht="15" hidden="1" customHeight="1">
      <c r="A624" s="1084"/>
      <c r="B624" s="1092"/>
      <c r="C624" s="1084"/>
      <c r="D624" s="1092"/>
      <c r="E624" s="1088"/>
      <c r="F624" s="1089"/>
      <c r="G624" s="458" t="s">
        <v>1</v>
      </c>
      <c r="H624" s="459">
        <f t="shared" si="158"/>
        <v>0</v>
      </c>
      <c r="I624" s="459">
        <f t="shared" si="159"/>
        <v>0</v>
      </c>
      <c r="J624" s="459">
        <v>0</v>
      </c>
      <c r="K624" s="459">
        <v>0</v>
      </c>
      <c r="L624" s="459">
        <f t="shared" si="160"/>
        <v>0</v>
      </c>
      <c r="M624" s="459">
        <v>0</v>
      </c>
      <c r="N624" s="459">
        <v>0</v>
      </c>
    </row>
    <row r="625" spans="1:14" s="480" customFormat="1" ht="15" hidden="1" customHeight="1">
      <c r="A625" s="1084"/>
      <c r="B625" s="1092"/>
      <c r="C625" s="1084"/>
      <c r="D625" s="1092"/>
      <c r="E625" s="1090"/>
      <c r="F625" s="1091"/>
      <c r="G625" s="458" t="s">
        <v>2</v>
      </c>
      <c r="H625" s="459">
        <f t="shared" si="158"/>
        <v>50000</v>
      </c>
      <c r="I625" s="459">
        <f t="shared" si="159"/>
        <v>50000</v>
      </c>
      <c r="J625" s="459">
        <f>J623+J624</f>
        <v>0</v>
      </c>
      <c r="K625" s="459">
        <f>K623+K624</f>
        <v>50000</v>
      </c>
      <c r="L625" s="459">
        <f t="shared" si="160"/>
        <v>0</v>
      </c>
      <c r="M625" s="459">
        <f>M623+M624</f>
        <v>0</v>
      </c>
      <c r="N625" s="459">
        <f>N623+N624</f>
        <v>0</v>
      </c>
    </row>
    <row r="626" spans="1:14" s="480" customFormat="1" ht="15" hidden="1" customHeight="1">
      <c r="A626" s="1084"/>
      <c r="B626" s="1085"/>
      <c r="C626" s="1084"/>
      <c r="D626" s="1085"/>
      <c r="E626" s="1086" t="s">
        <v>1159</v>
      </c>
      <c r="F626" s="1087"/>
      <c r="G626" s="458" t="s">
        <v>0</v>
      </c>
      <c r="H626" s="459">
        <f t="shared" si="158"/>
        <v>1300000</v>
      </c>
      <c r="I626" s="459">
        <f t="shared" si="159"/>
        <v>1300000</v>
      </c>
      <c r="J626" s="459">
        <v>0</v>
      </c>
      <c r="K626" s="459">
        <v>1300000</v>
      </c>
      <c r="L626" s="459">
        <f t="shared" si="160"/>
        <v>0</v>
      </c>
      <c r="M626" s="459">
        <v>0</v>
      </c>
      <c r="N626" s="459">
        <v>0</v>
      </c>
    </row>
    <row r="627" spans="1:14" s="480" customFormat="1" ht="15" hidden="1" customHeight="1">
      <c r="A627" s="1084"/>
      <c r="B627" s="1092"/>
      <c r="C627" s="1084"/>
      <c r="D627" s="1092"/>
      <c r="E627" s="1088"/>
      <c r="F627" s="1089"/>
      <c r="G627" s="458" t="s">
        <v>1</v>
      </c>
      <c r="H627" s="459">
        <f t="shared" si="158"/>
        <v>0</v>
      </c>
      <c r="I627" s="459">
        <f t="shared" si="159"/>
        <v>0</v>
      </c>
      <c r="J627" s="459">
        <v>0</v>
      </c>
      <c r="K627" s="459">
        <v>0</v>
      </c>
      <c r="L627" s="459">
        <f t="shared" si="160"/>
        <v>0</v>
      </c>
      <c r="M627" s="459">
        <v>0</v>
      </c>
      <c r="N627" s="459">
        <v>0</v>
      </c>
    </row>
    <row r="628" spans="1:14" s="480" customFormat="1" ht="15" hidden="1" customHeight="1">
      <c r="A628" s="1084"/>
      <c r="B628" s="1092"/>
      <c r="C628" s="1084"/>
      <c r="D628" s="1092"/>
      <c r="E628" s="1090"/>
      <c r="F628" s="1091"/>
      <c r="G628" s="458" t="s">
        <v>2</v>
      </c>
      <c r="H628" s="459">
        <f t="shared" si="158"/>
        <v>1300000</v>
      </c>
      <c r="I628" s="459">
        <f t="shared" si="159"/>
        <v>1300000</v>
      </c>
      <c r="J628" s="459">
        <f>J626+J627</f>
        <v>0</v>
      </c>
      <c r="K628" s="459">
        <f>K626+K627</f>
        <v>1300000</v>
      </c>
      <c r="L628" s="459">
        <f t="shared" si="160"/>
        <v>0</v>
      </c>
      <c r="M628" s="459">
        <f>M626+M627</f>
        <v>0</v>
      </c>
      <c r="N628" s="459">
        <f>N626+N627</f>
        <v>0</v>
      </c>
    </row>
    <row r="629" spans="1:14" s="480" customFormat="1" ht="15" hidden="1" customHeight="1">
      <c r="A629" s="1084"/>
      <c r="B629" s="1085"/>
      <c r="C629" s="1084"/>
      <c r="D629" s="1085"/>
      <c r="E629" s="1086" t="s">
        <v>1160</v>
      </c>
      <c r="F629" s="1087"/>
      <c r="G629" s="506" t="s">
        <v>0</v>
      </c>
      <c r="H629" s="459">
        <f t="shared" si="158"/>
        <v>400000</v>
      </c>
      <c r="I629" s="459">
        <f t="shared" si="159"/>
        <v>400000</v>
      </c>
      <c r="J629" s="459">
        <v>0</v>
      </c>
      <c r="K629" s="459">
        <v>400000</v>
      </c>
      <c r="L629" s="459">
        <f t="shared" si="160"/>
        <v>0</v>
      </c>
      <c r="M629" s="459">
        <v>0</v>
      </c>
      <c r="N629" s="459">
        <v>0</v>
      </c>
    </row>
    <row r="630" spans="1:14" s="480" customFormat="1" ht="15" hidden="1" customHeight="1">
      <c r="A630" s="1084"/>
      <c r="B630" s="1092"/>
      <c r="C630" s="1084"/>
      <c r="D630" s="1092"/>
      <c r="E630" s="1088"/>
      <c r="F630" s="1089"/>
      <c r="G630" s="507" t="s">
        <v>1</v>
      </c>
      <c r="H630" s="459">
        <f t="shared" si="158"/>
        <v>0</v>
      </c>
      <c r="I630" s="459">
        <f t="shared" si="159"/>
        <v>0</v>
      </c>
      <c r="J630" s="459">
        <v>0</v>
      </c>
      <c r="K630" s="459">
        <v>0</v>
      </c>
      <c r="L630" s="459">
        <f t="shared" si="160"/>
        <v>0</v>
      </c>
      <c r="M630" s="459">
        <v>0</v>
      </c>
      <c r="N630" s="459">
        <v>0</v>
      </c>
    </row>
    <row r="631" spans="1:14" s="480" customFormat="1" ht="15" hidden="1" customHeight="1">
      <c r="A631" s="1084"/>
      <c r="B631" s="1092"/>
      <c r="C631" s="1084"/>
      <c r="D631" s="1092"/>
      <c r="E631" s="1090"/>
      <c r="F631" s="1091"/>
      <c r="G631" s="507" t="s">
        <v>2</v>
      </c>
      <c r="H631" s="459">
        <f>I631+L631</f>
        <v>400000</v>
      </c>
      <c r="I631" s="459">
        <f t="shared" si="159"/>
        <v>400000</v>
      </c>
      <c r="J631" s="459">
        <f>J629+J630</f>
        <v>0</v>
      </c>
      <c r="K631" s="459">
        <f>K629+K630</f>
        <v>400000</v>
      </c>
      <c r="L631" s="459">
        <f t="shared" si="160"/>
        <v>0</v>
      </c>
      <c r="M631" s="459">
        <f>M629+M630</f>
        <v>0</v>
      </c>
      <c r="N631" s="459">
        <f>N629+N630</f>
        <v>0</v>
      </c>
    </row>
    <row r="632" spans="1:14" s="480" customFormat="1" ht="14.65" hidden="1" customHeight="1">
      <c r="A632" s="1084"/>
      <c r="B632" s="1085"/>
      <c r="C632" s="1084"/>
      <c r="D632" s="1085"/>
      <c r="E632" s="1086" t="s">
        <v>1161</v>
      </c>
      <c r="F632" s="1087"/>
      <c r="G632" s="506" t="s">
        <v>0</v>
      </c>
      <c r="H632" s="459">
        <f t="shared" ref="H632:H633" si="161">I632+L632</f>
        <v>10000</v>
      </c>
      <c r="I632" s="459">
        <f t="shared" si="159"/>
        <v>10000</v>
      </c>
      <c r="J632" s="459">
        <v>0</v>
      </c>
      <c r="K632" s="459">
        <v>10000</v>
      </c>
      <c r="L632" s="459">
        <f t="shared" si="160"/>
        <v>0</v>
      </c>
      <c r="M632" s="459">
        <v>0</v>
      </c>
      <c r="N632" s="459">
        <v>0</v>
      </c>
    </row>
    <row r="633" spans="1:14" s="480" customFormat="1" ht="14.65" hidden="1" customHeight="1">
      <c r="A633" s="1084"/>
      <c r="B633" s="1092"/>
      <c r="C633" s="1084"/>
      <c r="D633" s="1092"/>
      <c r="E633" s="1088"/>
      <c r="F633" s="1089"/>
      <c r="G633" s="507" t="s">
        <v>1</v>
      </c>
      <c r="H633" s="459">
        <f t="shared" si="161"/>
        <v>0</v>
      </c>
      <c r="I633" s="459">
        <f t="shared" si="159"/>
        <v>0</v>
      </c>
      <c r="J633" s="459">
        <v>0</v>
      </c>
      <c r="K633" s="459">
        <v>0</v>
      </c>
      <c r="L633" s="459">
        <f t="shared" si="160"/>
        <v>0</v>
      </c>
      <c r="M633" s="459">
        <v>0</v>
      </c>
      <c r="N633" s="459">
        <v>0</v>
      </c>
    </row>
    <row r="634" spans="1:14" s="480" customFormat="1" ht="14.65" hidden="1" customHeight="1">
      <c r="A634" s="1084"/>
      <c r="B634" s="1092"/>
      <c r="C634" s="1084"/>
      <c r="D634" s="1092"/>
      <c r="E634" s="1090"/>
      <c r="F634" s="1091"/>
      <c r="G634" s="507" t="s">
        <v>2</v>
      </c>
      <c r="H634" s="459">
        <f>I634+L634</f>
        <v>10000</v>
      </c>
      <c r="I634" s="459">
        <f t="shared" si="159"/>
        <v>10000</v>
      </c>
      <c r="J634" s="459">
        <f>J632+J633</f>
        <v>0</v>
      </c>
      <c r="K634" s="459">
        <f>K632+K633</f>
        <v>10000</v>
      </c>
      <c r="L634" s="459">
        <f t="shared" si="160"/>
        <v>0</v>
      </c>
      <c r="M634" s="459">
        <f>M632+M633</f>
        <v>0</v>
      </c>
      <c r="N634" s="459">
        <f>N632+N633</f>
        <v>0</v>
      </c>
    </row>
    <row r="635" spans="1:14" s="480" customFormat="1" ht="14.65" hidden="1" customHeight="1">
      <c r="A635" s="1084"/>
      <c r="B635" s="1085"/>
      <c r="C635" s="1084"/>
      <c r="D635" s="1085"/>
      <c r="E635" s="1086" t="s">
        <v>1162</v>
      </c>
      <c r="F635" s="1087"/>
      <c r="G635" s="506" t="s">
        <v>0</v>
      </c>
      <c r="H635" s="459">
        <f t="shared" ref="H635:H636" si="162">I635+L635</f>
        <v>6000</v>
      </c>
      <c r="I635" s="459">
        <f t="shared" si="159"/>
        <v>6000</v>
      </c>
      <c r="J635" s="459">
        <v>0</v>
      </c>
      <c r="K635" s="459">
        <v>6000</v>
      </c>
      <c r="L635" s="459">
        <f t="shared" si="160"/>
        <v>0</v>
      </c>
      <c r="M635" s="459">
        <v>0</v>
      </c>
      <c r="N635" s="459">
        <v>0</v>
      </c>
    </row>
    <row r="636" spans="1:14" s="480" customFormat="1" ht="14.65" hidden="1" customHeight="1">
      <c r="A636" s="1084"/>
      <c r="B636" s="1092"/>
      <c r="C636" s="1084"/>
      <c r="D636" s="1092"/>
      <c r="E636" s="1088"/>
      <c r="F636" s="1089"/>
      <c r="G636" s="507" t="s">
        <v>1</v>
      </c>
      <c r="H636" s="459">
        <f t="shared" si="162"/>
        <v>0</v>
      </c>
      <c r="I636" s="459">
        <f t="shared" si="159"/>
        <v>0</v>
      </c>
      <c r="J636" s="459">
        <v>0</v>
      </c>
      <c r="K636" s="459">
        <v>0</v>
      </c>
      <c r="L636" s="459">
        <f t="shared" si="160"/>
        <v>0</v>
      </c>
      <c r="M636" s="459">
        <v>0</v>
      </c>
      <c r="N636" s="459">
        <v>0</v>
      </c>
    </row>
    <row r="637" spans="1:14" s="480" customFormat="1" ht="14.65" hidden="1" customHeight="1">
      <c r="A637" s="1084"/>
      <c r="B637" s="1092"/>
      <c r="C637" s="1084"/>
      <c r="D637" s="1092"/>
      <c r="E637" s="1090"/>
      <c r="F637" s="1091"/>
      <c r="G637" s="507" t="s">
        <v>2</v>
      </c>
      <c r="H637" s="459">
        <f>I637+L637</f>
        <v>6000</v>
      </c>
      <c r="I637" s="459">
        <f t="shared" si="159"/>
        <v>6000</v>
      </c>
      <c r="J637" s="459">
        <f>J635+J636</f>
        <v>0</v>
      </c>
      <c r="K637" s="459">
        <f>K635+K636</f>
        <v>6000</v>
      </c>
      <c r="L637" s="459">
        <f t="shared" si="160"/>
        <v>0</v>
      </c>
      <c r="M637" s="459">
        <f>M635+M636</f>
        <v>0</v>
      </c>
      <c r="N637" s="459">
        <f>N635+N636</f>
        <v>0</v>
      </c>
    </row>
    <row r="638" spans="1:14" s="480" customFormat="1" ht="14.65" hidden="1" customHeight="1">
      <c r="A638" s="1084"/>
      <c r="B638" s="1085"/>
      <c r="C638" s="1084"/>
      <c r="D638" s="1085"/>
      <c r="E638" s="1086" t="s">
        <v>1163</v>
      </c>
      <c r="F638" s="1087"/>
      <c r="G638" s="506" t="s">
        <v>0</v>
      </c>
      <c r="H638" s="459">
        <f t="shared" ref="H638:H639" si="163">I638+L638</f>
        <v>10000</v>
      </c>
      <c r="I638" s="459">
        <f t="shared" si="159"/>
        <v>10000</v>
      </c>
      <c r="J638" s="459">
        <v>0</v>
      </c>
      <c r="K638" s="459">
        <v>10000</v>
      </c>
      <c r="L638" s="459">
        <f t="shared" si="160"/>
        <v>0</v>
      </c>
      <c r="M638" s="459">
        <v>0</v>
      </c>
      <c r="N638" s="459">
        <v>0</v>
      </c>
    </row>
    <row r="639" spans="1:14" s="480" customFormat="1" ht="14.65" hidden="1" customHeight="1">
      <c r="A639" s="1084"/>
      <c r="B639" s="1092"/>
      <c r="C639" s="1084"/>
      <c r="D639" s="1092"/>
      <c r="E639" s="1088"/>
      <c r="F639" s="1089"/>
      <c r="G639" s="507" t="s">
        <v>1</v>
      </c>
      <c r="H639" s="459">
        <f t="shared" si="163"/>
        <v>0</v>
      </c>
      <c r="I639" s="459">
        <f t="shared" si="159"/>
        <v>0</v>
      </c>
      <c r="J639" s="459">
        <v>0</v>
      </c>
      <c r="K639" s="459">
        <v>0</v>
      </c>
      <c r="L639" s="459">
        <f t="shared" si="160"/>
        <v>0</v>
      </c>
      <c r="M639" s="459">
        <v>0</v>
      </c>
      <c r="N639" s="459">
        <v>0</v>
      </c>
    </row>
    <row r="640" spans="1:14" s="480" customFormat="1" ht="14.65" hidden="1" customHeight="1">
      <c r="A640" s="1084"/>
      <c r="B640" s="1092"/>
      <c r="C640" s="1084"/>
      <c r="D640" s="1092"/>
      <c r="E640" s="1090"/>
      <c r="F640" s="1091"/>
      <c r="G640" s="507" t="s">
        <v>2</v>
      </c>
      <c r="H640" s="459">
        <f>I640+L640</f>
        <v>10000</v>
      </c>
      <c r="I640" s="459">
        <f t="shared" si="159"/>
        <v>10000</v>
      </c>
      <c r="J640" s="459">
        <f>J638+J639</f>
        <v>0</v>
      </c>
      <c r="K640" s="459">
        <f>K638+K639</f>
        <v>10000</v>
      </c>
      <c r="L640" s="459">
        <f t="shared" si="160"/>
        <v>0</v>
      </c>
      <c r="M640" s="459">
        <f>M638+M639</f>
        <v>0</v>
      </c>
      <c r="N640" s="459">
        <f>N638+N639</f>
        <v>0</v>
      </c>
    </row>
    <row r="641" spans="1:14" s="480" customFormat="1" ht="14.65" hidden="1" customHeight="1">
      <c r="A641" s="1084"/>
      <c r="B641" s="1085"/>
      <c r="C641" s="1084"/>
      <c r="D641" s="1085"/>
      <c r="E641" s="1086" t="s">
        <v>1164</v>
      </c>
      <c r="F641" s="1087"/>
      <c r="G641" s="506" t="s">
        <v>0</v>
      </c>
      <c r="H641" s="459">
        <f t="shared" ref="H641:H642" si="164">I641+L641</f>
        <v>38600</v>
      </c>
      <c r="I641" s="459">
        <f t="shared" si="159"/>
        <v>38600</v>
      </c>
      <c r="J641" s="459">
        <v>0</v>
      </c>
      <c r="K641" s="459">
        <v>38600</v>
      </c>
      <c r="L641" s="459">
        <f t="shared" si="160"/>
        <v>0</v>
      </c>
      <c r="M641" s="459">
        <v>0</v>
      </c>
      <c r="N641" s="459">
        <v>0</v>
      </c>
    </row>
    <row r="642" spans="1:14" s="480" customFormat="1" ht="14.65" hidden="1" customHeight="1">
      <c r="A642" s="1084"/>
      <c r="B642" s="1092"/>
      <c r="C642" s="1084"/>
      <c r="D642" s="1092"/>
      <c r="E642" s="1088"/>
      <c r="F642" s="1089"/>
      <c r="G642" s="507" t="s">
        <v>1</v>
      </c>
      <c r="H642" s="459">
        <f t="shared" si="164"/>
        <v>0</v>
      </c>
      <c r="I642" s="459">
        <f t="shared" si="159"/>
        <v>0</v>
      </c>
      <c r="J642" s="459">
        <v>0</v>
      </c>
      <c r="K642" s="459">
        <v>0</v>
      </c>
      <c r="L642" s="459">
        <f t="shared" si="160"/>
        <v>0</v>
      </c>
      <c r="M642" s="459">
        <v>0</v>
      </c>
      <c r="N642" s="459">
        <v>0</v>
      </c>
    </row>
    <row r="643" spans="1:14" s="480" customFormat="1" ht="14.65" hidden="1" customHeight="1">
      <c r="A643" s="1084"/>
      <c r="B643" s="1092"/>
      <c r="C643" s="1084"/>
      <c r="D643" s="1092"/>
      <c r="E643" s="1090"/>
      <c r="F643" s="1091"/>
      <c r="G643" s="507" t="s">
        <v>2</v>
      </c>
      <c r="H643" s="459">
        <f>I643+L643</f>
        <v>38600</v>
      </c>
      <c r="I643" s="459">
        <f t="shared" si="159"/>
        <v>38600</v>
      </c>
      <c r="J643" s="459">
        <f>J641+J642</f>
        <v>0</v>
      </c>
      <c r="K643" s="459">
        <f>K641+K642</f>
        <v>38600</v>
      </c>
      <c r="L643" s="459">
        <f t="shared" si="160"/>
        <v>0</v>
      </c>
      <c r="M643" s="459">
        <f>M641+M642</f>
        <v>0</v>
      </c>
      <c r="N643" s="459">
        <f>N641+N642</f>
        <v>0</v>
      </c>
    </row>
    <row r="644" spans="1:14" s="480" customFormat="1" ht="14.65" hidden="1" customHeight="1">
      <c r="A644" s="1084"/>
      <c r="B644" s="1085"/>
      <c r="C644" s="1084"/>
      <c r="D644" s="1085"/>
      <c r="E644" s="1086" t="s">
        <v>1165</v>
      </c>
      <c r="F644" s="1087"/>
      <c r="G644" s="506" t="s">
        <v>0</v>
      </c>
      <c r="H644" s="459">
        <f t="shared" ref="H644:H645" si="165">I644+L644</f>
        <v>380934</v>
      </c>
      <c r="I644" s="459">
        <f t="shared" si="159"/>
        <v>380934</v>
      </c>
      <c r="J644" s="459">
        <v>380934</v>
      </c>
      <c r="K644" s="459">
        <v>0</v>
      </c>
      <c r="L644" s="459">
        <f t="shared" si="160"/>
        <v>0</v>
      </c>
      <c r="M644" s="459">
        <v>0</v>
      </c>
      <c r="N644" s="459">
        <v>0</v>
      </c>
    </row>
    <row r="645" spans="1:14" s="480" customFormat="1" ht="14.65" hidden="1" customHeight="1">
      <c r="A645" s="1084"/>
      <c r="B645" s="1092"/>
      <c r="C645" s="1084"/>
      <c r="D645" s="1092"/>
      <c r="E645" s="1088"/>
      <c r="F645" s="1089"/>
      <c r="G645" s="507" t="s">
        <v>1</v>
      </c>
      <c r="H645" s="459">
        <f t="shared" si="165"/>
        <v>0</v>
      </c>
      <c r="I645" s="459">
        <f t="shared" si="159"/>
        <v>0</v>
      </c>
      <c r="J645" s="459">
        <v>0</v>
      </c>
      <c r="K645" s="459">
        <v>0</v>
      </c>
      <c r="L645" s="459">
        <f t="shared" si="160"/>
        <v>0</v>
      </c>
      <c r="M645" s="459">
        <v>0</v>
      </c>
      <c r="N645" s="459">
        <v>0</v>
      </c>
    </row>
    <row r="646" spans="1:14" s="480" customFormat="1" ht="14.65" hidden="1" customHeight="1">
      <c r="A646" s="1084"/>
      <c r="B646" s="1092"/>
      <c r="C646" s="1084"/>
      <c r="D646" s="1092"/>
      <c r="E646" s="1090"/>
      <c r="F646" s="1091"/>
      <c r="G646" s="507" t="s">
        <v>2</v>
      </c>
      <c r="H646" s="459">
        <f>I646+L646</f>
        <v>380934</v>
      </c>
      <c r="I646" s="459">
        <f t="shared" si="159"/>
        <v>380934</v>
      </c>
      <c r="J646" s="459">
        <f>J644+J645</f>
        <v>380934</v>
      </c>
      <c r="K646" s="459">
        <f>K644+K645</f>
        <v>0</v>
      </c>
      <c r="L646" s="459">
        <f t="shared" si="160"/>
        <v>0</v>
      </c>
      <c r="M646" s="459">
        <f>M644+M645</f>
        <v>0</v>
      </c>
      <c r="N646" s="459">
        <f>N644+N645</f>
        <v>0</v>
      </c>
    </row>
    <row r="647" spans="1:14" s="480" customFormat="1" ht="15" hidden="1" customHeight="1">
      <c r="A647" s="1084"/>
      <c r="B647" s="1085"/>
      <c r="C647" s="1084"/>
      <c r="D647" s="1085"/>
      <c r="E647" s="1086" t="s">
        <v>1166</v>
      </c>
      <c r="F647" s="1087"/>
      <c r="G647" s="458" t="s">
        <v>0</v>
      </c>
      <c r="H647" s="459">
        <f t="shared" si="158"/>
        <v>850000</v>
      </c>
      <c r="I647" s="459">
        <f t="shared" si="159"/>
        <v>850000</v>
      </c>
      <c r="J647" s="459">
        <v>0</v>
      </c>
      <c r="K647" s="459">
        <v>850000</v>
      </c>
      <c r="L647" s="459">
        <f t="shared" si="160"/>
        <v>0</v>
      </c>
      <c r="M647" s="459">
        <v>0</v>
      </c>
      <c r="N647" s="459">
        <v>0</v>
      </c>
    </row>
    <row r="648" spans="1:14" s="480" customFormat="1" ht="15" hidden="1" customHeight="1">
      <c r="A648" s="1084"/>
      <c r="B648" s="1092"/>
      <c r="C648" s="1084"/>
      <c r="D648" s="1092"/>
      <c r="E648" s="1088"/>
      <c r="F648" s="1089"/>
      <c r="G648" s="458" t="s">
        <v>1</v>
      </c>
      <c r="H648" s="459">
        <f t="shared" si="158"/>
        <v>0</v>
      </c>
      <c r="I648" s="459">
        <f t="shared" si="159"/>
        <v>0</v>
      </c>
      <c r="J648" s="459">
        <v>0</v>
      </c>
      <c r="K648" s="459">
        <v>0</v>
      </c>
      <c r="L648" s="459">
        <f t="shared" si="160"/>
        <v>0</v>
      </c>
      <c r="M648" s="459">
        <v>0</v>
      </c>
      <c r="N648" s="459">
        <v>0</v>
      </c>
    </row>
    <row r="649" spans="1:14" s="480" customFormat="1" ht="15" hidden="1" customHeight="1">
      <c r="A649" s="1084"/>
      <c r="B649" s="1092"/>
      <c r="C649" s="1084"/>
      <c r="D649" s="1092"/>
      <c r="E649" s="1090"/>
      <c r="F649" s="1091"/>
      <c r="G649" s="458" t="s">
        <v>2</v>
      </c>
      <c r="H649" s="459">
        <f t="shared" si="158"/>
        <v>850000</v>
      </c>
      <c r="I649" s="459">
        <f t="shared" si="159"/>
        <v>850000</v>
      </c>
      <c r="J649" s="459">
        <f>J647+J648</f>
        <v>0</v>
      </c>
      <c r="K649" s="459">
        <f>K647+K648</f>
        <v>850000</v>
      </c>
      <c r="L649" s="459">
        <f t="shared" si="160"/>
        <v>0</v>
      </c>
      <c r="M649" s="459">
        <f>M647+M648</f>
        <v>0</v>
      </c>
      <c r="N649" s="459">
        <f>N647+N648</f>
        <v>0</v>
      </c>
    </row>
    <row r="650" spans="1:14" s="480" customFormat="1" ht="15" hidden="1" customHeight="1">
      <c r="A650" s="1084"/>
      <c r="B650" s="1085"/>
      <c r="C650" s="1084"/>
      <c r="D650" s="1085"/>
      <c r="E650" s="1086" t="s">
        <v>1101</v>
      </c>
      <c r="F650" s="1087"/>
      <c r="G650" s="458" t="s">
        <v>0</v>
      </c>
      <c r="H650" s="459">
        <f t="shared" si="158"/>
        <v>600000</v>
      </c>
      <c r="I650" s="459">
        <f t="shared" si="159"/>
        <v>600000</v>
      </c>
      <c r="J650" s="459">
        <v>0</v>
      </c>
      <c r="K650" s="459">
        <v>600000</v>
      </c>
      <c r="L650" s="459">
        <f t="shared" si="160"/>
        <v>0</v>
      </c>
      <c r="M650" s="459">
        <v>0</v>
      </c>
      <c r="N650" s="459">
        <v>0</v>
      </c>
    </row>
    <row r="651" spans="1:14" s="480" customFormat="1" ht="15" hidden="1" customHeight="1">
      <c r="A651" s="1084"/>
      <c r="B651" s="1092"/>
      <c r="C651" s="1084"/>
      <c r="D651" s="1092"/>
      <c r="E651" s="1088"/>
      <c r="F651" s="1089"/>
      <c r="G651" s="458" t="s">
        <v>1</v>
      </c>
      <c r="H651" s="459">
        <f t="shared" si="158"/>
        <v>0</v>
      </c>
      <c r="I651" s="459">
        <f t="shared" si="159"/>
        <v>0</v>
      </c>
      <c r="J651" s="459">
        <v>0</v>
      </c>
      <c r="K651" s="459">
        <v>0</v>
      </c>
      <c r="L651" s="459">
        <f t="shared" si="160"/>
        <v>0</v>
      </c>
      <c r="M651" s="459">
        <v>0</v>
      </c>
      <c r="N651" s="459">
        <v>0</v>
      </c>
    </row>
    <row r="652" spans="1:14" s="480" customFormat="1" ht="15" hidden="1" customHeight="1">
      <c r="A652" s="1084"/>
      <c r="B652" s="1092"/>
      <c r="C652" s="1084"/>
      <c r="D652" s="1092"/>
      <c r="E652" s="1090"/>
      <c r="F652" s="1091"/>
      <c r="G652" s="458" t="s">
        <v>2</v>
      </c>
      <c r="H652" s="459">
        <f t="shared" si="158"/>
        <v>600000</v>
      </c>
      <c r="I652" s="459">
        <f t="shared" si="159"/>
        <v>600000</v>
      </c>
      <c r="J652" s="459">
        <f>J650+J651</f>
        <v>0</v>
      </c>
      <c r="K652" s="459">
        <f>K650+K651</f>
        <v>600000</v>
      </c>
      <c r="L652" s="459">
        <f t="shared" si="160"/>
        <v>0</v>
      </c>
      <c r="M652" s="459">
        <f>M650+M651</f>
        <v>0</v>
      </c>
      <c r="N652" s="459">
        <f>N650+N651</f>
        <v>0</v>
      </c>
    </row>
    <row r="653" spans="1:14" s="480" customFormat="1" ht="15" hidden="1" customHeight="1">
      <c r="A653" s="1084"/>
      <c r="B653" s="1085"/>
      <c r="C653" s="1084"/>
      <c r="D653" s="1085"/>
      <c r="E653" s="1086" t="s">
        <v>1167</v>
      </c>
      <c r="F653" s="1087"/>
      <c r="G653" s="458" t="s">
        <v>0</v>
      </c>
      <c r="H653" s="459">
        <f t="shared" si="158"/>
        <v>200000</v>
      </c>
      <c r="I653" s="459">
        <f t="shared" si="159"/>
        <v>200000</v>
      </c>
      <c r="J653" s="459">
        <v>0</v>
      </c>
      <c r="K653" s="459">
        <v>200000</v>
      </c>
      <c r="L653" s="459">
        <f t="shared" si="160"/>
        <v>0</v>
      </c>
      <c r="M653" s="459">
        <v>0</v>
      </c>
      <c r="N653" s="459">
        <v>0</v>
      </c>
    </row>
    <row r="654" spans="1:14" s="480" customFormat="1" ht="15" hidden="1" customHeight="1">
      <c r="A654" s="1084"/>
      <c r="B654" s="1092"/>
      <c r="C654" s="1084"/>
      <c r="D654" s="1092"/>
      <c r="E654" s="1088"/>
      <c r="F654" s="1089"/>
      <c r="G654" s="458" t="s">
        <v>1</v>
      </c>
      <c r="H654" s="459">
        <f t="shared" si="158"/>
        <v>0</v>
      </c>
      <c r="I654" s="459">
        <f t="shared" si="159"/>
        <v>0</v>
      </c>
      <c r="J654" s="459">
        <v>0</v>
      </c>
      <c r="K654" s="459">
        <v>0</v>
      </c>
      <c r="L654" s="459">
        <f t="shared" si="160"/>
        <v>0</v>
      </c>
      <c r="M654" s="459">
        <v>0</v>
      </c>
      <c r="N654" s="459">
        <v>0</v>
      </c>
    </row>
    <row r="655" spans="1:14" s="480" customFormat="1" ht="15" hidden="1" customHeight="1">
      <c r="A655" s="1084"/>
      <c r="B655" s="1092"/>
      <c r="C655" s="1084"/>
      <c r="D655" s="1092"/>
      <c r="E655" s="1090"/>
      <c r="F655" s="1091"/>
      <c r="G655" s="458" t="s">
        <v>2</v>
      </c>
      <c r="H655" s="459">
        <f t="shared" si="158"/>
        <v>200000</v>
      </c>
      <c r="I655" s="459">
        <f t="shared" si="159"/>
        <v>200000</v>
      </c>
      <c r="J655" s="459">
        <f>J653+J654</f>
        <v>0</v>
      </c>
      <c r="K655" s="459">
        <f>K653+K654</f>
        <v>200000</v>
      </c>
      <c r="L655" s="459">
        <f t="shared" si="160"/>
        <v>0</v>
      </c>
      <c r="M655" s="459">
        <f>M653+M654</f>
        <v>0</v>
      </c>
      <c r="N655" s="459">
        <f>N653+N654</f>
        <v>0</v>
      </c>
    </row>
    <row r="656" spans="1:14" s="407" customFormat="1" ht="15" hidden="1" customHeight="1">
      <c r="A656" s="1095"/>
      <c r="B656" s="1096"/>
      <c r="C656" s="1095"/>
      <c r="D656" s="1096"/>
      <c r="E656" s="1086" t="s">
        <v>511</v>
      </c>
      <c r="F656" s="1087"/>
      <c r="G656" s="458" t="s">
        <v>0</v>
      </c>
      <c r="H656" s="459">
        <f t="shared" si="158"/>
        <v>480000</v>
      </c>
      <c r="I656" s="459">
        <f t="shared" si="159"/>
        <v>0</v>
      </c>
      <c r="J656" s="459">
        <v>0</v>
      </c>
      <c r="K656" s="459">
        <v>0</v>
      </c>
      <c r="L656" s="459">
        <f t="shared" si="160"/>
        <v>480000</v>
      </c>
      <c r="M656" s="459">
        <v>480000</v>
      </c>
      <c r="N656" s="459">
        <v>0</v>
      </c>
    </row>
    <row r="657" spans="1:14" s="407" customFormat="1" ht="15" hidden="1" customHeight="1">
      <c r="A657" s="1095"/>
      <c r="B657" s="1092"/>
      <c r="C657" s="1095"/>
      <c r="D657" s="1092"/>
      <c r="E657" s="1088"/>
      <c r="F657" s="1089"/>
      <c r="G657" s="458" t="s">
        <v>1</v>
      </c>
      <c r="H657" s="459">
        <f t="shared" si="158"/>
        <v>0</v>
      </c>
      <c r="I657" s="459">
        <f t="shared" si="159"/>
        <v>0</v>
      </c>
      <c r="J657" s="459">
        <v>0</v>
      </c>
      <c r="K657" s="459">
        <v>0</v>
      </c>
      <c r="L657" s="459">
        <f t="shared" si="160"/>
        <v>0</v>
      </c>
      <c r="M657" s="459">
        <v>0</v>
      </c>
      <c r="N657" s="459">
        <v>0</v>
      </c>
    </row>
    <row r="658" spans="1:14" s="407" customFormat="1" ht="15" hidden="1" customHeight="1">
      <c r="A658" s="1095"/>
      <c r="B658" s="1092"/>
      <c r="C658" s="1095"/>
      <c r="D658" s="1092"/>
      <c r="E658" s="1090"/>
      <c r="F658" s="1091"/>
      <c r="G658" s="458" t="s">
        <v>2</v>
      </c>
      <c r="H658" s="459">
        <f t="shared" si="158"/>
        <v>480000</v>
      </c>
      <c r="I658" s="459">
        <f t="shared" si="159"/>
        <v>0</v>
      </c>
      <c r="J658" s="459">
        <f>J656+J657</f>
        <v>0</v>
      </c>
      <c r="K658" s="459">
        <f>K656+K657</f>
        <v>0</v>
      </c>
      <c r="L658" s="459">
        <f t="shared" si="160"/>
        <v>480000</v>
      </c>
      <c r="M658" s="459">
        <f>M656+M657</f>
        <v>480000</v>
      </c>
      <c r="N658" s="459">
        <f>N656+N657</f>
        <v>0</v>
      </c>
    </row>
    <row r="659" spans="1:14" s="407" customFormat="1" ht="14.45" customHeight="1">
      <c r="A659" s="1097" t="s">
        <v>390</v>
      </c>
      <c r="B659" s="1098"/>
      <c r="C659" s="1097" t="s">
        <v>530</v>
      </c>
      <c r="D659" s="1098"/>
      <c r="E659" s="1086" t="s">
        <v>1168</v>
      </c>
      <c r="F659" s="1087"/>
      <c r="G659" s="520" t="s">
        <v>0</v>
      </c>
      <c r="H659" s="502">
        <f t="shared" si="158"/>
        <v>2200000</v>
      </c>
      <c r="I659" s="502">
        <f t="shared" si="159"/>
        <v>0</v>
      </c>
      <c r="J659" s="502">
        <v>0</v>
      </c>
      <c r="K659" s="502">
        <v>0</v>
      </c>
      <c r="L659" s="502">
        <f t="shared" si="160"/>
        <v>2200000</v>
      </c>
      <c r="M659" s="502">
        <v>0</v>
      </c>
      <c r="N659" s="502">
        <v>2200000</v>
      </c>
    </row>
    <row r="660" spans="1:14" s="407" customFormat="1" ht="14.45" customHeight="1">
      <c r="A660" s="1095"/>
      <c r="B660" s="1092"/>
      <c r="C660" s="1095"/>
      <c r="D660" s="1092"/>
      <c r="E660" s="1088"/>
      <c r="F660" s="1089"/>
      <c r="G660" s="520" t="s">
        <v>1</v>
      </c>
      <c r="H660" s="502">
        <f t="shared" si="158"/>
        <v>620000</v>
      </c>
      <c r="I660" s="502">
        <f t="shared" si="159"/>
        <v>0</v>
      </c>
      <c r="J660" s="502">
        <v>0</v>
      </c>
      <c r="K660" s="502">
        <v>0</v>
      </c>
      <c r="L660" s="502">
        <f t="shared" si="160"/>
        <v>620000</v>
      </c>
      <c r="M660" s="502">
        <v>0</v>
      </c>
      <c r="N660" s="502">
        <v>620000</v>
      </c>
    </row>
    <row r="661" spans="1:14" s="407" customFormat="1" ht="14.45" customHeight="1">
      <c r="A661" s="1095"/>
      <c r="B661" s="1092"/>
      <c r="C661" s="1095"/>
      <c r="D661" s="1092"/>
      <c r="E661" s="1090"/>
      <c r="F661" s="1091"/>
      <c r="G661" s="520" t="s">
        <v>2</v>
      </c>
      <c r="H661" s="459">
        <f t="shared" si="158"/>
        <v>2820000</v>
      </c>
      <c r="I661" s="459">
        <f t="shared" si="159"/>
        <v>0</v>
      </c>
      <c r="J661" s="459">
        <f>J659+J660</f>
        <v>0</v>
      </c>
      <c r="K661" s="459">
        <f>K659+K660</f>
        <v>0</v>
      </c>
      <c r="L661" s="459">
        <f t="shared" si="160"/>
        <v>2820000</v>
      </c>
      <c r="M661" s="459">
        <f>M659+M660</f>
        <v>0</v>
      </c>
      <c r="N661" s="459">
        <f>N659+N660</f>
        <v>2820000</v>
      </c>
    </row>
    <row r="662" spans="1:14" s="407" customFormat="1" ht="14.45" customHeight="1">
      <c r="A662" s="1095"/>
      <c r="B662" s="1096"/>
      <c r="C662" s="1095"/>
      <c r="D662" s="1096"/>
      <c r="E662" s="1086" t="s">
        <v>1169</v>
      </c>
      <c r="F662" s="1087"/>
      <c r="G662" s="520" t="s">
        <v>0</v>
      </c>
      <c r="H662" s="502">
        <f t="shared" si="158"/>
        <v>1000000</v>
      </c>
      <c r="I662" s="502">
        <f t="shared" si="159"/>
        <v>0</v>
      </c>
      <c r="J662" s="502">
        <v>0</v>
      </c>
      <c r="K662" s="502">
        <v>0</v>
      </c>
      <c r="L662" s="502">
        <f t="shared" si="160"/>
        <v>1000000</v>
      </c>
      <c r="M662" s="502">
        <v>0</v>
      </c>
      <c r="N662" s="502">
        <v>1000000</v>
      </c>
    </row>
    <row r="663" spans="1:14" s="407" customFormat="1" ht="14.45" customHeight="1">
      <c r="A663" s="1095"/>
      <c r="B663" s="1092"/>
      <c r="C663" s="1095"/>
      <c r="D663" s="1092"/>
      <c r="E663" s="1088"/>
      <c r="F663" s="1089"/>
      <c r="G663" s="520" t="s">
        <v>1</v>
      </c>
      <c r="H663" s="502">
        <f t="shared" si="158"/>
        <v>-350000</v>
      </c>
      <c r="I663" s="502">
        <f t="shared" si="159"/>
        <v>0</v>
      </c>
      <c r="J663" s="502">
        <v>0</v>
      </c>
      <c r="K663" s="502">
        <v>0</v>
      </c>
      <c r="L663" s="502">
        <f t="shared" si="160"/>
        <v>-350000</v>
      </c>
      <c r="M663" s="502">
        <v>0</v>
      </c>
      <c r="N663" s="502">
        <v>-350000</v>
      </c>
    </row>
    <row r="664" spans="1:14" s="407" customFormat="1" ht="14.45" customHeight="1">
      <c r="A664" s="1095"/>
      <c r="B664" s="1092"/>
      <c r="C664" s="1095"/>
      <c r="D664" s="1092"/>
      <c r="E664" s="1090"/>
      <c r="F664" s="1091"/>
      <c r="G664" s="520" t="s">
        <v>2</v>
      </c>
      <c r="H664" s="459">
        <f t="shared" si="158"/>
        <v>650000</v>
      </c>
      <c r="I664" s="459">
        <f t="shared" si="159"/>
        <v>0</v>
      </c>
      <c r="J664" s="459">
        <f>J662+J663</f>
        <v>0</v>
      </c>
      <c r="K664" s="459">
        <f>K662+K663</f>
        <v>0</v>
      </c>
      <c r="L664" s="459">
        <f t="shared" si="160"/>
        <v>650000</v>
      </c>
      <c r="M664" s="459">
        <f>M662+M663</f>
        <v>0</v>
      </c>
      <c r="N664" s="459">
        <f>N662+N663</f>
        <v>650000</v>
      </c>
    </row>
    <row r="665" spans="1:14" s="407" customFormat="1" ht="15" hidden="1" customHeight="1">
      <c r="A665" s="1095"/>
      <c r="B665" s="1096"/>
      <c r="C665" s="1095"/>
      <c r="D665" s="1096"/>
      <c r="E665" s="1086" t="s">
        <v>1170</v>
      </c>
      <c r="F665" s="1087"/>
      <c r="G665" s="520" t="s">
        <v>0</v>
      </c>
      <c r="H665" s="502">
        <f t="shared" si="158"/>
        <v>2500000</v>
      </c>
      <c r="I665" s="502">
        <f t="shared" si="159"/>
        <v>0</v>
      </c>
      <c r="J665" s="502">
        <v>0</v>
      </c>
      <c r="K665" s="502">
        <v>0</v>
      </c>
      <c r="L665" s="502">
        <f t="shared" si="160"/>
        <v>2500000</v>
      </c>
      <c r="M665" s="502">
        <v>0</v>
      </c>
      <c r="N665" s="502">
        <v>2500000</v>
      </c>
    </row>
    <row r="666" spans="1:14" s="407" customFormat="1" ht="15" hidden="1" customHeight="1">
      <c r="A666" s="1095"/>
      <c r="B666" s="1092"/>
      <c r="C666" s="1095"/>
      <c r="D666" s="1092"/>
      <c r="E666" s="1088"/>
      <c r="F666" s="1089"/>
      <c r="G666" s="520" t="s">
        <v>1</v>
      </c>
      <c r="H666" s="502">
        <f t="shared" si="158"/>
        <v>0</v>
      </c>
      <c r="I666" s="502">
        <f t="shared" si="159"/>
        <v>0</v>
      </c>
      <c r="J666" s="502">
        <v>0</v>
      </c>
      <c r="K666" s="502">
        <v>0</v>
      </c>
      <c r="L666" s="502">
        <f t="shared" si="160"/>
        <v>0</v>
      </c>
      <c r="M666" s="502">
        <v>0</v>
      </c>
      <c r="N666" s="502">
        <v>0</v>
      </c>
    </row>
    <row r="667" spans="1:14" s="407" customFormat="1" ht="15" hidden="1" customHeight="1">
      <c r="A667" s="1095"/>
      <c r="B667" s="1092"/>
      <c r="C667" s="1095"/>
      <c r="D667" s="1092"/>
      <c r="E667" s="1090"/>
      <c r="F667" s="1091"/>
      <c r="G667" s="520" t="s">
        <v>2</v>
      </c>
      <c r="H667" s="459">
        <f t="shared" si="158"/>
        <v>2500000</v>
      </c>
      <c r="I667" s="459">
        <f t="shared" si="159"/>
        <v>0</v>
      </c>
      <c r="J667" s="459">
        <f>J665+J666</f>
        <v>0</v>
      </c>
      <c r="K667" s="459">
        <f>K665+K666</f>
        <v>0</v>
      </c>
      <c r="L667" s="459">
        <f t="shared" si="160"/>
        <v>2500000</v>
      </c>
      <c r="M667" s="459">
        <f>M665+M666</f>
        <v>0</v>
      </c>
      <c r="N667" s="459">
        <f>N665+N666</f>
        <v>2500000</v>
      </c>
    </row>
    <row r="668" spans="1:14" s="407" customFormat="1" ht="15" hidden="1" customHeight="1">
      <c r="A668" s="1095"/>
      <c r="B668" s="1096"/>
      <c r="C668" s="1095"/>
      <c r="D668" s="1096"/>
      <c r="E668" s="1086" t="s">
        <v>1171</v>
      </c>
      <c r="F668" s="1087"/>
      <c r="G668" s="520" t="s">
        <v>0</v>
      </c>
      <c r="H668" s="502">
        <f t="shared" si="158"/>
        <v>1253000</v>
      </c>
      <c r="I668" s="502">
        <f t="shared" si="159"/>
        <v>0</v>
      </c>
      <c r="J668" s="502">
        <v>0</v>
      </c>
      <c r="K668" s="502">
        <v>0</v>
      </c>
      <c r="L668" s="502">
        <f t="shared" si="160"/>
        <v>1253000</v>
      </c>
      <c r="M668" s="502">
        <v>0</v>
      </c>
      <c r="N668" s="502">
        <v>1253000</v>
      </c>
    </row>
    <row r="669" spans="1:14" s="407" customFormat="1" ht="15" hidden="1" customHeight="1">
      <c r="A669" s="1095"/>
      <c r="B669" s="1092"/>
      <c r="C669" s="1095"/>
      <c r="D669" s="1092"/>
      <c r="E669" s="1088"/>
      <c r="F669" s="1089"/>
      <c r="G669" s="520" t="s">
        <v>1</v>
      </c>
      <c r="H669" s="502">
        <f t="shared" si="158"/>
        <v>0</v>
      </c>
      <c r="I669" s="502">
        <f t="shared" si="159"/>
        <v>0</v>
      </c>
      <c r="J669" s="502">
        <v>0</v>
      </c>
      <c r="K669" s="502">
        <v>0</v>
      </c>
      <c r="L669" s="502">
        <f t="shared" si="160"/>
        <v>0</v>
      </c>
      <c r="M669" s="502">
        <v>0</v>
      </c>
      <c r="N669" s="502">
        <v>0</v>
      </c>
    </row>
    <row r="670" spans="1:14" s="407" customFormat="1" ht="15" hidden="1" customHeight="1">
      <c r="A670" s="1095"/>
      <c r="B670" s="1092"/>
      <c r="C670" s="1095"/>
      <c r="D670" s="1092"/>
      <c r="E670" s="1090"/>
      <c r="F670" s="1091"/>
      <c r="G670" s="520" t="s">
        <v>2</v>
      </c>
      <c r="H670" s="459">
        <f t="shared" si="158"/>
        <v>1253000</v>
      </c>
      <c r="I670" s="459">
        <f t="shared" si="159"/>
        <v>0</v>
      </c>
      <c r="J670" s="459">
        <f>J668+J669</f>
        <v>0</v>
      </c>
      <c r="K670" s="459">
        <f>K668+K669</f>
        <v>0</v>
      </c>
      <c r="L670" s="459">
        <f t="shared" si="160"/>
        <v>1253000</v>
      </c>
      <c r="M670" s="459">
        <f>M668+M669</f>
        <v>0</v>
      </c>
      <c r="N670" s="459">
        <f>N668+N669</f>
        <v>1253000</v>
      </c>
    </row>
    <row r="671" spans="1:14" s="407" customFormat="1" ht="15" hidden="1" customHeight="1">
      <c r="A671" s="1095"/>
      <c r="B671" s="1096"/>
      <c r="C671" s="1095"/>
      <c r="D671" s="1096"/>
      <c r="E671" s="1086" t="s">
        <v>532</v>
      </c>
      <c r="F671" s="1087"/>
      <c r="G671" s="520" t="s">
        <v>0</v>
      </c>
      <c r="H671" s="502">
        <f t="shared" si="158"/>
        <v>300000</v>
      </c>
      <c r="I671" s="502">
        <f t="shared" si="159"/>
        <v>0</v>
      </c>
      <c r="J671" s="502">
        <v>0</v>
      </c>
      <c r="K671" s="502">
        <v>0</v>
      </c>
      <c r="L671" s="502">
        <f t="shared" si="160"/>
        <v>300000</v>
      </c>
      <c r="M671" s="502">
        <v>300000</v>
      </c>
      <c r="N671" s="502">
        <v>0</v>
      </c>
    </row>
    <row r="672" spans="1:14" s="407" customFormat="1" ht="15" hidden="1" customHeight="1">
      <c r="A672" s="1095"/>
      <c r="B672" s="1092"/>
      <c r="C672" s="1095"/>
      <c r="D672" s="1092"/>
      <c r="E672" s="1088"/>
      <c r="F672" s="1089"/>
      <c r="G672" s="520" t="s">
        <v>1</v>
      </c>
      <c r="H672" s="502">
        <f t="shared" si="158"/>
        <v>0</v>
      </c>
      <c r="I672" s="502">
        <f t="shared" si="159"/>
        <v>0</v>
      </c>
      <c r="J672" s="502">
        <v>0</v>
      </c>
      <c r="K672" s="502">
        <v>0</v>
      </c>
      <c r="L672" s="502">
        <f t="shared" si="160"/>
        <v>0</v>
      </c>
      <c r="M672" s="502">
        <v>0</v>
      </c>
      <c r="N672" s="502">
        <v>0</v>
      </c>
    </row>
    <row r="673" spans="1:14" s="407" customFormat="1" ht="15" hidden="1" customHeight="1">
      <c r="A673" s="1095"/>
      <c r="B673" s="1092"/>
      <c r="C673" s="1095"/>
      <c r="D673" s="1092"/>
      <c r="E673" s="1090"/>
      <c r="F673" s="1091"/>
      <c r="G673" s="520" t="s">
        <v>2</v>
      </c>
      <c r="H673" s="459">
        <f t="shared" si="158"/>
        <v>300000</v>
      </c>
      <c r="I673" s="459">
        <f t="shared" si="159"/>
        <v>0</v>
      </c>
      <c r="J673" s="459">
        <f>J671+J672</f>
        <v>0</v>
      </c>
      <c r="K673" s="459">
        <f>K671+K672</f>
        <v>0</v>
      </c>
      <c r="L673" s="459">
        <f t="shared" si="160"/>
        <v>300000</v>
      </c>
      <c r="M673" s="459">
        <f>M671+M672</f>
        <v>300000</v>
      </c>
      <c r="N673" s="459">
        <f>N671+N672</f>
        <v>0</v>
      </c>
    </row>
    <row r="674" spans="1:14" s="407" customFormat="1" ht="14.45" customHeight="1">
      <c r="A674" s="1095"/>
      <c r="B674" s="1096"/>
      <c r="C674" s="1095"/>
      <c r="D674" s="1096"/>
      <c r="E674" s="1086" t="s">
        <v>1172</v>
      </c>
      <c r="F674" s="1087"/>
      <c r="G674" s="520" t="s">
        <v>0</v>
      </c>
      <c r="H674" s="502">
        <f t="shared" si="158"/>
        <v>1800000</v>
      </c>
      <c r="I674" s="502">
        <f t="shared" si="159"/>
        <v>0</v>
      </c>
      <c r="J674" s="502">
        <v>0</v>
      </c>
      <c r="K674" s="502">
        <v>0</v>
      </c>
      <c r="L674" s="502">
        <f t="shared" si="160"/>
        <v>1800000</v>
      </c>
      <c r="M674" s="502">
        <v>0</v>
      </c>
      <c r="N674" s="502">
        <v>1800000</v>
      </c>
    </row>
    <row r="675" spans="1:14" s="407" customFormat="1" ht="14.45" customHeight="1">
      <c r="A675" s="1095"/>
      <c r="B675" s="1092"/>
      <c r="C675" s="1095"/>
      <c r="D675" s="1092"/>
      <c r="E675" s="1088"/>
      <c r="F675" s="1089"/>
      <c r="G675" s="520" t="s">
        <v>1</v>
      </c>
      <c r="H675" s="502">
        <f t="shared" si="158"/>
        <v>500000</v>
      </c>
      <c r="I675" s="502">
        <f t="shared" si="159"/>
        <v>0</v>
      </c>
      <c r="J675" s="502">
        <v>0</v>
      </c>
      <c r="K675" s="502">
        <v>0</v>
      </c>
      <c r="L675" s="502">
        <f t="shared" si="160"/>
        <v>500000</v>
      </c>
      <c r="M675" s="502">
        <v>0</v>
      </c>
      <c r="N675" s="502">
        <v>500000</v>
      </c>
    </row>
    <row r="676" spans="1:14" s="407" customFormat="1" ht="14.45" customHeight="1">
      <c r="A676" s="1095"/>
      <c r="B676" s="1092"/>
      <c r="C676" s="1095"/>
      <c r="D676" s="1092"/>
      <c r="E676" s="1090"/>
      <c r="F676" s="1091"/>
      <c r="G676" s="520" t="s">
        <v>2</v>
      </c>
      <c r="H676" s="459">
        <f t="shared" si="158"/>
        <v>2300000</v>
      </c>
      <c r="I676" s="459">
        <f t="shared" si="159"/>
        <v>0</v>
      </c>
      <c r="J676" s="459">
        <f>J674+J675</f>
        <v>0</v>
      </c>
      <c r="K676" s="459">
        <f>K674+K675</f>
        <v>0</v>
      </c>
      <c r="L676" s="459">
        <f t="shared" si="160"/>
        <v>2300000</v>
      </c>
      <c r="M676" s="459">
        <f>M674+M675</f>
        <v>0</v>
      </c>
      <c r="N676" s="459">
        <f>N674+N675</f>
        <v>2300000</v>
      </c>
    </row>
    <row r="677" spans="1:14" s="480" customFormat="1" ht="15" hidden="1" customHeight="1">
      <c r="A677" s="1084"/>
      <c r="B677" s="1085"/>
      <c r="C677" s="1084"/>
      <c r="D677" s="1085"/>
      <c r="E677" s="1086" t="s">
        <v>534</v>
      </c>
      <c r="F677" s="1087"/>
      <c r="G677" s="520" t="s">
        <v>0</v>
      </c>
      <c r="H677" s="502">
        <f t="shared" si="158"/>
        <v>4500000</v>
      </c>
      <c r="I677" s="502">
        <f t="shared" si="159"/>
        <v>4500000</v>
      </c>
      <c r="J677" s="502">
        <v>4500000</v>
      </c>
      <c r="K677" s="502">
        <v>0</v>
      </c>
      <c r="L677" s="502">
        <f t="shared" si="160"/>
        <v>0</v>
      </c>
      <c r="M677" s="502">
        <v>0</v>
      </c>
      <c r="N677" s="502">
        <v>0</v>
      </c>
    </row>
    <row r="678" spans="1:14" s="480" customFormat="1" ht="15" hidden="1" customHeight="1">
      <c r="A678" s="1084"/>
      <c r="B678" s="1092"/>
      <c r="C678" s="1084"/>
      <c r="D678" s="1092"/>
      <c r="E678" s="1088"/>
      <c r="F678" s="1089"/>
      <c r="G678" s="520" t="s">
        <v>1</v>
      </c>
      <c r="H678" s="502">
        <f t="shared" si="158"/>
        <v>0</v>
      </c>
      <c r="I678" s="502">
        <f t="shared" si="159"/>
        <v>0</v>
      </c>
      <c r="J678" s="502">
        <v>0</v>
      </c>
      <c r="K678" s="502">
        <v>0</v>
      </c>
      <c r="L678" s="502">
        <f t="shared" si="160"/>
        <v>0</v>
      </c>
      <c r="M678" s="502">
        <v>0</v>
      </c>
      <c r="N678" s="502">
        <v>0</v>
      </c>
    </row>
    <row r="679" spans="1:14" s="480" customFormat="1" ht="15" hidden="1" customHeight="1">
      <c r="A679" s="1084"/>
      <c r="B679" s="1092"/>
      <c r="C679" s="1084"/>
      <c r="D679" s="1092"/>
      <c r="E679" s="1090"/>
      <c r="F679" s="1091"/>
      <c r="G679" s="520" t="s">
        <v>2</v>
      </c>
      <c r="H679" s="459">
        <f t="shared" si="158"/>
        <v>4500000</v>
      </c>
      <c r="I679" s="459">
        <f t="shared" si="159"/>
        <v>4500000</v>
      </c>
      <c r="J679" s="459">
        <f>J677+J678</f>
        <v>4500000</v>
      </c>
      <c r="K679" s="459">
        <f>K677+K678</f>
        <v>0</v>
      </c>
      <c r="L679" s="459">
        <f t="shared" si="160"/>
        <v>0</v>
      </c>
      <c r="M679" s="459">
        <f>M677+M678</f>
        <v>0</v>
      </c>
      <c r="N679" s="459">
        <f>N677+N678</f>
        <v>0</v>
      </c>
    </row>
    <row r="680" spans="1:14" s="407" customFormat="1" ht="14.45" customHeight="1">
      <c r="A680" s="1095"/>
      <c r="B680" s="1096"/>
      <c r="C680" s="1095"/>
      <c r="D680" s="1096"/>
      <c r="E680" s="1086" t="s">
        <v>533</v>
      </c>
      <c r="F680" s="1087"/>
      <c r="G680" s="520" t="s">
        <v>0</v>
      </c>
      <c r="H680" s="502">
        <f t="shared" si="158"/>
        <v>1000000</v>
      </c>
      <c r="I680" s="502">
        <f t="shared" si="159"/>
        <v>1000000</v>
      </c>
      <c r="J680" s="502">
        <v>1000000</v>
      </c>
      <c r="K680" s="502">
        <v>0</v>
      </c>
      <c r="L680" s="502">
        <f t="shared" si="160"/>
        <v>0</v>
      </c>
      <c r="M680" s="502">
        <v>0</v>
      </c>
      <c r="N680" s="502">
        <v>0</v>
      </c>
    </row>
    <row r="681" spans="1:14" s="407" customFormat="1" ht="14.45" customHeight="1">
      <c r="A681" s="1095"/>
      <c r="B681" s="1092"/>
      <c r="C681" s="1095"/>
      <c r="D681" s="1092"/>
      <c r="E681" s="1088"/>
      <c r="F681" s="1089"/>
      <c r="G681" s="520" t="s">
        <v>1</v>
      </c>
      <c r="H681" s="502">
        <f t="shared" si="158"/>
        <v>14000000</v>
      </c>
      <c r="I681" s="502">
        <f t="shared" si="159"/>
        <v>14000000</v>
      </c>
      <c r="J681" s="502">
        <v>14000000</v>
      </c>
      <c r="K681" s="502">
        <v>0</v>
      </c>
      <c r="L681" s="502">
        <f t="shared" si="160"/>
        <v>0</v>
      </c>
      <c r="M681" s="502">
        <v>0</v>
      </c>
      <c r="N681" s="502">
        <v>0</v>
      </c>
    </row>
    <row r="682" spans="1:14" s="407" customFormat="1" ht="14.45" customHeight="1">
      <c r="A682" s="1095"/>
      <c r="B682" s="1092"/>
      <c r="C682" s="1095"/>
      <c r="D682" s="1092"/>
      <c r="E682" s="1090"/>
      <c r="F682" s="1091"/>
      <c r="G682" s="520" t="s">
        <v>2</v>
      </c>
      <c r="H682" s="459">
        <f t="shared" si="158"/>
        <v>15000000</v>
      </c>
      <c r="I682" s="459">
        <f t="shared" si="159"/>
        <v>15000000</v>
      </c>
      <c r="J682" s="459">
        <f>J680+J681</f>
        <v>15000000</v>
      </c>
      <c r="K682" s="459">
        <f>K680+K681</f>
        <v>0</v>
      </c>
      <c r="L682" s="459">
        <f t="shared" si="160"/>
        <v>0</v>
      </c>
      <c r="M682" s="459">
        <f>M680+M681</f>
        <v>0</v>
      </c>
      <c r="N682" s="459">
        <f>N680+N681</f>
        <v>0</v>
      </c>
    </row>
    <row r="683" spans="1:14" s="480" customFormat="1" ht="15" hidden="1" customHeight="1">
      <c r="A683" s="1084"/>
      <c r="B683" s="1085"/>
      <c r="C683" s="1084"/>
      <c r="D683" s="1085"/>
      <c r="E683" s="1086" t="s">
        <v>1173</v>
      </c>
      <c r="F683" s="1087"/>
      <c r="G683" s="520" t="s">
        <v>0</v>
      </c>
      <c r="H683" s="502">
        <f t="shared" si="158"/>
        <v>4700000</v>
      </c>
      <c r="I683" s="502">
        <f t="shared" si="159"/>
        <v>4700000</v>
      </c>
      <c r="J683" s="502">
        <v>4700000</v>
      </c>
      <c r="K683" s="502">
        <v>0</v>
      </c>
      <c r="L683" s="502">
        <f t="shared" si="160"/>
        <v>0</v>
      </c>
      <c r="M683" s="502">
        <v>0</v>
      </c>
      <c r="N683" s="502">
        <v>0</v>
      </c>
    </row>
    <row r="684" spans="1:14" s="480" customFormat="1" ht="15" hidden="1" customHeight="1">
      <c r="A684" s="1084"/>
      <c r="B684" s="1092"/>
      <c r="C684" s="1084"/>
      <c r="D684" s="1092"/>
      <c r="E684" s="1088"/>
      <c r="F684" s="1089"/>
      <c r="G684" s="520" t="s">
        <v>1</v>
      </c>
      <c r="H684" s="502">
        <f t="shared" si="158"/>
        <v>0</v>
      </c>
      <c r="I684" s="502">
        <f t="shared" si="159"/>
        <v>0</v>
      </c>
      <c r="J684" s="502">
        <v>0</v>
      </c>
      <c r="K684" s="502">
        <v>0</v>
      </c>
      <c r="L684" s="502">
        <f t="shared" si="160"/>
        <v>0</v>
      </c>
      <c r="M684" s="502">
        <v>0</v>
      </c>
      <c r="N684" s="502">
        <v>0</v>
      </c>
    </row>
    <row r="685" spans="1:14" s="480" customFormat="1" ht="15" hidden="1" customHeight="1">
      <c r="A685" s="1093"/>
      <c r="B685" s="1094"/>
      <c r="C685" s="1093"/>
      <c r="D685" s="1094"/>
      <c r="E685" s="1090"/>
      <c r="F685" s="1091"/>
      <c r="G685" s="520" t="s">
        <v>2</v>
      </c>
      <c r="H685" s="459">
        <f t="shared" si="158"/>
        <v>4700000</v>
      </c>
      <c r="I685" s="459">
        <f t="shared" si="159"/>
        <v>4700000</v>
      </c>
      <c r="J685" s="459">
        <f>J683+J684</f>
        <v>4700000</v>
      </c>
      <c r="K685" s="459">
        <f>K683+K684</f>
        <v>0</v>
      </c>
      <c r="L685" s="459">
        <f t="shared" si="160"/>
        <v>0</v>
      </c>
      <c r="M685" s="459">
        <f>M683+M684</f>
        <v>0</v>
      </c>
      <c r="N685" s="459">
        <f>N683+N684</f>
        <v>0</v>
      </c>
    </row>
    <row r="686" spans="1:14" s="479" customFormat="1" ht="5.0999999999999996" customHeight="1">
      <c r="A686" s="498"/>
      <c r="B686" s="499"/>
      <c r="C686" s="499"/>
      <c r="D686" s="499"/>
      <c r="E686" s="499"/>
      <c r="F686" s="499"/>
      <c r="G686" s="526"/>
      <c r="H686" s="527"/>
      <c r="I686" s="528"/>
      <c r="J686" s="528"/>
      <c r="K686" s="528"/>
      <c r="L686" s="528"/>
      <c r="M686" s="528"/>
      <c r="N686" s="529"/>
    </row>
    <row r="687" spans="1:14" s="439" customFormat="1" ht="15" customHeight="1">
      <c r="A687" s="1075" t="s">
        <v>176</v>
      </c>
      <c r="B687" s="1076"/>
      <c r="C687" s="1076"/>
      <c r="D687" s="1076"/>
      <c r="E687" s="1076"/>
      <c r="F687" s="1077"/>
      <c r="G687" s="436" t="s">
        <v>0</v>
      </c>
      <c r="H687" s="437">
        <f t="shared" ref="H687:N689" si="166">H11</f>
        <v>709349817</v>
      </c>
      <c r="I687" s="437">
        <f t="shared" si="166"/>
        <v>391607585</v>
      </c>
      <c r="J687" s="437">
        <f t="shared" si="166"/>
        <v>205856264</v>
      </c>
      <c r="K687" s="437">
        <f t="shared" si="166"/>
        <v>185751321</v>
      </c>
      <c r="L687" s="437">
        <f t="shared" si="166"/>
        <v>317742232</v>
      </c>
      <c r="M687" s="437">
        <f t="shared" si="166"/>
        <v>1530259</v>
      </c>
      <c r="N687" s="437">
        <f t="shared" si="166"/>
        <v>316211973</v>
      </c>
    </row>
    <row r="688" spans="1:14" s="439" customFormat="1" ht="15" customHeight="1">
      <c r="A688" s="1078"/>
      <c r="B688" s="1079"/>
      <c r="C688" s="1079"/>
      <c r="D688" s="1079"/>
      <c r="E688" s="1079"/>
      <c r="F688" s="1080"/>
      <c r="G688" s="436" t="s">
        <v>1</v>
      </c>
      <c r="H688" s="437">
        <f t="shared" si="166"/>
        <v>26775890</v>
      </c>
      <c r="I688" s="437">
        <f t="shared" si="166"/>
        <v>27047268</v>
      </c>
      <c r="J688" s="437">
        <f t="shared" si="166"/>
        <v>23014290</v>
      </c>
      <c r="K688" s="437">
        <f t="shared" si="166"/>
        <v>4032978</v>
      </c>
      <c r="L688" s="437">
        <f t="shared" si="166"/>
        <v>-271378</v>
      </c>
      <c r="M688" s="437">
        <f t="shared" si="166"/>
        <v>96759</v>
      </c>
      <c r="N688" s="437">
        <f t="shared" si="166"/>
        <v>-368137</v>
      </c>
    </row>
    <row r="689" spans="1:14" s="439" customFormat="1" ht="15" customHeight="1">
      <c r="A689" s="1081"/>
      <c r="B689" s="1082"/>
      <c r="C689" s="1082"/>
      <c r="D689" s="1082"/>
      <c r="E689" s="1082"/>
      <c r="F689" s="1083"/>
      <c r="G689" s="436" t="s">
        <v>2</v>
      </c>
      <c r="H689" s="437">
        <f t="shared" si="166"/>
        <v>736125707</v>
      </c>
      <c r="I689" s="437">
        <f t="shared" si="166"/>
        <v>418654853</v>
      </c>
      <c r="J689" s="437">
        <f t="shared" si="166"/>
        <v>228870554</v>
      </c>
      <c r="K689" s="437">
        <f t="shared" si="166"/>
        <v>189784299</v>
      </c>
      <c r="L689" s="437">
        <f t="shared" si="166"/>
        <v>317470854</v>
      </c>
      <c r="M689" s="437">
        <f t="shared" si="166"/>
        <v>1627018</v>
      </c>
      <c r="N689" s="437">
        <f t="shared" si="166"/>
        <v>315843836</v>
      </c>
    </row>
    <row r="690" spans="1:14" s="407" customFormat="1" ht="2.25" customHeight="1">
      <c r="A690" s="415"/>
      <c r="B690" s="415"/>
      <c r="C690" s="415"/>
      <c r="D690" s="415"/>
      <c r="E690" s="416"/>
      <c r="F690" s="414"/>
      <c r="G690" s="414"/>
      <c r="H690" s="530"/>
      <c r="I690" s="531"/>
      <c r="J690" s="531"/>
      <c r="K690" s="531"/>
      <c r="L690" s="531"/>
      <c r="M690" s="531"/>
      <c r="N690" s="531"/>
    </row>
    <row r="691" spans="1:14" ht="13.5" customHeight="1">
      <c r="A691" s="532" t="s">
        <v>1174</v>
      </c>
      <c r="B691" s="533"/>
      <c r="C691" s="534"/>
      <c r="D691" s="533"/>
      <c r="E691" s="534"/>
      <c r="H691" s="534"/>
      <c r="I691" s="536"/>
      <c r="J691" s="536"/>
      <c r="K691" s="536"/>
      <c r="L691" s="536"/>
      <c r="M691" s="536"/>
      <c r="N691" s="536"/>
    </row>
    <row r="692" spans="1:14" ht="13.5" customHeight="1">
      <c r="A692" s="538" t="s">
        <v>1175</v>
      </c>
      <c r="B692" s="539"/>
      <c r="C692" s="417"/>
      <c r="D692" s="539"/>
      <c r="E692" s="417"/>
      <c r="H692" s="534"/>
      <c r="I692" s="536"/>
      <c r="J692" s="536"/>
      <c r="K692" s="536"/>
      <c r="L692" s="536"/>
      <c r="M692" s="536"/>
      <c r="N692" s="536"/>
    </row>
    <row r="693" spans="1:14" ht="11.1" customHeight="1">
      <c r="A693" s="540" t="s">
        <v>1176</v>
      </c>
      <c r="B693" s="540" t="s">
        <v>1177</v>
      </c>
      <c r="C693" s="541" t="s">
        <v>1178</v>
      </c>
      <c r="H693" s="534"/>
      <c r="I693" s="536"/>
      <c r="J693" s="536"/>
      <c r="K693" s="536"/>
      <c r="L693" s="536"/>
      <c r="M693" s="536"/>
      <c r="N693" s="536"/>
    </row>
    <row r="694" spans="1:14" ht="11.1" customHeight="1">
      <c r="A694" s="540" t="s">
        <v>1</v>
      </c>
      <c r="B694" s="540" t="s">
        <v>1177</v>
      </c>
      <c r="C694" s="541" t="s">
        <v>1179</v>
      </c>
      <c r="H694" s="534"/>
      <c r="I694" s="536"/>
      <c r="J694" s="536"/>
      <c r="K694" s="536"/>
      <c r="L694" s="536"/>
      <c r="M694" s="536"/>
      <c r="N694" s="536"/>
    </row>
    <row r="695" spans="1:14" s="540" customFormat="1" ht="11.1" customHeight="1">
      <c r="A695" s="540" t="s">
        <v>2</v>
      </c>
      <c r="B695" s="540" t="s">
        <v>1177</v>
      </c>
      <c r="C695" s="541" t="s">
        <v>1180</v>
      </c>
      <c r="E695" s="542"/>
      <c r="F695" s="535"/>
      <c r="G695" s="535"/>
      <c r="H695" s="534"/>
      <c r="I695" s="536"/>
      <c r="J695" s="536"/>
      <c r="K695" s="536"/>
      <c r="L695" s="536"/>
      <c r="M695" s="536"/>
      <c r="N695" s="536"/>
    </row>
  </sheetData>
  <sheetProtection algorithmName="SHA-512" hashValue="vHatgQpziQrFK3q632+ixugCxT+KIC89GxEi6DoywhDeceQVaaM4BL3MfvKbiqDCHaJtNkdsDHmpDiAWjTWfkA==" saltValue="Tq3jd/uq4owLk98FYTYgOw==" spinCount="100000" sheet="1" objects="1" scenarios="1"/>
  <mergeCells count="1513"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35:F37"/>
    <mergeCell ref="A39:F41"/>
    <mergeCell ref="A43:B43"/>
    <mergeCell ref="C43:D43"/>
    <mergeCell ref="E43:F45"/>
    <mergeCell ref="A44:B44"/>
    <mergeCell ref="C44:D44"/>
    <mergeCell ref="A45:B45"/>
    <mergeCell ref="C45:D45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61:B61"/>
    <mergeCell ref="C61:D61"/>
    <mergeCell ref="E61:F63"/>
    <mergeCell ref="A62:B62"/>
    <mergeCell ref="C62:D62"/>
    <mergeCell ref="A63:B63"/>
    <mergeCell ref="C63:D63"/>
    <mergeCell ref="A58:B58"/>
    <mergeCell ref="C58:D58"/>
    <mergeCell ref="E58:F60"/>
    <mergeCell ref="A59:B59"/>
    <mergeCell ref="C59:D59"/>
    <mergeCell ref="A60:B60"/>
    <mergeCell ref="C60:D60"/>
    <mergeCell ref="A55:B55"/>
    <mergeCell ref="C55:D55"/>
    <mergeCell ref="E55:F57"/>
    <mergeCell ref="A56:B56"/>
    <mergeCell ref="C56:D56"/>
    <mergeCell ref="A57:B57"/>
    <mergeCell ref="C57:D57"/>
    <mergeCell ref="A70:B70"/>
    <mergeCell ref="C70:D70"/>
    <mergeCell ref="E70:F72"/>
    <mergeCell ref="A71:B71"/>
    <mergeCell ref="C71:D71"/>
    <mergeCell ref="A72:B72"/>
    <mergeCell ref="C72:D72"/>
    <mergeCell ref="A67:B67"/>
    <mergeCell ref="C67:D67"/>
    <mergeCell ref="E67:F69"/>
    <mergeCell ref="A68:B68"/>
    <mergeCell ref="C68:D68"/>
    <mergeCell ref="A69:B69"/>
    <mergeCell ref="C69:D69"/>
    <mergeCell ref="A64:B64"/>
    <mergeCell ref="C64:D64"/>
    <mergeCell ref="E64:F66"/>
    <mergeCell ref="A65:B65"/>
    <mergeCell ref="C65:D65"/>
    <mergeCell ref="A66:B66"/>
    <mergeCell ref="C66:D66"/>
    <mergeCell ref="A79:B79"/>
    <mergeCell ref="C79:D79"/>
    <mergeCell ref="E79:F81"/>
    <mergeCell ref="A80:B80"/>
    <mergeCell ref="C80:D80"/>
    <mergeCell ref="A81:B81"/>
    <mergeCell ref="C81:D81"/>
    <mergeCell ref="A76:B76"/>
    <mergeCell ref="C76:D76"/>
    <mergeCell ref="E76:F78"/>
    <mergeCell ref="A77:B77"/>
    <mergeCell ref="C77:D77"/>
    <mergeCell ref="A78:B78"/>
    <mergeCell ref="C78:D78"/>
    <mergeCell ref="A73:B73"/>
    <mergeCell ref="C73:D73"/>
    <mergeCell ref="E73:F75"/>
    <mergeCell ref="A74:B74"/>
    <mergeCell ref="C74:D74"/>
    <mergeCell ref="A75:B75"/>
    <mergeCell ref="C75:D75"/>
    <mergeCell ref="A88:B88"/>
    <mergeCell ref="C88:D88"/>
    <mergeCell ref="E88:F90"/>
    <mergeCell ref="A89:B89"/>
    <mergeCell ref="C89:D89"/>
    <mergeCell ref="A90:B90"/>
    <mergeCell ref="C90:D90"/>
    <mergeCell ref="A85:B85"/>
    <mergeCell ref="C85:D85"/>
    <mergeCell ref="E85:F87"/>
    <mergeCell ref="A86:B86"/>
    <mergeCell ref="C86:D86"/>
    <mergeCell ref="A87:B87"/>
    <mergeCell ref="C87:D87"/>
    <mergeCell ref="A82:B82"/>
    <mergeCell ref="C82:D82"/>
    <mergeCell ref="E82:F84"/>
    <mergeCell ref="A83:B83"/>
    <mergeCell ref="C83:D83"/>
    <mergeCell ref="A84:B84"/>
    <mergeCell ref="C84:D84"/>
    <mergeCell ref="A97:B97"/>
    <mergeCell ref="C97:D97"/>
    <mergeCell ref="E97:F99"/>
    <mergeCell ref="A98:B98"/>
    <mergeCell ref="C98:D98"/>
    <mergeCell ref="A99:B99"/>
    <mergeCell ref="C99:D99"/>
    <mergeCell ref="A94:B94"/>
    <mergeCell ref="C94:D94"/>
    <mergeCell ref="E94:F96"/>
    <mergeCell ref="A95:B95"/>
    <mergeCell ref="C95:D95"/>
    <mergeCell ref="A96:B96"/>
    <mergeCell ref="C96:D96"/>
    <mergeCell ref="A91:B91"/>
    <mergeCell ref="C91:D91"/>
    <mergeCell ref="E91:F93"/>
    <mergeCell ref="A92:B92"/>
    <mergeCell ref="C92:D92"/>
    <mergeCell ref="A93:B93"/>
    <mergeCell ref="C93:D93"/>
    <mergeCell ref="A106:B106"/>
    <mergeCell ref="C106:D106"/>
    <mergeCell ref="E106:F108"/>
    <mergeCell ref="A107:B107"/>
    <mergeCell ref="C107:D107"/>
    <mergeCell ref="A108:B108"/>
    <mergeCell ref="C108:D108"/>
    <mergeCell ref="A103:B103"/>
    <mergeCell ref="C103:D103"/>
    <mergeCell ref="E103:F105"/>
    <mergeCell ref="A104:B104"/>
    <mergeCell ref="C104:D104"/>
    <mergeCell ref="A105:B105"/>
    <mergeCell ref="C105:D105"/>
    <mergeCell ref="A100:B100"/>
    <mergeCell ref="C100:D100"/>
    <mergeCell ref="E100:F102"/>
    <mergeCell ref="A101:B101"/>
    <mergeCell ref="C101:D101"/>
    <mergeCell ref="A102:B102"/>
    <mergeCell ref="C102:D102"/>
    <mergeCell ref="A116:F118"/>
    <mergeCell ref="A120:F122"/>
    <mergeCell ref="A124:B124"/>
    <mergeCell ref="C124:D124"/>
    <mergeCell ref="F124:F126"/>
    <mergeCell ref="A125:B125"/>
    <mergeCell ref="C125:D125"/>
    <mergeCell ref="A126:B126"/>
    <mergeCell ref="C126:D126"/>
    <mergeCell ref="A112:B112"/>
    <mergeCell ref="C112:D112"/>
    <mergeCell ref="E112:F114"/>
    <mergeCell ref="A113:B113"/>
    <mergeCell ref="C113:D113"/>
    <mergeCell ref="A114:B114"/>
    <mergeCell ref="C114:D114"/>
    <mergeCell ref="A109:B109"/>
    <mergeCell ref="C109:D109"/>
    <mergeCell ref="E109:F111"/>
    <mergeCell ref="A110:B110"/>
    <mergeCell ref="C110:D110"/>
    <mergeCell ref="A111:B111"/>
    <mergeCell ref="C111:D111"/>
    <mergeCell ref="A133:B133"/>
    <mergeCell ref="C133:D133"/>
    <mergeCell ref="F133:F135"/>
    <mergeCell ref="A134:B134"/>
    <mergeCell ref="C134:D134"/>
    <mergeCell ref="A135:B135"/>
    <mergeCell ref="C135:D135"/>
    <mergeCell ref="A130:B130"/>
    <mergeCell ref="C130:D130"/>
    <mergeCell ref="F130:F132"/>
    <mergeCell ref="A131:B131"/>
    <mergeCell ref="C131:D131"/>
    <mergeCell ref="A132:B132"/>
    <mergeCell ref="C132:D132"/>
    <mergeCell ref="A127:B127"/>
    <mergeCell ref="C127:D127"/>
    <mergeCell ref="F127:F129"/>
    <mergeCell ref="A128:B128"/>
    <mergeCell ref="C128:D128"/>
    <mergeCell ref="A129:B129"/>
    <mergeCell ref="C129:D129"/>
    <mergeCell ref="A142:B142"/>
    <mergeCell ref="C142:D142"/>
    <mergeCell ref="F142:F144"/>
    <mergeCell ref="A143:B143"/>
    <mergeCell ref="C143:D143"/>
    <mergeCell ref="A144:B144"/>
    <mergeCell ref="C144:D144"/>
    <mergeCell ref="A139:B139"/>
    <mergeCell ref="C139:D139"/>
    <mergeCell ref="F139:F141"/>
    <mergeCell ref="A140:B140"/>
    <mergeCell ref="C140:D140"/>
    <mergeCell ref="A141:B141"/>
    <mergeCell ref="C141:D141"/>
    <mergeCell ref="A136:B136"/>
    <mergeCell ref="C136:D136"/>
    <mergeCell ref="F136:F138"/>
    <mergeCell ref="A137:B137"/>
    <mergeCell ref="C137:D137"/>
    <mergeCell ref="A138:B138"/>
    <mergeCell ref="C138:D138"/>
    <mergeCell ref="A151:B151"/>
    <mergeCell ref="C151:D151"/>
    <mergeCell ref="F151:F153"/>
    <mergeCell ref="A152:B152"/>
    <mergeCell ref="C152:D152"/>
    <mergeCell ref="A153:B153"/>
    <mergeCell ref="C153:D153"/>
    <mergeCell ref="A148:B148"/>
    <mergeCell ref="C148:D148"/>
    <mergeCell ref="F148:F150"/>
    <mergeCell ref="A149:B149"/>
    <mergeCell ref="C149:D149"/>
    <mergeCell ref="A150:B150"/>
    <mergeCell ref="C150:D150"/>
    <mergeCell ref="A145:B145"/>
    <mergeCell ref="C145:D145"/>
    <mergeCell ref="F145:F147"/>
    <mergeCell ref="A146:B146"/>
    <mergeCell ref="C146:D146"/>
    <mergeCell ref="A147:B147"/>
    <mergeCell ref="C147:D147"/>
    <mergeCell ref="A160:B160"/>
    <mergeCell ref="C160:D160"/>
    <mergeCell ref="F160:F162"/>
    <mergeCell ref="A161:B161"/>
    <mergeCell ref="C161:D161"/>
    <mergeCell ref="A162:B162"/>
    <mergeCell ref="C162:D162"/>
    <mergeCell ref="A157:B157"/>
    <mergeCell ref="C157:D157"/>
    <mergeCell ref="F157:F159"/>
    <mergeCell ref="A158:B158"/>
    <mergeCell ref="C158:D158"/>
    <mergeCell ref="A159:B159"/>
    <mergeCell ref="C159:D159"/>
    <mergeCell ref="A154:B154"/>
    <mergeCell ref="C154:D154"/>
    <mergeCell ref="F154:F156"/>
    <mergeCell ref="A155:B155"/>
    <mergeCell ref="C155:D155"/>
    <mergeCell ref="A156:B156"/>
    <mergeCell ref="C156:D156"/>
    <mergeCell ref="A169:B169"/>
    <mergeCell ref="C169:D169"/>
    <mergeCell ref="F169:F171"/>
    <mergeCell ref="A170:B170"/>
    <mergeCell ref="C170:D170"/>
    <mergeCell ref="A171:B171"/>
    <mergeCell ref="C171:D171"/>
    <mergeCell ref="A166:B166"/>
    <mergeCell ref="C166:D166"/>
    <mergeCell ref="F166:F168"/>
    <mergeCell ref="A167:B167"/>
    <mergeCell ref="C167:D167"/>
    <mergeCell ref="A168:B168"/>
    <mergeCell ref="C168:D168"/>
    <mergeCell ref="A163:B163"/>
    <mergeCell ref="C163:D163"/>
    <mergeCell ref="F163:F165"/>
    <mergeCell ref="A164:B164"/>
    <mergeCell ref="C164:D164"/>
    <mergeCell ref="A165:B165"/>
    <mergeCell ref="C165:D165"/>
    <mergeCell ref="A178:B178"/>
    <mergeCell ref="C178:D178"/>
    <mergeCell ref="F178:F180"/>
    <mergeCell ref="A179:B179"/>
    <mergeCell ref="C179:D179"/>
    <mergeCell ref="A180:B180"/>
    <mergeCell ref="C180:D180"/>
    <mergeCell ref="A175:B175"/>
    <mergeCell ref="C175:D175"/>
    <mergeCell ref="F175:F177"/>
    <mergeCell ref="A176:B176"/>
    <mergeCell ref="C176:D176"/>
    <mergeCell ref="A177:B177"/>
    <mergeCell ref="C177:D177"/>
    <mergeCell ref="A172:B172"/>
    <mergeCell ref="C172:D172"/>
    <mergeCell ref="F172:F174"/>
    <mergeCell ref="A173:B173"/>
    <mergeCell ref="C173:D173"/>
    <mergeCell ref="A174:B174"/>
    <mergeCell ref="C174:D174"/>
    <mergeCell ref="A187:B187"/>
    <mergeCell ref="C187:D187"/>
    <mergeCell ref="F187:F189"/>
    <mergeCell ref="A188:B188"/>
    <mergeCell ref="C188:D188"/>
    <mergeCell ref="A189:B189"/>
    <mergeCell ref="C189:D189"/>
    <mergeCell ref="A184:B184"/>
    <mergeCell ref="C184:D184"/>
    <mergeCell ref="F184:F186"/>
    <mergeCell ref="A185:B185"/>
    <mergeCell ref="C185:D185"/>
    <mergeCell ref="A186:B186"/>
    <mergeCell ref="C186:D186"/>
    <mergeCell ref="A181:B181"/>
    <mergeCell ref="C181:D181"/>
    <mergeCell ref="F181:F183"/>
    <mergeCell ref="A182:B182"/>
    <mergeCell ref="C182:D182"/>
    <mergeCell ref="A183:B183"/>
    <mergeCell ref="C183:D183"/>
    <mergeCell ref="A196:B196"/>
    <mergeCell ref="C196:D196"/>
    <mergeCell ref="F196:F198"/>
    <mergeCell ref="A197:B197"/>
    <mergeCell ref="C197:D197"/>
    <mergeCell ref="A198:B198"/>
    <mergeCell ref="C198:D198"/>
    <mergeCell ref="A193:B193"/>
    <mergeCell ref="C193:D193"/>
    <mergeCell ref="F193:F195"/>
    <mergeCell ref="A194:B194"/>
    <mergeCell ref="C194:D194"/>
    <mergeCell ref="A195:B195"/>
    <mergeCell ref="C195:D195"/>
    <mergeCell ref="A190:B190"/>
    <mergeCell ref="C190:D190"/>
    <mergeCell ref="F190:F192"/>
    <mergeCell ref="A191:B191"/>
    <mergeCell ref="C191:D191"/>
    <mergeCell ref="A192:B192"/>
    <mergeCell ref="C192:D192"/>
    <mergeCell ref="A210:B210"/>
    <mergeCell ref="C210:D210"/>
    <mergeCell ref="F210:F212"/>
    <mergeCell ref="A211:B211"/>
    <mergeCell ref="C211:D211"/>
    <mergeCell ref="A212:B212"/>
    <mergeCell ref="C212:D212"/>
    <mergeCell ref="A203:F205"/>
    <mergeCell ref="A207:B207"/>
    <mergeCell ref="C207:D207"/>
    <mergeCell ref="F207:F209"/>
    <mergeCell ref="A208:B208"/>
    <mergeCell ref="C208:D208"/>
    <mergeCell ref="A209:B209"/>
    <mergeCell ref="C209:D209"/>
    <mergeCell ref="A199:B199"/>
    <mergeCell ref="C199:D199"/>
    <mergeCell ref="F199:F201"/>
    <mergeCell ref="A200:B200"/>
    <mergeCell ref="C200:D200"/>
    <mergeCell ref="A201:B201"/>
    <mergeCell ref="C201:D201"/>
    <mergeCell ref="A219:B219"/>
    <mergeCell ref="C219:D219"/>
    <mergeCell ref="F219:F221"/>
    <mergeCell ref="A220:B220"/>
    <mergeCell ref="C220:D220"/>
    <mergeCell ref="A221:B221"/>
    <mergeCell ref="C221:D221"/>
    <mergeCell ref="A216:B216"/>
    <mergeCell ref="C216:D216"/>
    <mergeCell ref="F216:F218"/>
    <mergeCell ref="A217:B217"/>
    <mergeCell ref="C217:D217"/>
    <mergeCell ref="A218:B218"/>
    <mergeCell ref="C218:D218"/>
    <mergeCell ref="A213:B213"/>
    <mergeCell ref="C213:D213"/>
    <mergeCell ref="F213:F215"/>
    <mergeCell ref="A214:B214"/>
    <mergeCell ref="C214:D214"/>
    <mergeCell ref="A215:B215"/>
    <mergeCell ref="C215:D215"/>
    <mergeCell ref="A228:B228"/>
    <mergeCell ref="C228:D228"/>
    <mergeCell ref="F228:F230"/>
    <mergeCell ref="A229:B229"/>
    <mergeCell ref="C229:D229"/>
    <mergeCell ref="A230:B230"/>
    <mergeCell ref="C230:D230"/>
    <mergeCell ref="A225:B225"/>
    <mergeCell ref="C225:D225"/>
    <mergeCell ref="F225:F227"/>
    <mergeCell ref="A226:B226"/>
    <mergeCell ref="C226:D226"/>
    <mergeCell ref="A227:B227"/>
    <mergeCell ref="C227:D227"/>
    <mergeCell ref="A222:B222"/>
    <mergeCell ref="C222:D222"/>
    <mergeCell ref="F222:F224"/>
    <mergeCell ref="A223:B223"/>
    <mergeCell ref="C223:D223"/>
    <mergeCell ref="A224:B224"/>
    <mergeCell ref="C224:D224"/>
    <mergeCell ref="A237:B237"/>
    <mergeCell ref="C237:D237"/>
    <mergeCell ref="F237:F239"/>
    <mergeCell ref="A238:B238"/>
    <mergeCell ref="C238:D238"/>
    <mergeCell ref="A239:B239"/>
    <mergeCell ref="C239:D239"/>
    <mergeCell ref="A234:B234"/>
    <mergeCell ref="C234:D234"/>
    <mergeCell ref="F234:F236"/>
    <mergeCell ref="A235:B235"/>
    <mergeCell ref="C235:D235"/>
    <mergeCell ref="A236:B236"/>
    <mergeCell ref="C236:D236"/>
    <mergeCell ref="A231:B231"/>
    <mergeCell ref="C231:D231"/>
    <mergeCell ref="F231:F233"/>
    <mergeCell ref="A232:B232"/>
    <mergeCell ref="C232:D232"/>
    <mergeCell ref="A233:B233"/>
    <mergeCell ref="C233:D233"/>
    <mergeCell ref="A246:B246"/>
    <mergeCell ref="C246:D246"/>
    <mergeCell ref="F246:F248"/>
    <mergeCell ref="A247:B247"/>
    <mergeCell ref="C247:D247"/>
    <mergeCell ref="A248:B248"/>
    <mergeCell ref="C248:D248"/>
    <mergeCell ref="A243:B243"/>
    <mergeCell ref="C243:D243"/>
    <mergeCell ref="F243:F245"/>
    <mergeCell ref="A244:B244"/>
    <mergeCell ref="C244:D244"/>
    <mergeCell ref="A245:B245"/>
    <mergeCell ref="C245:D245"/>
    <mergeCell ref="A240:B240"/>
    <mergeCell ref="C240:D240"/>
    <mergeCell ref="F240:F242"/>
    <mergeCell ref="A241:B241"/>
    <mergeCell ref="C241:D241"/>
    <mergeCell ref="A242:B242"/>
    <mergeCell ref="C242:D242"/>
    <mergeCell ref="A255:B255"/>
    <mergeCell ref="C255:D255"/>
    <mergeCell ref="F255:F257"/>
    <mergeCell ref="A256:B256"/>
    <mergeCell ref="C256:D256"/>
    <mergeCell ref="A257:B257"/>
    <mergeCell ref="C257:D257"/>
    <mergeCell ref="A252:B252"/>
    <mergeCell ref="C252:D252"/>
    <mergeCell ref="F252:F254"/>
    <mergeCell ref="A253:B253"/>
    <mergeCell ref="C253:D253"/>
    <mergeCell ref="A254:B254"/>
    <mergeCell ref="C254:D254"/>
    <mergeCell ref="A249:B249"/>
    <mergeCell ref="C249:D249"/>
    <mergeCell ref="F249:F251"/>
    <mergeCell ref="A250:B250"/>
    <mergeCell ref="C250:D250"/>
    <mergeCell ref="A251:B251"/>
    <mergeCell ref="C251:D251"/>
    <mergeCell ref="A264:B264"/>
    <mergeCell ref="C264:D264"/>
    <mergeCell ref="F264:F266"/>
    <mergeCell ref="A265:B265"/>
    <mergeCell ref="C265:D265"/>
    <mergeCell ref="A266:B266"/>
    <mergeCell ref="C266:D266"/>
    <mergeCell ref="A261:B261"/>
    <mergeCell ref="C261:D261"/>
    <mergeCell ref="F261:F263"/>
    <mergeCell ref="A262:B262"/>
    <mergeCell ref="C262:D262"/>
    <mergeCell ref="A263:B263"/>
    <mergeCell ref="C263:D263"/>
    <mergeCell ref="A258:B258"/>
    <mergeCell ref="C258:D258"/>
    <mergeCell ref="F258:F260"/>
    <mergeCell ref="A259:B259"/>
    <mergeCell ref="C259:D259"/>
    <mergeCell ref="A260:B260"/>
    <mergeCell ref="C260:D260"/>
    <mergeCell ref="A273:B273"/>
    <mergeCell ref="C273:D273"/>
    <mergeCell ref="F273:F275"/>
    <mergeCell ref="A274:B274"/>
    <mergeCell ref="C274:D274"/>
    <mergeCell ref="A275:B275"/>
    <mergeCell ref="C275:D275"/>
    <mergeCell ref="A270:B270"/>
    <mergeCell ref="C270:D270"/>
    <mergeCell ref="F270:F272"/>
    <mergeCell ref="A271:B271"/>
    <mergeCell ref="C271:D271"/>
    <mergeCell ref="A272:B272"/>
    <mergeCell ref="C272:D272"/>
    <mergeCell ref="A267:B267"/>
    <mergeCell ref="C267:D267"/>
    <mergeCell ref="F267:F269"/>
    <mergeCell ref="A268:B268"/>
    <mergeCell ref="C268:D268"/>
    <mergeCell ref="A269:B269"/>
    <mergeCell ref="C269:D269"/>
    <mergeCell ref="A282:B282"/>
    <mergeCell ref="C282:D282"/>
    <mergeCell ref="F282:F284"/>
    <mergeCell ref="A283:B283"/>
    <mergeCell ref="C283:D283"/>
    <mergeCell ref="A284:B284"/>
    <mergeCell ref="C284:D284"/>
    <mergeCell ref="A279:B279"/>
    <mergeCell ref="C279:D279"/>
    <mergeCell ref="F279:F281"/>
    <mergeCell ref="A280:B280"/>
    <mergeCell ref="C280:D280"/>
    <mergeCell ref="A281:B281"/>
    <mergeCell ref="C281:D281"/>
    <mergeCell ref="A276:B276"/>
    <mergeCell ref="C276:D276"/>
    <mergeCell ref="F276:F278"/>
    <mergeCell ref="A277:B277"/>
    <mergeCell ref="C277:D277"/>
    <mergeCell ref="A278:B278"/>
    <mergeCell ref="C278:D278"/>
    <mergeCell ref="A291:B291"/>
    <mergeCell ref="C291:D291"/>
    <mergeCell ref="F291:F293"/>
    <mergeCell ref="A292:B292"/>
    <mergeCell ref="C292:D292"/>
    <mergeCell ref="A293:B293"/>
    <mergeCell ref="C293:D293"/>
    <mergeCell ref="A288:B288"/>
    <mergeCell ref="C288:D288"/>
    <mergeCell ref="F288:F290"/>
    <mergeCell ref="A289:B289"/>
    <mergeCell ref="C289:D289"/>
    <mergeCell ref="A290:B290"/>
    <mergeCell ref="C290:D290"/>
    <mergeCell ref="A285:B285"/>
    <mergeCell ref="C285:D285"/>
    <mergeCell ref="F285:F287"/>
    <mergeCell ref="A286:B286"/>
    <mergeCell ref="C286:D286"/>
    <mergeCell ref="A287:B287"/>
    <mergeCell ref="C287:D287"/>
    <mergeCell ref="A305:B305"/>
    <mergeCell ref="C305:D305"/>
    <mergeCell ref="E305:F307"/>
    <mergeCell ref="A306:B306"/>
    <mergeCell ref="C306:D306"/>
    <mergeCell ref="A307:B307"/>
    <mergeCell ref="C307:D307"/>
    <mergeCell ref="A302:B302"/>
    <mergeCell ref="C302:D302"/>
    <mergeCell ref="E302:F304"/>
    <mergeCell ref="A303:B303"/>
    <mergeCell ref="C303:D303"/>
    <mergeCell ref="A304:B304"/>
    <mergeCell ref="C304:D304"/>
    <mergeCell ref="A295:F297"/>
    <mergeCell ref="A299:B299"/>
    <mergeCell ref="C299:D299"/>
    <mergeCell ref="E299:F301"/>
    <mergeCell ref="A300:B300"/>
    <mergeCell ref="C300:D300"/>
    <mergeCell ref="A301:B301"/>
    <mergeCell ref="C301:D301"/>
    <mergeCell ref="A314:B314"/>
    <mergeCell ref="C314:D314"/>
    <mergeCell ref="E314:F316"/>
    <mergeCell ref="A315:B315"/>
    <mergeCell ref="C315:D315"/>
    <mergeCell ref="A316:B316"/>
    <mergeCell ref="C316:D316"/>
    <mergeCell ref="A311:B311"/>
    <mergeCell ref="C311:D311"/>
    <mergeCell ref="E311:F313"/>
    <mergeCell ref="A312:B312"/>
    <mergeCell ref="C312:D312"/>
    <mergeCell ref="A313:B313"/>
    <mergeCell ref="C313:D313"/>
    <mergeCell ref="A308:B308"/>
    <mergeCell ref="C308:D308"/>
    <mergeCell ref="E308:F310"/>
    <mergeCell ref="A309:B309"/>
    <mergeCell ref="C309:D309"/>
    <mergeCell ref="A310:B310"/>
    <mergeCell ref="C310:D310"/>
    <mergeCell ref="A323:B323"/>
    <mergeCell ref="C323:D323"/>
    <mergeCell ref="E323:F325"/>
    <mergeCell ref="A324:B324"/>
    <mergeCell ref="C324:D324"/>
    <mergeCell ref="A325:B325"/>
    <mergeCell ref="C325:D325"/>
    <mergeCell ref="A320:B320"/>
    <mergeCell ref="C320:D320"/>
    <mergeCell ref="E320:F322"/>
    <mergeCell ref="A321:B321"/>
    <mergeCell ref="C321:D321"/>
    <mergeCell ref="A322:B322"/>
    <mergeCell ref="C322:D322"/>
    <mergeCell ref="A317:B317"/>
    <mergeCell ref="C317:D317"/>
    <mergeCell ref="E317:F319"/>
    <mergeCell ref="A318:B318"/>
    <mergeCell ref="C318:D318"/>
    <mergeCell ref="A319:B319"/>
    <mergeCell ref="C319:D319"/>
    <mergeCell ref="A332:B332"/>
    <mergeCell ref="C332:D332"/>
    <mergeCell ref="E332:F334"/>
    <mergeCell ref="A333:B333"/>
    <mergeCell ref="C333:D333"/>
    <mergeCell ref="A334:B334"/>
    <mergeCell ref="C334:D334"/>
    <mergeCell ref="A329:B329"/>
    <mergeCell ref="C329:D329"/>
    <mergeCell ref="E329:F331"/>
    <mergeCell ref="A330:B330"/>
    <mergeCell ref="C330:D330"/>
    <mergeCell ref="A331:B331"/>
    <mergeCell ref="C331:D331"/>
    <mergeCell ref="A326:B326"/>
    <mergeCell ref="C326:D326"/>
    <mergeCell ref="E326:F328"/>
    <mergeCell ref="A327:B327"/>
    <mergeCell ref="C327:D327"/>
    <mergeCell ref="A328:B328"/>
    <mergeCell ref="C328:D328"/>
    <mergeCell ref="A341:B341"/>
    <mergeCell ref="C341:D341"/>
    <mergeCell ref="E341:F343"/>
    <mergeCell ref="A342:B342"/>
    <mergeCell ref="C342:D342"/>
    <mergeCell ref="A343:B343"/>
    <mergeCell ref="C343:D343"/>
    <mergeCell ref="A338:B338"/>
    <mergeCell ref="C338:D338"/>
    <mergeCell ref="E338:F340"/>
    <mergeCell ref="A339:B339"/>
    <mergeCell ref="C339:D339"/>
    <mergeCell ref="A340:B340"/>
    <mergeCell ref="C340:D340"/>
    <mergeCell ref="A335:B335"/>
    <mergeCell ref="C335:D335"/>
    <mergeCell ref="E335:F337"/>
    <mergeCell ref="A336:B336"/>
    <mergeCell ref="C336:D336"/>
    <mergeCell ref="A337:B337"/>
    <mergeCell ref="C337:D337"/>
    <mergeCell ref="A350:B350"/>
    <mergeCell ref="C350:D350"/>
    <mergeCell ref="E350:F352"/>
    <mergeCell ref="A351:B351"/>
    <mergeCell ref="C351:D351"/>
    <mergeCell ref="A352:B352"/>
    <mergeCell ref="C352:D352"/>
    <mergeCell ref="A347:B347"/>
    <mergeCell ref="C347:D347"/>
    <mergeCell ref="E347:F349"/>
    <mergeCell ref="A348:B348"/>
    <mergeCell ref="C348:D348"/>
    <mergeCell ref="A349:B349"/>
    <mergeCell ref="C349:D349"/>
    <mergeCell ref="A344:B344"/>
    <mergeCell ref="C344:D344"/>
    <mergeCell ref="E344:F346"/>
    <mergeCell ref="A345:B345"/>
    <mergeCell ref="C345:D345"/>
    <mergeCell ref="A346:B346"/>
    <mergeCell ref="C346:D346"/>
    <mergeCell ref="A359:B359"/>
    <mergeCell ref="C359:D359"/>
    <mergeCell ref="E359:F361"/>
    <mergeCell ref="A360:B360"/>
    <mergeCell ref="C360:D360"/>
    <mergeCell ref="A361:B361"/>
    <mergeCell ref="C361:D361"/>
    <mergeCell ref="A356:B356"/>
    <mergeCell ref="C356:D356"/>
    <mergeCell ref="E356:F358"/>
    <mergeCell ref="A357:B357"/>
    <mergeCell ref="C357:D357"/>
    <mergeCell ref="A358:B358"/>
    <mergeCell ref="C358:D358"/>
    <mergeCell ref="A353:B353"/>
    <mergeCell ref="C353:D353"/>
    <mergeCell ref="E353:F355"/>
    <mergeCell ref="A354:B354"/>
    <mergeCell ref="C354:D354"/>
    <mergeCell ref="A355:B355"/>
    <mergeCell ref="C355:D355"/>
    <mergeCell ref="A368:B368"/>
    <mergeCell ref="C368:D368"/>
    <mergeCell ref="E368:F370"/>
    <mergeCell ref="A369:B369"/>
    <mergeCell ref="C369:D369"/>
    <mergeCell ref="A370:B370"/>
    <mergeCell ref="C370:D370"/>
    <mergeCell ref="A365:B365"/>
    <mergeCell ref="C365:D365"/>
    <mergeCell ref="E365:F367"/>
    <mergeCell ref="A366:B366"/>
    <mergeCell ref="C366:D366"/>
    <mergeCell ref="A367:B367"/>
    <mergeCell ref="C367:D367"/>
    <mergeCell ref="A362:B362"/>
    <mergeCell ref="C362:D362"/>
    <mergeCell ref="E362:F364"/>
    <mergeCell ref="A363:B363"/>
    <mergeCell ref="C363:D363"/>
    <mergeCell ref="A364:B364"/>
    <mergeCell ref="C364:D364"/>
    <mergeCell ref="A377:B377"/>
    <mergeCell ref="C377:D377"/>
    <mergeCell ref="E377:F379"/>
    <mergeCell ref="A378:B378"/>
    <mergeCell ref="C378:D378"/>
    <mergeCell ref="A379:B379"/>
    <mergeCell ref="C379:D379"/>
    <mergeCell ref="A374:B374"/>
    <mergeCell ref="C374:D374"/>
    <mergeCell ref="E374:F376"/>
    <mergeCell ref="A375:B375"/>
    <mergeCell ref="C375:D375"/>
    <mergeCell ref="A376:B376"/>
    <mergeCell ref="C376:D376"/>
    <mergeCell ref="A371:B371"/>
    <mergeCell ref="C371:D371"/>
    <mergeCell ref="E371:F373"/>
    <mergeCell ref="A372:B372"/>
    <mergeCell ref="C372:D372"/>
    <mergeCell ref="A373:B373"/>
    <mergeCell ref="C373:D373"/>
    <mergeCell ref="A386:B386"/>
    <mergeCell ref="C386:D386"/>
    <mergeCell ref="E386:F388"/>
    <mergeCell ref="A387:B387"/>
    <mergeCell ref="C387:D387"/>
    <mergeCell ref="A388:B388"/>
    <mergeCell ref="C388:D388"/>
    <mergeCell ref="A383:B383"/>
    <mergeCell ref="C383:D383"/>
    <mergeCell ref="E383:F385"/>
    <mergeCell ref="A384:B384"/>
    <mergeCell ref="C384:D384"/>
    <mergeCell ref="A385:B385"/>
    <mergeCell ref="C385:D385"/>
    <mergeCell ref="A380:B380"/>
    <mergeCell ref="C380:D380"/>
    <mergeCell ref="E380:F382"/>
    <mergeCell ref="A381:B381"/>
    <mergeCell ref="C381:D381"/>
    <mergeCell ref="A382:B382"/>
    <mergeCell ref="C382:D382"/>
    <mergeCell ref="A395:B395"/>
    <mergeCell ref="C395:D395"/>
    <mergeCell ref="E395:F397"/>
    <mergeCell ref="A396:B396"/>
    <mergeCell ref="C396:D396"/>
    <mergeCell ref="A397:B397"/>
    <mergeCell ref="C397:D397"/>
    <mergeCell ref="A392:B392"/>
    <mergeCell ref="C392:D392"/>
    <mergeCell ref="E392:F394"/>
    <mergeCell ref="A393:B393"/>
    <mergeCell ref="C393:D393"/>
    <mergeCell ref="A394:B394"/>
    <mergeCell ref="C394:D394"/>
    <mergeCell ref="A389:B389"/>
    <mergeCell ref="C389:D389"/>
    <mergeCell ref="E389:F391"/>
    <mergeCell ref="A390:B390"/>
    <mergeCell ref="C390:D390"/>
    <mergeCell ref="A391:B391"/>
    <mergeCell ref="C391:D391"/>
    <mergeCell ref="A404:B404"/>
    <mergeCell ref="C404:D404"/>
    <mergeCell ref="E404:F406"/>
    <mergeCell ref="A405:B405"/>
    <mergeCell ref="C405:D405"/>
    <mergeCell ref="A406:B406"/>
    <mergeCell ref="C406:D406"/>
    <mergeCell ref="A401:B401"/>
    <mergeCell ref="C401:D401"/>
    <mergeCell ref="E401:F403"/>
    <mergeCell ref="A402:B402"/>
    <mergeCell ref="C402:D402"/>
    <mergeCell ref="A403:B403"/>
    <mergeCell ref="C403:D403"/>
    <mergeCell ref="A398:B398"/>
    <mergeCell ref="C398:D398"/>
    <mergeCell ref="E398:F400"/>
    <mergeCell ref="A399:B399"/>
    <mergeCell ref="C399:D399"/>
    <mergeCell ref="A400:B400"/>
    <mergeCell ref="C400:D400"/>
    <mergeCell ref="A413:B413"/>
    <mergeCell ref="C413:D413"/>
    <mergeCell ref="E413:F415"/>
    <mergeCell ref="A414:B414"/>
    <mergeCell ref="C414:D414"/>
    <mergeCell ref="A415:B415"/>
    <mergeCell ref="C415:D415"/>
    <mergeCell ref="A410:B410"/>
    <mergeCell ref="C410:D410"/>
    <mergeCell ref="E410:F412"/>
    <mergeCell ref="A411:B411"/>
    <mergeCell ref="C411:D411"/>
    <mergeCell ref="A412:B412"/>
    <mergeCell ref="C412:D412"/>
    <mergeCell ref="A407:B407"/>
    <mergeCell ref="C407:D407"/>
    <mergeCell ref="E407:F409"/>
    <mergeCell ref="A408:B408"/>
    <mergeCell ref="C408:D408"/>
    <mergeCell ref="A409:B409"/>
    <mergeCell ref="C409:D409"/>
    <mergeCell ref="A422:B422"/>
    <mergeCell ref="C422:D422"/>
    <mergeCell ref="E422:F424"/>
    <mergeCell ref="A423:B423"/>
    <mergeCell ref="C423:D423"/>
    <mergeCell ref="A424:B424"/>
    <mergeCell ref="C424:D424"/>
    <mergeCell ref="A419:B419"/>
    <mergeCell ref="C419:D419"/>
    <mergeCell ref="E419:F421"/>
    <mergeCell ref="A420:B420"/>
    <mergeCell ref="C420:D420"/>
    <mergeCell ref="A421:B421"/>
    <mergeCell ref="C421:D421"/>
    <mergeCell ref="A416:B416"/>
    <mergeCell ref="C416:D416"/>
    <mergeCell ref="E416:F418"/>
    <mergeCell ref="A417:B417"/>
    <mergeCell ref="C417:D417"/>
    <mergeCell ref="A418:B418"/>
    <mergeCell ref="C418:D418"/>
    <mergeCell ref="A431:B431"/>
    <mergeCell ref="C431:D431"/>
    <mergeCell ref="E431:F433"/>
    <mergeCell ref="A432:B432"/>
    <mergeCell ref="C432:D432"/>
    <mergeCell ref="A433:B433"/>
    <mergeCell ref="C433:D433"/>
    <mergeCell ref="A428:B428"/>
    <mergeCell ref="C428:D428"/>
    <mergeCell ref="E428:F430"/>
    <mergeCell ref="A429:B429"/>
    <mergeCell ref="C429:D429"/>
    <mergeCell ref="A430:B430"/>
    <mergeCell ref="C430:D430"/>
    <mergeCell ref="A425:B425"/>
    <mergeCell ref="C425:D425"/>
    <mergeCell ref="E425:F427"/>
    <mergeCell ref="A426:B426"/>
    <mergeCell ref="C426:D426"/>
    <mergeCell ref="A427:B427"/>
    <mergeCell ref="C427:D427"/>
    <mergeCell ref="A440:B440"/>
    <mergeCell ref="C440:D440"/>
    <mergeCell ref="E440:F442"/>
    <mergeCell ref="A441:B441"/>
    <mergeCell ref="C441:D441"/>
    <mergeCell ref="A442:B442"/>
    <mergeCell ref="C442:D442"/>
    <mergeCell ref="A437:B437"/>
    <mergeCell ref="C437:D437"/>
    <mergeCell ref="E437:F439"/>
    <mergeCell ref="A438:B438"/>
    <mergeCell ref="C438:D438"/>
    <mergeCell ref="A439:B439"/>
    <mergeCell ref="C439:D439"/>
    <mergeCell ref="A434:B434"/>
    <mergeCell ref="C434:D434"/>
    <mergeCell ref="E434:F436"/>
    <mergeCell ref="A435:B435"/>
    <mergeCell ref="C435:D435"/>
    <mergeCell ref="A436:B436"/>
    <mergeCell ref="C436:D436"/>
    <mergeCell ref="A449:B449"/>
    <mergeCell ref="C449:D449"/>
    <mergeCell ref="E449:F451"/>
    <mergeCell ref="A450:B450"/>
    <mergeCell ref="C450:D450"/>
    <mergeCell ref="A451:B451"/>
    <mergeCell ref="C451:D451"/>
    <mergeCell ref="A446:B446"/>
    <mergeCell ref="C446:D446"/>
    <mergeCell ref="E446:F448"/>
    <mergeCell ref="A447:B447"/>
    <mergeCell ref="C447:D447"/>
    <mergeCell ref="A448:B448"/>
    <mergeCell ref="C448:D448"/>
    <mergeCell ref="A443:B443"/>
    <mergeCell ref="C443:D443"/>
    <mergeCell ref="E443:F445"/>
    <mergeCell ref="A444:B444"/>
    <mergeCell ref="C444:D444"/>
    <mergeCell ref="A445:B445"/>
    <mergeCell ref="C445:D445"/>
    <mergeCell ref="A458:B458"/>
    <mergeCell ref="C458:D458"/>
    <mergeCell ref="E458:F460"/>
    <mergeCell ref="A459:B459"/>
    <mergeCell ref="C459:D459"/>
    <mergeCell ref="A460:B460"/>
    <mergeCell ref="C460:D460"/>
    <mergeCell ref="A455:B455"/>
    <mergeCell ref="C455:D455"/>
    <mergeCell ref="E455:F457"/>
    <mergeCell ref="A456:B456"/>
    <mergeCell ref="C456:D456"/>
    <mergeCell ref="A457:B457"/>
    <mergeCell ref="C457:D457"/>
    <mergeCell ref="A452:B452"/>
    <mergeCell ref="C452:D452"/>
    <mergeCell ref="E452:F454"/>
    <mergeCell ref="A453:B453"/>
    <mergeCell ref="C453:D453"/>
    <mergeCell ref="A454:B454"/>
    <mergeCell ref="C454:D454"/>
    <mergeCell ref="A467:B467"/>
    <mergeCell ref="C467:D467"/>
    <mergeCell ref="E467:F469"/>
    <mergeCell ref="A468:B468"/>
    <mergeCell ref="C468:D468"/>
    <mergeCell ref="A469:B469"/>
    <mergeCell ref="C469:D469"/>
    <mergeCell ref="A464:B464"/>
    <mergeCell ref="C464:D464"/>
    <mergeCell ref="E464:F466"/>
    <mergeCell ref="A465:B465"/>
    <mergeCell ref="C465:D465"/>
    <mergeCell ref="A466:B466"/>
    <mergeCell ref="C466:D466"/>
    <mergeCell ref="A461:B461"/>
    <mergeCell ref="C461:D461"/>
    <mergeCell ref="E461:F463"/>
    <mergeCell ref="A462:B462"/>
    <mergeCell ref="C462:D462"/>
    <mergeCell ref="A463:B463"/>
    <mergeCell ref="C463:D463"/>
    <mergeCell ref="A476:B476"/>
    <mergeCell ref="C476:D476"/>
    <mergeCell ref="E476:F478"/>
    <mergeCell ref="A477:B477"/>
    <mergeCell ref="C477:D477"/>
    <mergeCell ref="A478:B478"/>
    <mergeCell ref="C478:D478"/>
    <mergeCell ref="A473:B473"/>
    <mergeCell ref="C473:D473"/>
    <mergeCell ref="E473:F475"/>
    <mergeCell ref="A474:B474"/>
    <mergeCell ref="C474:D474"/>
    <mergeCell ref="A475:B475"/>
    <mergeCell ref="C475:D475"/>
    <mergeCell ref="A470:B470"/>
    <mergeCell ref="C470:D470"/>
    <mergeCell ref="E470:F472"/>
    <mergeCell ref="A471:B471"/>
    <mergeCell ref="C471:D471"/>
    <mergeCell ref="A472:B472"/>
    <mergeCell ref="C472:D472"/>
    <mergeCell ref="A485:B485"/>
    <mergeCell ref="C485:D485"/>
    <mergeCell ref="E485:F487"/>
    <mergeCell ref="A486:B486"/>
    <mergeCell ref="C486:D486"/>
    <mergeCell ref="A487:B487"/>
    <mergeCell ref="C487:D487"/>
    <mergeCell ref="A482:B482"/>
    <mergeCell ref="C482:D482"/>
    <mergeCell ref="E482:F484"/>
    <mergeCell ref="A483:B483"/>
    <mergeCell ref="C483:D483"/>
    <mergeCell ref="A484:B484"/>
    <mergeCell ref="C484:D484"/>
    <mergeCell ref="A479:B479"/>
    <mergeCell ref="C479:D479"/>
    <mergeCell ref="E479:F481"/>
    <mergeCell ref="A480:B480"/>
    <mergeCell ref="C480:D480"/>
    <mergeCell ref="A481:B481"/>
    <mergeCell ref="C481:D481"/>
    <mergeCell ref="A494:B494"/>
    <mergeCell ref="C494:D494"/>
    <mergeCell ref="E494:F496"/>
    <mergeCell ref="A495:B495"/>
    <mergeCell ref="C495:D495"/>
    <mergeCell ref="A496:B496"/>
    <mergeCell ref="C496:D496"/>
    <mergeCell ref="A491:B491"/>
    <mergeCell ref="C491:D491"/>
    <mergeCell ref="E491:F493"/>
    <mergeCell ref="A492:B492"/>
    <mergeCell ref="C492:D492"/>
    <mergeCell ref="A493:B493"/>
    <mergeCell ref="C493:D493"/>
    <mergeCell ref="A488:B488"/>
    <mergeCell ref="C488:D488"/>
    <mergeCell ref="E488:F490"/>
    <mergeCell ref="A489:B489"/>
    <mergeCell ref="C489:D489"/>
    <mergeCell ref="A490:B490"/>
    <mergeCell ref="C490:D490"/>
    <mergeCell ref="A503:B503"/>
    <mergeCell ref="C503:D503"/>
    <mergeCell ref="E503:F505"/>
    <mergeCell ref="A504:B504"/>
    <mergeCell ref="C504:D504"/>
    <mergeCell ref="A505:B505"/>
    <mergeCell ref="C505:D505"/>
    <mergeCell ref="A500:B500"/>
    <mergeCell ref="C500:D500"/>
    <mergeCell ref="E500:F502"/>
    <mergeCell ref="A501:B501"/>
    <mergeCell ref="C501:D501"/>
    <mergeCell ref="A502:B502"/>
    <mergeCell ref="C502:D502"/>
    <mergeCell ref="A497:B497"/>
    <mergeCell ref="C497:D497"/>
    <mergeCell ref="E497:F499"/>
    <mergeCell ref="A498:B498"/>
    <mergeCell ref="C498:D498"/>
    <mergeCell ref="A499:B499"/>
    <mergeCell ref="C499:D499"/>
    <mergeCell ref="A512:B512"/>
    <mergeCell ref="C512:D512"/>
    <mergeCell ref="E512:F514"/>
    <mergeCell ref="A513:B513"/>
    <mergeCell ref="C513:D513"/>
    <mergeCell ref="A514:B514"/>
    <mergeCell ref="C514:D514"/>
    <mergeCell ref="A509:B509"/>
    <mergeCell ref="C509:D509"/>
    <mergeCell ref="E509:F511"/>
    <mergeCell ref="A510:B510"/>
    <mergeCell ref="C510:D510"/>
    <mergeCell ref="A511:B511"/>
    <mergeCell ref="C511:D511"/>
    <mergeCell ref="A506:B506"/>
    <mergeCell ref="C506:D506"/>
    <mergeCell ref="E506:F508"/>
    <mergeCell ref="A507:B507"/>
    <mergeCell ref="C507:D507"/>
    <mergeCell ref="A508:B508"/>
    <mergeCell ref="C508:D508"/>
    <mergeCell ref="A521:B521"/>
    <mergeCell ref="C521:D521"/>
    <mergeCell ref="E521:F523"/>
    <mergeCell ref="A522:B522"/>
    <mergeCell ref="C522:D522"/>
    <mergeCell ref="A523:B523"/>
    <mergeCell ref="C523:D523"/>
    <mergeCell ref="A518:B518"/>
    <mergeCell ref="C518:D518"/>
    <mergeCell ref="E518:F520"/>
    <mergeCell ref="A519:B519"/>
    <mergeCell ref="C519:D519"/>
    <mergeCell ref="A520:B520"/>
    <mergeCell ref="C520:D520"/>
    <mergeCell ref="A515:B515"/>
    <mergeCell ref="C515:D515"/>
    <mergeCell ref="E515:F517"/>
    <mergeCell ref="A516:B516"/>
    <mergeCell ref="C516:D516"/>
    <mergeCell ref="A517:B517"/>
    <mergeCell ref="C517:D517"/>
    <mergeCell ref="A530:B530"/>
    <mergeCell ref="C530:D530"/>
    <mergeCell ref="E530:F532"/>
    <mergeCell ref="A531:B531"/>
    <mergeCell ref="C531:D531"/>
    <mergeCell ref="A532:B532"/>
    <mergeCell ref="C532:D532"/>
    <mergeCell ref="A527:B527"/>
    <mergeCell ref="C527:D527"/>
    <mergeCell ref="E527:F529"/>
    <mergeCell ref="A528:B528"/>
    <mergeCell ref="C528:D528"/>
    <mergeCell ref="A529:B529"/>
    <mergeCell ref="C529:D529"/>
    <mergeCell ref="A524:B524"/>
    <mergeCell ref="C524:D524"/>
    <mergeCell ref="E524:F526"/>
    <mergeCell ref="A525:B525"/>
    <mergeCell ref="C525:D525"/>
    <mergeCell ref="A526:B526"/>
    <mergeCell ref="C526:D526"/>
    <mergeCell ref="A539:B539"/>
    <mergeCell ref="C539:D539"/>
    <mergeCell ref="E539:F541"/>
    <mergeCell ref="A540:B540"/>
    <mergeCell ref="C540:D540"/>
    <mergeCell ref="A541:B541"/>
    <mergeCell ref="C541:D541"/>
    <mergeCell ref="A536:B536"/>
    <mergeCell ref="C536:D536"/>
    <mergeCell ref="E536:F538"/>
    <mergeCell ref="A537:B537"/>
    <mergeCell ref="C537:D537"/>
    <mergeCell ref="A538:B538"/>
    <mergeCell ref="C538:D538"/>
    <mergeCell ref="A533:B533"/>
    <mergeCell ref="C533:D533"/>
    <mergeCell ref="E533:F535"/>
    <mergeCell ref="A534:B534"/>
    <mergeCell ref="C534:D534"/>
    <mergeCell ref="A535:B535"/>
    <mergeCell ref="C535:D535"/>
    <mergeCell ref="A548:B548"/>
    <mergeCell ref="C548:D548"/>
    <mergeCell ref="E548:F550"/>
    <mergeCell ref="A549:B549"/>
    <mergeCell ref="C549:D549"/>
    <mergeCell ref="A550:B550"/>
    <mergeCell ref="C550:D550"/>
    <mergeCell ref="A545:B545"/>
    <mergeCell ref="C545:D545"/>
    <mergeCell ref="E545:F547"/>
    <mergeCell ref="A546:B546"/>
    <mergeCell ref="C546:D546"/>
    <mergeCell ref="A547:B547"/>
    <mergeCell ref="C547:D547"/>
    <mergeCell ref="A542:B542"/>
    <mergeCell ref="C542:D542"/>
    <mergeCell ref="E542:F544"/>
    <mergeCell ref="A543:B543"/>
    <mergeCell ref="C543:D543"/>
    <mergeCell ref="A544:B544"/>
    <mergeCell ref="C544:D544"/>
    <mergeCell ref="A557:B557"/>
    <mergeCell ref="C557:D557"/>
    <mergeCell ref="E557:F559"/>
    <mergeCell ref="A558:B558"/>
    <mergeCell ref="C558:D558"/>
    <mergeCell ref="A559:B559"/>
    <mergeCell ref="C559:D559"/>
    <mergeCell ref="A554:B554"/>
    <mergeCell ref="C554:D554"/>
    <mergeCell ref="E554:F556"/>
    <mergeCell ref="A555:B555"/>
    <mergeCell ref="C555:D555"/>
    <mergeCell ref="A556:B556"/>
    <mergeCell ref="C556:D556"/>
    <mergeCell ref="A551:B551"/>
    <mergeCell ref="C551:D551"/>
    <mergeCell ref="E551:F553"/>
    <mergeCell ref="A552:B552"/>
    <mergeCell ref="C552:D552"/>
    <mergeCell ref="A553:B553"/>
    <mergeCell ref="C553:D553"/>
    <mergeCell ref="A566:B566"/>
    <mergeCell ref="C566:D566"/>
    <mergeCell ref="E566:F568"/>
    <mergeCell ref="A567:B567"/>
    <mergeCell ref="C567:D567"/>
    <mergeCell ref="A568:B568"/>
    <mergeCell ref="C568:D568"/>
    <mergeCell ref="A563:B563"/>
    <mergeCell ref="C563:D563"/>
    <mergeCell ref="E563:F565"/>
    <mergeCell ref="A564:B564"/>
    <mergeCell ref="C564:D564"/>
    <mergeCell ref="A565:B565"/>
    <mergeCell ref="C565:D565"/>
    <mergeCell ref="A560:B560"/>
    <mergeCell ref="C560:D560"/>
    <mergeCell ref="E560:F562"/>
    <mergeCell ref="A561:B561"/>
    <mergeCell ref="C561:D561"/>
    <mergeCell ref="A562:B562"/>
    <mergeCell ref="C562:D562"/>
    <mergeCell ref="A575:B575"/>
    <mergeCell ref="C575:D575"/>
    <mergeCell ref="E575:F577"/>
    <mergeCell ref="A576:B576"/>
    <mergeCell ref="C576:D576"/>
    <mergeCell ref="A577:B577"/>
    <mergeCell ref="C577:D577"/>
    <mergeCell ref="A572:B572"/>
    <mergeCell ref="C572:D572"/>
    <mergeCell ref="E572:F574"/>
    <mergeCell ref="A573:B573"/>
    <mergeCell ref="C573:D573"/>
    <mergeCell ref="A574:B574"/>
    <mergeCell ref="C574:D574"/>
    <mergeCell ref="A569:B569"/>
    <mergeCell ref="C569:D569"/>
    <mergeCell ref="E569:F571"/>
    <mergeCell ref="A570:B570"/>
    <mergeCell ref="C570:D570"/>
    <mergeCell ref="A571:B571"/>
    <mergeCell ref="C571:D571"/>
    <mergeCell ref="A584:B584"/>
    <mergeCell ref="C584:D584"/>
    <mergeCell ref="E584:F586"/>
    <mergeCell ref="A585:B585"/>
    <mergeCell ref="C585:D585"/>
    <mergeCell ref="A586:B586"/>
    <mergeCell ref="C586:D586"/>
    <mergeCell ref="A581:B581"/>
    <mergeCell ref="C581:D581"/>
    <mergeCell ref="E581:F583"/>
    <mergeCell ref="A582:B582"/>
    <mergeCell ref="C582:D582"/>
    <mergeCell ref="A583:B583"/>
    <mergeCell ref="C583:D583"/>
    <mergeCell ref="A578:B578"/>
    <mergeCell ref="C578:D578"/>
    <mergeCell ref="E578:F580"/>
    <mergeCell ref="A579:B579"/>
    <mergeCell ref="C579:D579"/>
    <mergeCell ref="A580:B580"/>
    <mergeCell ref="C580:D580"/>
    <mergeCell ref="A593:B593"/>
    <mergeCell ref="C593:D593"/>
    <mergeCell ref="E593:F595"/>
    <mergeCell ref="A594:B594"/>
    <mergeCell ref="C594:D594"/>
    <mergeCell ref="A595:B595"/>
    <mergeCell ref="C595:D595"/>
    <mergeCell ref="A590:B590"/>
    <mergeCell ref="C590:D590"/>
    <mergeCell ref="E590:F592"/>
    <mergeCell ref="A591:B591"/>
    <mergeCell ref="C591:D591"/>
    <mergeCell ref="A592:B592"/>
    <mergeCell ref="C592:D592"/>
    <mergeCell ref="A587:B587"/>
    <mergeCell ref="C587:D587"/>
    <mergeCell ref="E587:F589"/>
    <mergeCell ref="A588:B588"/>
    <mergeCell ref="C588:D588"/>
    <mergeCell ref="A589:B589"/>
    <mergeCell ref="C589:D589"/>
    <mergeCell ref="A602:B602"/>
    <mergeCell ref="C602:D602"/>
    <mergeCell ref="E602:F604"/>
    <mergeCell ref="A603:B603"/>
    <mergeCell ref="C603:D603"/>
    <mergeCell ref="A604:B604"/>
    <mergeCell ref="C604:D604"/>
    <mergeCell ref="A599:B599"/>
    <mergeCell ref="C599:D599"/>
    <mergeCell ref="E599:F601"/>
    <mergeCell ref="A600:B600"/>
    <mergeCell ref="C600:D600"/>
    <mergeCell ref="A601:B601"/>
    <mergeCell ref="C601:D601"/>
    <mergeCell ref="A596:B596"/>
    <mergeCell ref="C596:D596"/>
    <mergeCell ref="E596:F598"/>
    <mergeCell ref="A597:B597"/>
    <mergeCell ref="C597:D597"/>
    <mergeCell ref="A598:B598"/>
    <mergeCell ref="C598:D598"/>
    <mergeCell ref="A611:B611"/>
    <mergeCell ref="C611:D611"/>
    <mergeCell ref="E611:F613"/>
    <mergeCell ref="A612:B612"/>
    <mergeCell ref="C612:D612"/>
    <mergeCell ref="A613:B613"/>
    <mergeCell ref="C613:D613"/>
    <mergeCell ref="A608:B608"/>
    <mergeCell ref="C608:D608"/>
    <mergeCell ref="E608:F610"/>
    <mergeCell ref="A609:B609"/>
    <mergeCell ref="C609:D609"/>
    <mergeCell ref="A610:B610"/>
    <mergeCell ref="C610:D610"/>
    <mergeCell ref="A605:B605"/>
    <mergeCell ref="C605:D605"/>
    <mergeCell ref="E605:F607"/>
    <mergeCell ref="A606:B606"/>
    <mergeCell ref="C606:D606"/>
    <mergeCell ref="A607:B607"/>
    <mergeCell ref="C607:D607"/>
    <mergeCell ref="A620:B620"/>
    <mergeCell ref="C620:D620"/>
    <mergeCell ref="E620:F622"/>
    <mergeCell ref="A621:B621"/>
    <mergeCell ref="C621:D621"/>
    <mergeCell ref="A622:B622"/>
    <mergeCell ref="C622:D622"/>
    <mergeCell ref="A617:B617"/>
    <mergeCell ref="C617:D617"/>
    <mergeCell ref="E617:F619"/>
    <mergeCell ref="A618:B618"/>
    <mergeCell ref="C618:D618"/>
    <mergeCell ref="A619:B619"/>
    <mergeCell ref="C619:D619"/>
    <mergeCell ref="A614:B614"/>
    <mergeCell ref="C614:D614"/>
    <mergeCell ref="E614:F616"/>
    <mergeCell ref="A615:B615"/>
    <mergeCell ref="C615:D615"/>
    <mergeCell ref="A616:B616"/>
    <mergeCell ref="C616:D616"/>
    <mergeCell ref="A629:B629"/>
    <mergeCell ref="C629:D629"/>
    <mergeCell ref="E629:F631"/>
    <mergeCell ref="A630:B630"/>
    <mergeCell ref="C630:D630"/>
    <mergeCell ref="A631:B631"/>
    <mergeCell ref="C631:D631"/>
    <mergeCell ref="A626:B626"/>
    <mergeCell ref="C626:D626"/>
    <mergeCell ref="E626:F628"/>
    <mergeCell ref="A627:B627"/>
    <mergeCell ref="C627:D627"/>
    <mergeCell ref="A628:B628"/>
    <mergeCell ref="C628:D628"/>
    <mergeCell ref="A623:B623"/>
    <mergeCell ref="C623:D623"/>
    <mergeCell ref="E623:F625"/>
    <mergeCell ref="A624:B624"/>
    <mergeCell ref="C624:D624"/>
    <mergeCell ref="A625:B625"/>
    <mergeCell ref="C625:D625"/>
    <mergeCell ref="A638:B638"/>
    <mergeCell ref="C638:D638"/>
    <mergeCell ref="E638:F640"/>
    <mergeCell ref="A639:B639"/>
    <mergeCell ref="C639:D639"/>
    <mergeCell ref="A640:B640"/>
    <mergeCell ref="C640:D640"/>
    <mergeCell ref="A635:B635"/>
    <mergeCell ref="C635:D635"/>
    <mergeCell ref="E635:F637"/>
    <mergeCell ref="A636:B636"/>
    <mergeCell ref="C636:D636"/>
    <mergeCell ref="A637:B637"/>
    <mergeCell ref="C637:D637"/>
    <mergeCell ref="A632:B632"/>
    <mergeCell ref="C632:D632"/>
    <mergeCell ref="E632:F634"/>
    <mergeCell ref="A633:B633"/>
    <mergeCell ref="C633:D633"/>
    <mergeCell ref="A634:B634"/>
    <mergeCell ref="C634:D634"/>
    <mergeCell ref="A647:B647"/>
    <mergeCell ref="C647:D647"/>
    <mergeCell ref="E647:F649"/>
    <mergeCell ref="A648:B648"/>
    <mergeCell ref="C648:D648"/>
    <mergeCell ref="A649:B649"/>
    <mergeCell ref="C649:D649"/>
    <mergeCell ref="A644:B644"/>
    <mergeCell ref="C644:D644"/>
    <mergeCell ref="E644:F646"/>
    <mergeCell ref="A645:B645"/>
    <mergeCell ref="C645:D645"/>
    <mergeCell ref="A646:B646"/>
    <mergeCell ref="C646:D646"/>
    <mergeCell ref="A641:B641"/>
    <mergeCell ref="C641:D641"/>
    <mergeCell ref="E641:F643"/>
    <mergeCell ref="A642:B642"/>
    <mergeCell ref="C642:D642"/>
    <mergeCell ref="A643:B643"/>
    <mergeCell ref="C643:D643"/>
    <mergeCell ref="A656:B656"/>
    <mergeCell ref="C656:D656"/>
    <mergeCell ref="E656:F658"/>
    <mergeCell ref="A657:B657"/>
    <mergeCell ref="C657:D657"/>
    <mergeCell ref="A658:B658"/>
    <mergeCell ref="C658:D658"/>
    <mergeCell ref="A653:B653"/>
    <mergeCell ref="C653:D653"/>
    <mergeCell ref="E653:F655"/>
    <mergeCell ref="A654:B654"/>
    <mergeCell ref="C654:D654"/>
    <mergeCell ref="A655:B655"/>
    <mergeCell ref="C655:D655"/>
    <mergeCell ref="A650:B650"/>
    <mergeCell ref="C650:D650"/>
    <mergeCell ref="E650:F652"/>
    <mergeCell ref="A651:B651"/>
    <mergeCell ref="C651:D651"/>
    <mergeCell ref="A652:B652"/>
    <mergeCell ref="C652:D652"/>
    <mergeCell ref="A665:B665"/>
    <mergeCell ref="C665:D665"/>
    <mergeCell ref="E665:F667"/>
    <mergeCell ref="A666:B666"/>
    <mergeCell ref="C666:D666"/>
    <mergeCell ref="A667:B667"/>
    <mergeCell ref="C667:D667"/>
    <mergeCell ref="A662:B662"/>
    <mergeCell ref="C662:D662"/>
    <mergeCell ref="E662:F664"/>
    <mergeCell ref="A663:B663"/>
    <mergeCell ref="C663:D663"/>
    <mergeCell ref="A664:B664"/>
    <mergeCell ref="C664:D664"/>
    <mergeCell ref="A659:B659"/>
    <mergeCell ref="C659:D659"/>
    <mergeCell ref="E659:F661"/>
    <mergeCell ref="A660:B660"/>
    <mergeCell ref="C660:D660"/>
    <mergeCell ref="A661:B661"/>
    <mergeCell ref="C661:D661"/>
    <mergeCell ref="A674:B674"/>
    <mergeCell ref="C674:D674"/>
    <mergeCell ref="E674:F676"/>
    <mergeCell ref="A675:B675"/>
    <mergeCell ref="C675:D675"/>
    <mergeCell ref="A676:B676"/>
    <mergeCell ref="C676:D676"/>
    <mergeCell ref="A671:B671"/>
    <mergeCell ref="C671:D671"/>
    <mergeCell ref="E671:F673"/>
    <mergeCell ref="A672:B672"/>
    <mergeCell ref="C672:D672"/>
    <mergeCell ref="A673:B673"/>
    <mergeCell ref="C673:D673"/>
    <mergeCell ref="A668:B668"/>
    <mergeCell ref="C668:D668"/>
    <mergeCell ref="E668:F670"/>
    <mergeCell ref="A669:B669"/>
    <mergeCell ref="C669:D669"/>
    <mergeCell ref="A670:B670"/>
    <mergeCell ref="C670:D670"/>
    <mergeCell ref="A687:F689"/>
    <mergeCell ref="A683:B683"/>
    <mergeCell ref="C683:D683"/>
    <mergeCell ref="E683:F685"/>
    <mergeCell ref="A684:B684"/>
    <mergeCell ref="C684:D684"/>
    <mergeCell ref="A685:B685"/>
    <mergeCell ref="C685:D685"/>
    <mergeCell ref="A680:B680"/>
    <mergeCell ref="C680:D680"/>
    <mergeCell ref="E680:F682"/>
    <mergeCell ref="A681:B681"/>
    <mergeCell ref="C681:D681"/>
    <mergeCell ref="A682:B682"/>
    <mergeCell ref="C682:D682"/>
    <mergeCell ref="A677:B677"/>
    <mergeCell ref="C677:D677"/>
    <mergeCell ref="E677:F679"/>
    <mergeCell ref="A678:B678"/>
    <mergeCell ref="C678:D678"/>
    <mergeCell ref="A679:B679"/>
    <mergeCell ref="C679:D679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BF09-B809-4BEB-A02A-1621E06F0674}">
  <dimension ref="A1:N236"/>
  <sheetViews>
    <sheetView view="pageBreakPreview" zoomScale="118" zoomScaleNormal="100" zoomScaleSheetLayoutView="118" workbookViewId="0">
      <selection activeCell="C33" sqref="C33"/>
    </sheetView>
  </sheetViews>
  <sheetFormatPr defaultColWidth="9" defaultRowHeight="12.75"/>
  <cols>
    <col min="1" max="1" width="4.75" style="597" customWidth="1"/>
    <col min="2" max="2" width="8.5" style="599" customWidth="1"/>
    <col min="3" max="3" width="54.625" style="601" customWidth="1"/>
    <col min="4" max="4" width="12" style="601" customWidth="1"/>
    <col min="5" max="6" width="11.375" style="601" customWidth="1"/>
    <col min="7" max="7" width="12" style="601" customWidth="1"/>
    <col min="8" max="8" width="12.875" style="601" customWidth="1"/>
    <col min="9" max="10" width="10.875" style="601" customWidth="1"/>
    <col min="11" max="11" width="11.625" style="601" customWidth="1"/>
    <col min="12" max="12" width="9.875" style="601" bestFit="1" customWidth="1"/>
    <col min="13" max="16384" width="9" style="601"/>
  </cols>
  <sheetData>
    <row r="1" spans="1:14" ht="12.75" customHeight="1">
      <c r="B1" s="598"/>
      <c r="C1" s="1183"/>
      <c r="D1" s="1183"/>
      <c r="E1" s="1183"/>
      <c r="F1" s="1183"/>
      <c r="G1" s="1183"/>
      <c r="H1" s="1183"/>
      <c r="I1" s="600" t="s">
        <v>1344</v>
      </c>
    </row>
    <row r="2" spans="1:14" ht="12.75" customHeight="1">
      <c r="B2" s="598"/>
      <c r="C2" s="1183"/>
      <c r="D2" s="1183"/>
      <c r="E2" s="1183"/>
      <c r="F2" s="1183"/>
      <c r="G2" s="1183"/>
      <c r="H2" s="1183"/>
      <c r="I2" s="600" t="s">
        <v>1267</v>
      </c>
    </row>
    <row r="3" spans="1:14" ht="12.75" customHeight="1">
      <c r="B3" s="598"/>
      <c r="C3" s="1183"/>
      <c r="D3" s="1183"/>
      <c r="E3" s="1183"/>
      <c r="F3" s="1183"/>
      <c r="G3" s="1183"/>
      <c r="H3" s="1183"/>
      <c r="I3" s="600" t="s">
        <v>1345</v>
      </c>
    </row>
    <row r="4" spans="1:14" ht="21.75" customHeight="1"/>
    <row r="5" spans="1:14" s="537" customFormat="1" ht="27.75" customHeight="1">
      <c r="A5" s="1160" t="s">
        <v>1268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</row>
    <row r="6" spans="1:14" s="537" customFormat="1" ht="19.5" customHeight="1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416" t="s">
        <v>35</v>
      </c>
    </row>
    <row r="7" spans="1:14" ht="14.25" customHeight="1">
      <c r="A7" s="1184" t="s">
        <v>638</v>
      </c>
      <c r="B7" s="1186" t="s">
        <v>1269</v>
      </c>
      <c r="C7" s="1188" t="s">
        <v>1270</v>
      </c>
      <c r="D7" s="1190" t="s">
        <v>904</v>
      </c>
      <c r="E7" s="1191"/>
      <c r="F7" s="1191"/>
      <c r="G7" s="1192"/>
      <c r="H7" s="1193" t="s">
        <v>928</v>
      </c>
      <c r="I7" s="1193"/>
      <c r="J7" s="1193"/>
      <c r="K7" s="1194"/>
      <c r="L7" s="602"/>
      <c r="M7" s="602"/>
      <c r="N7" s="602"/>
    </row>
    <row r="8" spans="1:14" s="611" customFormat="1" ht="32.25" customHeight="1">
      <c r="A8" s="1185"/>
      <c r="B8" s="1187"/>
      <c r="C8" s="1189"/>
      <c r="D8" s="603" t="s">
        <v>1271</v>
      </c>
      <c r="E8" s="604" t="s">
        <v>1272</v>
      </c>
      <c r="F8" s="605" t="s">
        <v>1273</v>
      </c>
      <c r="G8" s="606" t="s">
        <v>1274</v>
      </c>
      <c r="H8" s="607" t="s">
        <v>1271</v>
      </c>
      <c r="I8" s="608" t="s">
        <v>1272</v>
      </c>
      <c r="J8" s="609" t="s">
        <v>1273</v>
      </c>
      <c r="K8" s="607" t="s">
        <v>1274</v>
      </c>
      <c r="L8" s="610"/>
      <c r="M8" s="610"/>
      <c r="N8" s="610"/>
    </row>
    <row r="9" spans="1:14" s="619" customFormat="1" ht="11.25" customHeight="1">
      <c r="A9" s="612">
        <v>1</v>
      </c>
      <c r="B9" s="613">
        <v>2</v>
      </c>
      <c r="C9" s="614">
        <v>3</v>
      </c>
      <c r="D9" s="615">
        <v>4</v>
      </c>
      <c r="E9" s="615">
        <v>5</v>
      </c>
      <c r="F9" s="616">
        <v>6</v>
      </c>
      <c r="G9" s="616">
        <v>7</v>
      </c>
      <c r="H9" s="617">
        <v>8</v>
      </c>
      <c r="I9" s="615">
        <v>9</v>
      </c>
      <c r="J9" s="616">
        <v>10</v>
      </c>
      <c r="K9" s="616">
        <v>11</v>
      </c>
      <c r="L9" s="618"/>
      <c r="M9" s="618"/>
      <c r="N9" s="618"/>
    </row>
    <row r="10" spans="1:14" s="625" customFormat="1" ht="18" hidden="1" customHeight="1">
      <c r="A10" s="620">
        <v>1</v>
      </c>
      <c r="B10" s="621"/>
      <c r="C10" s="622" t="s">
        <v>1275</v>
      </c>
      <c r="D10" s="623">
        <f>D11</f>
        <v>8000000</v>
      </c>
      <c r="E10" s="623">
        <f>E11</f>
        <v>0</v>
      </c>
      <c r="F10" s="623">
        <f>F11</f>
        <v>0</v>
      </c>
      <c r="G10" s="623">
        <f>D10+E10-F10</f>
        <v>8000000</v>
      </c>
      <c r="H10" s="623">
        <f>H14</f>
        <v>13000000</v>
      </c>
      <c r="I10" s="623">
        <f>I14</f>
        <v>0</v>
      </c>
      <c r="J10" s="623">
        <f>J14</f>
        <v>0</v>
      </c>
      <c r="K10" s="623">
        <f>H10+I10-J10</f>
        <v>13000000</v>
      </c>
      <c r="L10" s="624"/>
    </row>
    <row r="11" spans="1:14" s="632" customFormat="1" ht="16.5" hidden="1" customHeight="1">
      <c r="A11" s="626"/>
      <c r="B11" s="627" t="s">
        <v>184</v>
      </c>
      <c r="C11" s="628" t="s">
        <v>1276</v>
      </c>
      <c r="D11" s="629">
        <f>D12+D13</f>
        <v>8000000</v>
      </c>
      <c r="E11" s="629">
        <f>SUM(E12:E13)</f>
        <v>0</v>
      </c>
      <c r="F11" s="629">
        <f>SUM(F12:F13)</f>
        <v>0</v>
      </c>
      <c r="G11" s="629">
        <f>D11+E11-F11</f>
        <v>8000000</v>
      </c>
      <c r="H11" s="630"/>
      <c r="I11" s="631"/>
      <c r="J11" s="631"/>
      <c r="K11" s="631"/>
      <c r="L11" s="624"/>
    </row>
    <row r="12" spans="1:14" s="632" customFormat="1" ht="16.5" hidden="1" customHeight="1">
      <c r="A12" s="626"/>
      <c r="B12" s="633" t="s">
        <v>131</v>
      </c>
      <c r="C12" s="634" t="s">
        <v>132</v>
      </c>
      <c r="D12" s="635">
        <v>7970000</v>
      </c>
      <c r="E12" s="635">
        <v>0</v>
      </c>
      <c r="F12" s="635">
        <v>0</v>
      </c>
      <c r="G12" s="635">
        <f>D12+E12-F12</f>
        <v>7970000</v>
      </c>
      <c r="H12" s="636"/>
      <c r="I12" s="637"/>
      <c r="J12" s="637"/>
      <c r="K12" s="637"/>
      <c r="L12" s="624"/>
    </row>
    <row r="13" spans="1:14" s="632" customFormat="1" ht="16.5" hidden="1" customHeight="1">
      <c r="A13" s="626"/>
      <c r="B13" s="638" t="s">
        <v>1277</v>
      </c>
      <c r="C13" s="639" t="s">
        <v>1278</v>
      </c>
      <c r="D13" s="640">
        <v>30000</v>
      </c>
      <c r="E13" s="640">
        <v>0</v>
      </c>
      <c r="F13" s="640">
        <v>0</v>
      </c>
      <c r="G13" s="635">
        <f>D13+E13-F13</f>
        <v>30000</v>
      </c>
      <c r="H13" s="641"/>
      <c r="I13" s="642"/>
      <c r="J13" s="642"/>
      <c r="K13" s="637"/>
      <c r="L13" s="624"/>
    </row>
    <row r="14" spans="1:14" s="647" customFormat="1" ht="16.5" hidden="1" customHeight="1">
      <c r="A14" s="626"/>
      <c r="B14" s="627" t="s">
        <v>184</v>
      </c>
      <c r="C14" s="643" t="s">
        <v>1044</v>
      </c>
      <c r="D14" s="644"/>
      <c r="E14" s="644"/>
      <c r="F14" s="644"/>
      <c r="G14" s="644"/>
      <c r="H14" s="629">
        <f>SUM(H15:H25)</f>
        <v>13000000</v>
      </c>
      <c r="I14" s="645">
        <f>SUM(I15:I25)</f>
        <v>0</v>
      </c>
      <c r="J14" s="645">
        <f>SUM(J15:J25)</f>
        <v>0</v>
      </c>
      <c r="K14" s="629">
        <f>H14+I14-J14</f>
        <v>13000000</v>
      </c>
      <c r="L14" s="646"/>
    </row>
    <row r="15" spans="1:14" s="647" customFormat="1" ht="17.25" hidden="1" customHeight="1">
      <c r="A15" s="626"/>
      <c r="B15" s="633">
        <v>4010</v>
      </c>
      <c r="C15" s="648" t="s">
        <v>341</v>
      </c>
      <c r="D15" s="649"/>
      <c r="E15" s="649"/>
      <c r="F15" s="649"/>
      <c r="G15" s="649"/>
      <c r="H15" s="650">
        <v>290000</v>
      </c>
      <c r="I15" s="650">
        <v>0</v>
      </c>
      <c r="J15" s="650">
        <v>0</v>
      </c>
      <c r="K15" s="635">
        <f>H15+I15-J15</f>
        <v>290000</v>
      </c>
      <c r="L15" s="646"/>
    </row>
    <row r="16" spans="1:14" s="647" customFormat="1" ht="17.25" hidden="1" customHeight="1">
      <c r="A16" s="626"/>
      <c r="B16" s="633">
        <v>4040</v>
      </c>
      <c r="C16" s="648" t="s">
        <v>369</v>
      </c>
      <c r="D16" s="649"/>
      <c r="E16" s="649"/>
      <c r="F16" s="649"/>
      <c r="G16" s="649"/>
      <c r="H16" s="650">
        <v>24650</v>
      </c>
      <c r="I16" s="650">
        <v>0</v>
      </c>
      <c r="J16" s="650">
        <v>0</v>
      </c>
      <c r="K16" s="635">
        <f>H16+I16-J16</f>
        <v>24650</v>
      </c>
      <c r="L16" s="646"/>
    </row>
    <row r="17" spans="1:12" s="647" customFormat="1" ht="17.25" hidden="1" customHeight="1">
      <c r="A17" s="626"/>
      <c r="B17" s="633">
        <v>4110</v>
      </c>
      <c r="C17" s="651" t="s">
        <v>342</v>
      </c>
      <c r="D17" s="649"/>
      <c r="E17" s="649"/>
      <c r="F17" s="649"/>
      <c r="G17" s="649"/>
      <c r="H17" s="650">
        <v>54088</v>
      </c>
      <c r="I17" s="650">
        <v>0</v>
      </c>
      <c r="J17" s="650">
        <v>0</v>
      </c>
      <c r="K17" s="635">
        <f t="shared" ref="K17:K30" si="0">H17+I17-J17</f>
        <v>54088</v>
      </c>
      <c r="L17" s="646"/>
    </row>
    <row r="18" spans="1:12" s="647" customFormat="1" ht="17.25" hidden="1" customHeight="1">
      <c r="A18" s="626"/>
      <c r="B18" s="633">
        <v>4120</v>
      </c>
      <c r="C18" s="652" t="s">
        <v>343</v>
      </c>
      <c r="D18" s="649"/>
      <c r="E18" s="649"/>
      <c r="F18" s="649"/>
      <c r="G18" s="649"/>
      <c r="H18" s="650">
        <v>7709</v>
      </c>
      <c r="I18" s="650">
        <v>0</v>
      </c>
      <c r="J18" s="650">
        <v>0</v>
      </c>
      <c r="K18" s="635">
        <f t="shared" si="0"/>
        <v>7709</v>
      </c>
      <c r="L18" s="646"/>
    </row>
    <row r="19" spans="1:12" s="656" customFormat="1" ht="17.25" hidden="1" customHeight="1">
      <c r="A19" s="653"/>
      <c r="B19" s="654">
        <v>4210</v>
      </c>
      <c r="C19" s="655" t="s">
        <v>345</v>
      </c>
      <c r="D19" s="635"/>
      <c r="E19" s="635"/>
      <c r="F19" s="635"/>
      <c r="G19" s="635"/>
      <c r="H19" s="635">
        <v>13500</v>
      </c>
      <c r="I19" s="650">
        <v>0</v>
      </c>
      <c r="J19" s="650">
        <v>0</v>
      </c>
      <c r="K19" s="635">
        <f t="shared" si="0"/>
        <v>13500</v>
      </c>
      <c r="L19" s="646"/>
    </row>
    <row r="20" spans="1:12" s="656" customFormat="1" ht="17.25" hidden="1" customHeight="1">
      <c r="A20" s="653"/>
      <c r="B20" s="657">
        <v>4300</v>
      </c>
      <c r="C20" s="658" t="s">
        <v>349</v>
      </c>
      <c r="D20" s="640"/>
      <c r="E20" s="640"/>
      <c r="F20" s="640"/>
      <c r="G20" s="640"/>
      <c r="H20" s="640">
        <v>3000</v>
      </c>
      <c r="I20" s="650">
        <v>0</v>
      </c>
      <c r="J20" s="650">
        <v>0</v>
      </c>
      <c r="K20" s="635">
        <f t="shared" si="0"/>
        <v>3000</v>
      </c>
      <c r="L20" s="646"/>
    </row>
    <row r="21" spans="1:12" s="656" customFormat="1" ht="17.25" hidden="1" customHeight="1">
      <c r="A21" s="653"/>
      <c r="B21" s="657">
        <v>4610</v>
      </c>
      <c r="C21" s="659" t="s">
        <v>1279</v>
      </c>
      <c r="D21" s="640"/>
      <c r="E21" s="640"/>
      <c r="F21" s="640"/>
      <c r="G21" s="640"/>
      <c r="H21" s="640">
        <v>2500</v>
      </c>
      <c r="I21" s="650">
        <v>0</v>
      </c>
      <c r="J21" s="650">
        <v>0</v>
      </c>
      <c r="K21" s="635">
        <f t="shared" si="0"/>
        <v>2500</v>
      </c>
      <c r="L21" s="646"/>
    </row>
    <row r="22" spans="1:12" s="656" customFormat="1" ht="17.25" hidden="1" customHeight="1">
      <c r="A22" s="653"/>
      <c r="B22" s="657">
        <v>4700</v>
      </c>
      <c r="C22" s="659" t="s">
        <v>1280</v>
      </c>
      <c r="D22" s="640"/>
      <c r="E22" s="640"/>
      <c r="F22" s="640"/>
      <c r="G22" s="640"/>
      <c r="H22" s="640">
        <v>3000</v>
      </c>
      <c r="I22" s="650">
        <v>0</v>
      </c>
      <c r="J22" s="650">
        <v>0</v>
      </c>
      <c r="K22" s="635">
        <f t="shared" si="0"/>
        <v>3000</v>
      </c>
      <c r="L22" s="646"/>
    </row>
    <row r="23" spans="1:12" s="656" customFormat="1" ht="17.25" hidden="1" customHeight="1">
      <c r="A23" s="653"/>
      <c r="B23" s="657">
        <v>4710</v>
      </c>
      <c r="C23" s="655" t="s">
        <v>354</v>
      </c>
      <c r="D23" s="640"/>
      <c r="E23" s="640"/>
      <c r="F23" s="640"/>
      <c r="G23" s="640"/>
      <c r="H23" s="640">
        <v>0</v>
      </c>
      <c r="I23" s="650">
        <v>0</v>
      </c>
      <c r="J23" s="650">
        <v>0</v>
      </c>
      <c r="K23" s="635">
        <f t="shared" si="0"/>
        <v>0</v>
      </c>
      <c r="L23" s="646"/>
    </row>
    <row r="24" spans="1:12" s="647" customFormat="1" ht="48" hidden="1" customHeight="1">
      <c r="A24" s="626"/>
      <c r="B24" s="633">
        <v>6230</v>
      </c>
      <c r="C24" s="660" t="s">
        <v>1281</v>
      </c>
      <c r="D24" s="649"/>
      <c r="E24" s="649"/>
      <c r="F24" s="649"/>
      <c r="G24" s="649"/>
      <c r="H24" s="650">
        <v>300000</v>
      </c>
      <c r="I24" s="650">
        <v>0</v>
      </c>
      <c r="J24" s="650">
        <v>0</v>
      </c>
      <c r="K24" s="635">
        <f t="shared" si="0"/>
        <v>300000</v>
      </c>
      <c r="L24" s="646"/>
    </row>
    <row r="25" spans="1:12" s="647" customFormat="1" ht="35.25" hidden="1" customHeight="1">
      <c r="A25" s="661"/>
      <c r="B25" s="633">
        <v>6610</v>
      </c>
      <c r="C25" s="662" t="s">
        <v>1282</v>
      </c>
      <c r="D25" s="649"/>
      <c r="E25" s="649"/>
      <c r="F25" s="649"/>
      <c r="G25" s="649"/>
      <c r="H25" s="650">
        <v>12301553</v>
      </c>
      <c r="I25" s="650">
        <v>0</v>
      </c>
      <c r="J25" s="650">
        <v>0</v>
      </c>
      <c r="K25" s="635">
        <f t="shared" si="0"/>
        <v>12301553</v>
      </c>
      <c r="L25" s="646"/>
    </row>
    <row r="26" spans="1:12" s="665" customFormat="1" ht="18.75" hidden="1" customHeight="1">
      <c r="A26" s="620">
        <v>2</v>
      </c>
      <c r="B26" s="663"/>
      <c r="C26" s="664" t="s">
        <v>1283</v>
      </c>
      <c r="D26" s="623">
        <f>D27</f>
        <v>6875000</v>
      </c>
      <c r="E26" s="623"/>
      <c r="F26" s="623"/>
      <c r="G26" s="623">
        <f>G27</f>
        <v>6875000</v>
      </c>
      <c r="H26" s="623">
        <f>H29</f>
        <v>6875000</v>
      </c>
      <c r="I26" s="623"/>
      <c r="J26" s="623"/>
      <c r="K26" s="623">
        <f t="shared" si="0"/>
        <v>6875000</v>
      </c>
      <c r="L26" s="646"/>
    </row>
    <row r="27" spans="1:12" s="647" customFormat="1" ht="18.75" hidden="1" customHeight="1">
      <c r="A27" s="626"/>
      <c r="B27" s="666">
        <v>60001</v>
      </c>
      <c r="C27" s="667" t="s">
        <v>1284</v>
      </c>
      <c r="D27" s="629">
        <f>D28</f>
        <v>6875000</v>
      </c>
      <c r="E27" s="629"/>
      <c r="F27" s="629"/>
      <c r="G27" s="629">
        <f>D27+E27-F27</f>
        <v>6875000</v>
      </c>
      <c r="H27" s="644"/>
      <c r="I27" s="629"/>
      <c r="J27" s="629"/>
      <c r="K27" s="629">
        <f t="shared" si="0"/>
        <v>0</v>
      </c>
      <c r="L27" s="646"/>
    </row>
    <row r="28" spans="1:12" s="647" customFormat="1" ht="46.5" hidden="1" customHeight="1">
      <c r="A28" s="626"/>
      <c r="B28" s="668" t="s">
        <v>137</v>
      </c>
      <c r="C28" s="669" t="s">
        <v>153</v>
      </c>
      <c r="D28" s="670">
        <v>6875000</v>
      </c>
      <c r="E28" s="670"/>
      <c r="F28" s="670"/>
      <c r="G28" s="635">
        <f>D28+E28-F28</f>
        <v>6875000</v>
      </c>
      <c r="H28" s="671"/>
      <c r="I28" s="670"/>
      <c r="J28" s="670"/>
      <c r="K28" s="635">
        <f t="shared" si="0"/>
        <v>0</v>
      </c>
      <c r="L28" s="646"/>
    </row>
    <row r="29" spans="1:12" s="647" customFormat="1" ht="32.25" hidden="1" customHeight="1">
      <c r="A29" s="626"/>
      <c r="B29" s="672">
        <v>60001</v>
      </c>
      <c r="C29" s="673" t="s">
        <v>412</v>
      </c>
      <c r="D29" s="674"/>
      <c r="E29" s="674"/>
      <c r="F29" s="674"/>
      <c r="G29" s="629"/>
      <c r="H29" s="675">
        <f>H30</f>
        <v>6875000</v>
      </c>
      <c r="I29" s="674"/>
      <c r="J29" s="674"/>
      <c r="K29" s="629">
        <f t="shared" si="0"/>
        <v>6875000</v>
      </c>
      <c r="L29" s="646"/>
    </row>
    <row r="30" spans="1:12" s="647" customFormat="1" ht="17.25" hidden="1" customHeight="1">
      <c r="A30" s="626"/>
      <c r="B30" s="676">
        <v>6060</v>
      </c>
      <c r="C30" s="655" t="s">
        <v>355</v>
      </c>
      <c r="D30" s="677"/>
      <c r="E30" s="677"/>
      <c r="F30" s="677"/>
      <c r="G30" s="635"/>
      <c r="H30" s="677">
        <v>6875000</v>
      </c>
      <c r="I30" s="677"/>
      <c r="J30" s="677"/>
      <c r="K30" s="635">
        <f t="shared" si="0"/>
        <v>6875000</v>
      </c>
      <c r="L30" s="646"/>
    </row>
    <row r="31" spans="1:12" s="665" customFormat="1" ht="18.75" customHeight="1">
      <c r="A31" s="620">
        <v>3</v>
      </c>
      <c r="B31" s="621"/>
      <c r="C31" s="678" t="s">
        <v>1285</v>
      </c>
      <c r="D31" s="623">
        <f>D32</f>
        <v>15327788</v>
      </c>
      <c r="E31" s="623">
        <f>E32</f>
        <v>0</v>
      </c>
      <c r="F31" s="623">
        <f>F32</f>
        <v>58941.599999999999</v>
      </c>
      <c r="G31" s="623">
        <f>G32</f>
        <v>15268846.4</v>
      </c>
      <c r="H31" s="623">
        <f>H34+H36+H38+H40</f>
        <v>15327788</v>
      </c>
      <c r="I31" s="623">
        <f t="shared" ref="I31:K31" si="1">I34+I36+I38+I40</f>
        <v>0</v>
      </c>
      <c r="J31" s="623">
        <f t="shared" si="1"/>
        <v>0</v>
      </c>
      <c r="K31" s="623">
        <f t="shared" si="1"/>
        <v>15327788</v>
      </c>
      <c r="L31" s="646"/>
    </row>
    <row r="32" spans="1:12" s="647" customFormat="1" ht="18.75" customHeight="1">
      <c r="A32" s="626"/>
      <c r="B32" s="627" t="s">
        <v>200</v>
      </c>
      <c r="C32" s="679" t="s">
        <v>1286</v>
      </c>
      <c r="D32" s="629">
        <f>D33</f>
        <v>15327788</v>
      </c>
      <c r="E32" s="629">
        <f>E33</f>
        <v>0</v>
      </c>
      <c r="F32" s="629">
        <f>F33</f>
        <v>58941.599999999999</v>
      </c>
      <c r="G32" s="629">
        <f>D32+E32-F32</f>
        <v>15268846.4</v>
      </c>
      <c r="H32" s="644"/>
      <c r="I32" s="629"/>
      <c r="J32" s="629"/>
      <c r="K32" s="629"/>
      <c r="L32" s="646"/>
    </row>
    <row r="33" spans="1:12" s="647" customFormat="1" ht="42.75" customHeight="1">
      <c r="A33" s="626"/>
      <c r="B33" s="668" t="s">
        <v>137</v>
      </c>
      <c r="C33" s="669" t="s">
        <v>153</v>
      </c>
      <c r="D33" s="670">
        <v>15327788</v>
      </c>
      <c r="E33" s="670">
        <v>0</v>
      </c>
      <c r="F33" s="670">
        <v>58941.599999999999</v>
      </c>
      <c r="G33" s="635">
        <f>D33+E33-F33</f>
        <v>15268846.4</v>
      </c>
      <c r="H33" s="671"/>
      <c r="I33" s="670"/>
      <c r="J33" s="670"/>
      <c r="K33" s="635"/>
      <c r="L33" s="646"/>
    </row>
    <row r="34" spans="1:12" s="647" customFormat="1" ht="32.25" hidden="1" customHeight="1">
      <c r="A34" s="626"/>
      <c r="B34" s="680" t="s">
        <v>200</v>
      </c>
      <c r="C34" s="681" t="s">
        <v>1287</v>
      </c>
      <c r="D34" s="674"/>
      <c r="E34" s="674"/>
      <c r="F34" s="674"/>
      <c r="G34" s="629"/>
      <c r="H34" s="675">
        <f>H35</f>
        <v>6127788</v>
      </c>
      <c r="I34" s="674"/>
      <c r="J34" s="674"/>
      <c r="K34" s="629">
        <f t="shared" ref="K34:K41" si="2">H34+I34-J34</f>
        <v>6127788</v>
      </c>
      <c r="L34" s="646"/>
    </row>
    <row r="35" spans="1:12" s="647" customFormat="1" ht="17.25" hidden="1" customHeight="1">
      <c r="A35" s="626"/>
      <c r="B35" s="682">
        <v>6050</v>
      </c>
      <c r="C35" s="683" t="s">
        <v>359</v>
      </c>
      <c r="D35" s="677"/>
      <c r="E35" s="677"/>
      <c r="F35" s="677"/>
      <c r="G35" s="640"/>
      <c r="H35" s="677">
        <v>6127788</v>
      </c>
      <c r="I35" s="677"/>
      <c r="J35" s="677"/>
      <c r="K35" s="640">
        <f t="shared" si="2"/>
        <v>6127788</v>
      </c>
      <c r="L35" s="646"/>
    </row>
    <row r="36" spans="1:12" s="647" customFormat="1" ht="17.25" hidden="1" customHeight="1">
      <c r="A36" s="626"/>
      <c r="B36" s="680" t="s">
        <v>200</v>
      </c>
      <c r="C36" s="684" t="s">
        <v>571</v>
      </c>
      <c r="D36" s="685"/>
      <c r="E36" s="685"/>
      <c r="F36" s="685"/>
      <c r="G36" s="685"/>
      <c r="H36" s="675">
        <f>H37</f>
        <v>1200000</v>
      </c>
      <c r="I36" s="674"/>
      <c r="J36" s="674"/>
      <c r="K36" s="629">
        <f t="shared" si="2"/>
        <v>1200000</v>
      </c>
      <c r="L36" s="646"/>
    </row>
    <row r="37" spans="1:12" s="647" customFormat="1" ht="17.25" hidden="1" customHeight="1">
      <c r="A37" s="626"/>
      <c r="B37" s="682">
        <v>6050</v>
      </c>
      <c r="C37" s="683" t="s">
        <v>359</v>
      </c>
      <c r="D37" s="677"/>
      <c r="E37" s="677"/>
      <c r="F37" s="677"/>
      <c r="G37" s="677"/>
      <c r="H37" s="677">
        <v>1200000</v>
      </c>
      <c r="I37" s="677"/>
      <c r="J37" s="677"/>
      <c r="K37" s="640">
        <f t="shared" si="2"/>
        <v>1200000</v>
      </c>
      <c r="L37" s="646"/>
    </row>
    <row r="38" spans="1:12" s="647" customFormat="1" ht="17.25" hidden="1" customHeight="1">
      <c r="A38" s="626"/>
      <c r="B38" s="680" t="s">
        <v>200</v>
      </c>
      <c r="C38" s="684" t="s">
        <v>573</v>
      </c>
      <c r="D38" s="685"/>
      <c r="E38" s="685"/>
      <c r="F38" s="685"/>
      <c r="G38" s="685"/>
      <c r="H38" s="675">
        <f>H39</f>
        <v>500000</v>
      </c>
      <c r="I38" s="674"/>
      <c r="J38" s="674"/>
      <c r="K38" s="629">
        <f t="shared" si="2"/>
        <v>500000</v>
      </c>
      <c r="L38" s="646"/>
    </row>
    <row r="39" spans="1:12" s="647" customFormat="1" ht="17.25" hidden="1" customHeight="1">
      <c r="A39" s="626"/>
      <c r="B39" s="682">
        <v>6050</v>
      </c>
      <c r="C39" s="683" t="s">
        <v>359</v>
      </c>
      <c r="D39" s="677"/>
      <c r="E39" s="677"/>
      <c r="F39" s="677"/>
      <c r="G39" s="677"/>
      <c r="H39" s="677">
        <v>500000</v>
      </c>
      <c r="I39" s="677"/>
      <c r="J39" s="677"/>
      <c r="K39" s="640">
        <f t="shared" si="2"/>
        <v>500000</v>
      </c>
      <c r="L39" s="646"/>
    </row>
    <row r="40" spans="1:12" s="647" customFormat="1" ht="33" hidden="1" customHeight="1">
      <c r="A40" s="626"/>
      <c r="B40" s="680" t="s">
        <v>200</v>
      </c>
      <c r="C40" s="684" t="s">
        <v>556</v>
      </c>
      <c r="D40" s="686"/>
      <c r="E40" s="686"/>
      <c r="F40" s="686"/>
      <c r="G40" s="686"/>
      <c r="H40" s="675">
        <f>H41</f>
        <v>7500000</v>
      </c>
      <c r="I40" s="674"/>
      <c r="J40" s="674"/>
      <c r="K40" s="629">
        <f t="shared" si="2"/>
        <v>7500000</v>
      </c>
      <c r="L40" s="646"/>
    </row>
    <row r="41" spans="1:12" s="647" customFormat="1" ht="17.25" hidden="1" customHeight="1">
      <c r="A41" s="626"/>
      <c r="B41" s="682">
        <v>6050</v>
      </c>
      <c r="C41" s="683" t="s">
        <v>359</v>
      </c>
      <c r="D41" s="677"/>
      <c r="E41" s="677"/>
      <c r="F41" s="677"/>
      <c r="G41" s="677"/>
      <c r="H41" s="677">
        <v>7500000</v>
      </c>
      <c r="I41" s="677"/>
      <c r="J41" s="677"/>
      <c r="K41" s="640">
        <f t="shared" si="2"/>
        <v>7500000</v>
      </c>
      <c r="L41" s="646"/>
    </row>
    <row r="42" spans="1:12" s="665" customFormat="1" ht="58.5" customHeight="1">
      <c r="A42" s="687">
        <v>4</v>
      </c>
      <c r="B42" s="621"/>
      <c r="C42" s="678" t="s">
        <v>1288</v>
      </c>
      <c r="D42" s="623">
        <f t="shared" ref="D42:F43" si="3">D43</f>
        <v>12825000</v>
      </c>
      <c r="E42" s="623">
        <f t="shared" si="3"/>
        <v>4750000</v>
      </c>
      <c r="F42" s="623">
        <f t="shared" si="3"/>
        <v>0</v>
      </c>
      <c r="G42" s="623">
        <f>D42+E42-F42</f>
        <v>17575000</v>
      </c>
      <c r="H42" s="623">
        <f>H45+H47</f>
        <v>12825000</v>
      </c>
      <c r="I42" s="623">
        <f t="shared" ref="I42:J42" si="4">I45+I47</f>
        <v>4750000</v>
      </c>
      <c r="J42" s="623">
        <f t="shared" si="4"/>
        <v>0</v>
      </c>
      <c r="K42" s="623">
        <f>H42+I42-J42</f>
        <v>17575000</v>
      </c>
      <c r="L42" s="646"/>
    </row>
    <row r="43" spans="1:12" s="647" customFormat="1" ht="18.75" customHeight="1">
      <c r="A43" s="688"/>
      <c r="B43" s="627" t="s">
        <v>200</v>
      </c>
      <c r="C43" s="679" t="s">
        <v>1289</v>
      </c>
      <c r="D43" s="629">
        <f t="shared" si="3"/>
        <v>12825000</v>
      </c>
      <c r="E43" s="629">
        <f t="shared" si="3"/>
        <v>4750000</v>
      </c>
      <c r="F43" s="629">
        <f t="shared" si="3"/>
        <v>0</v>
      </c>
      <c r="G43" s="629">
        <f>D43+E43-F43</f>
        <v>17575000</v>
      </c>
      <c r="H43" s="644"/>
      <c r="I43" s="629"/>
      <c r="J43" s="629"/>
      <c r="K43" s="629"/>
      <c r="L43" s="646"/>
    </row>
    <row r="44" spans="1:12" s="647" customFormat="1" ht="32.25" customHeight="1">
      <c r="A44" s="688"/>
      <c r="B44" s="689">
        <v>6370</v>
      </c>
      <c r="C44" s="690" t="s">
        <v>138</v>
      </c>
      <c r="D44" s="670">
        <v>12825000</v>
      </c>
      <c r="E44" s="670">
        <v>4750000</v>
      </c>
      <c r="F44" s="670">
        <v>0</v>
      </c>
      <c r="G44" s="635">
        <f>D44+E44-F44</f>
        <v>17575000</v>
      </c>
      <c r="H44" s="671"/>
      <c r="I44" s="670"/>
      <c r="J44" s="670"/>
      <c r="K44" s="635"/>
      <c r="L44" s="646"/>
    </row>
    <row r="45" spans="1:12" s="647" customFormat="1" ht="48.75" hidden="1" customHeight="1">
      <c r="A45" s="688"/>
      <c r="B45" s="680" t="s">
        <v>200</v>
      </c>
      <c r="C45" s="681" t="s">
        <v>542</v>
      </c>
      <c r="D45" s="674"/>
      <c r="E45" s="674"/>
      <c r="F45" s="674"/>
      <c r="G45" s="629"/>
      <c r="H45" s="675">
        <f>H46</f>
        <v>12825000</v>
      </c>
      <c r="I45" s="674"/>
      <c r="J45" s="674"/>
      <c r="K45" s="629">
        <f t="shared" ref="K45:K48" si="5">H45+I45-J45</f>
        <v>12825000</v>
      </c>
      <c r="L45" s="646"/>
    </row>
    <row r="46" spans="1:12" s="647" customFormat="1" ht="33.75" hidden="1" customHeight="1">
      <c r="A46" s="626"/>
      <c r="B46" s="682">
        <v>6370</v>
      </c>
      <c r="C46" s="683" t="s">
        <v>360</v>
      </c>
      <c r="D46" s="677"/>
      <c r="E46" s="677"/>
      <c r="F46" s="677"/>
      <c r="G46" s="640"/>
      <c r="H46" s="677">
        <v>12825000</v>
      </c>
      <c r="I46" s="677"/>
      <c r="J46" s="677"/>
      <c r="K46" s="640">
        <f t="shared" si="5"/>
        <v>12825000</v>
      </c>
      <c r="L46" s="646"/>
    </row>
    <row r="47" spans="1:12" s="647" customFormat="1" ht="31.5" customHeight="1">
      <c r="A47" s="688"/>
      <c r="B47" s="680" t="s">
        <v>200</v>
      </c>
      <c r="C47" s="681" t="s">
        <v>553</v>
      </c>
      <c r="D47" s="674"/>
      <c r="E47" s="674"/>
      <c r="F47" s="674"/>
      <c r="G47" s="629"/>
      <c r="H47" s="675">
        <f>H48</f>
        <v>0</v>
      </c>
      <c r="I47" s="674">
        <f>I48</f>
        <v>4750000</v>
      </c>
      <c r="J47" s="674">
        <f>J48</f>
        <v>0</v>
      </c>
      <c r="K47" s="629">
        <f t="shared" si="5"/>
        <v>4750000</v>
      </c>
      <c r="L47" s="646"/>
    </row>
    <row r="48" spans="1:12" s="647" customFormat="1" ht="31.5" customHeight="1">
      <c r="A48" s="626"/>
      <c r="B48" s="682">
        <v>6370</v>
      </c>
      <c r="C48" s="683" t="s">
        <v>360</v>
      </c>
      <c r="D48" s="677"/>
      <c r="E48" s="677"/>
      <c r="F48" s="677"/>
      <c r="G48" s="640"/>
      <c r="H48" s="677">
        <v>0</v>
      </c>
      <c r="I48" s="677">
        <v>4750000</v>
      </c>
      <c r="J48" s="677">
        <v>0</v>
      </c>
      <c r="K48" s="640">
        <f t="shared" si="5"/>
        <v>4750000</v>
      </c>
      <c r="L48" s="646"/>
    </row>
    <row r="49" spans="1:12" s="665" customFormat="1" ht="30" customHeight="1">
      <c r="A49" s="620">
        <v>5</v>
      </c>
      <c r="B49" s="621"/>
      <c r="C49" s="664" t="s">
        <v>1290</v>
      </c>
      <c r="D49" s="623">
        <f>D50</f>
        <v>700000</v>
      </c>
      <c r="E49" s="623">
        <f t="shared" ref="E49:F49" si="6">E50</f>
        <v>0</v>
      </c>
      <c r="F49" s="623">
        <f t="shared" si="6"/>
        <v>0</v>
      </c>
      <c r="G49" s="623">
        <f>G50</f>
        <v>700000</v>
      </c>
      <c r="H49" s="623">
        <f>H52+H57+H59+H61+H63+H68+H71+H73+H75+H77</f>
        <v>2705000</v>
      </c>
      <c r="I49" s="623">
        <f t="shared" ref="I49:K49" si="7">I52+I57+I59+I61+I63+I68+I71+I73+I75+I77</f>
        <v>320000</v>
      </c>
      <c r="J49" s="623">
        <f t="shared" si="7"/>
        <v>0</v>
      </c>
      <c r="K49" s="623">
        <f t="shared" si="7"/>
        <v>3025000</v>
      </c>
      <c r="L49" s="646"/>
    </row>
    <row r="50" spans="1:12" s="602" customFormat="1" ht="17.25" hidden="1" customHeight="1">
      <c r="A50" s="626"/>
      <c r="B50" s="627">
        <v>75618</v>
      </c>
      <c r="C50" s="691" t="s">
        <v>1291</v>
      </c>
      <c r="D50" s="629">
        <f>D51</f>
        <v>700000</v>
      </c>
      <c r="E50" s="629"/>
      <c r="F50" s="629"/>
      <c r="G50" s="629">
        <f>D50+E50-F50</f>
        <v>700000</v>
      </c>
      <c r="H50" s="644"/>
      <c r="I50" s="629"/>
      <c r="J50" s="629"/>
      <c r="K50" s="629"/>
      <c r="L50" s="646"/>
    </row>
    <row r="51" spans="1:12" s="694" customFormat="1" ht="17.25" hidden="1" customHeight="1">
      <c r="A51" s="653"/>
      <c r="B51" s="668" t="s">
        <v>1292</v>
      </c>
      <c r="C51" s="692" t="s">
        <v>1293</v>
      </c>
      <c r="D51" s="670">
        <v>700000</v>
      </c>
      <c r="E51" s="670"/>
      <c r="F51" s="670"/>
      <c r="G51" s="635">
        <f>D51+E51-F51</f>
        <v>700000</v>
      </c>
      <c r="H51" s="693"/>
      <c r="I51" s="670"/>
      <c r="J51" s="670"/>
      <c r="K51" s="635"/>
      <c r="L51" s="646"/>
    </row>
    <row r="52" spans="1:12" s="602" customFormat="1" ht="17.25" hidden="1" customHeight="1">
      <c r="A52" s="626"/>
      <c r="B52" s="630">
        <v>85153</v>
      </c>
      <c r="C52" s="691" t="s">
        <v>1294</v>
      </c>
      <c r="D52" s="629"/>
      <c r="E52" s="629"/>
      <c r="F52" s="629"/>
      <c r="G52" s="629"/>
      <c r="H52" s="629">
        <f>SUM(H53:H56)</f>
        <v>130000</v>
      </c>
      <c r="I52" s="629">
        <f t="shared" ref="I52:J52" si="8">SUM(I53:I56)</f>
        <v>0</v>
      </c>
      <c r="J52" s="629">
        <f t="shared" si="8"/>
        <v>0</v>
      </c>
      <c r="K52" s="629">
        <f t="shared" ref="K52:K78" si="9">H52+I52-J52</f>
        <v>130000</v>
      </c>
      <c r="L52" s="646"/>
    </row>
    <row r="53" spans="1:12" s="656" customFormat="1" ht="17.25" hidden="1" customHeight="1">
      <c r="A53" s="653"/>
      <c r="B53" s="654">
        <v>4170</v>
      </c>
      <c r="C53" s="655" t="s">
        <v>344</v>
      </c>
      <c r="D53" s="635"/>
      <c r="E53" s="635"/>
      <c r="F53" s="635"/>
      <c r="G53" s="635"/>
      <c r="H53" s="635">
        <v>14000</v>
      </c>
      <c r="I53" s="635"/>
      <c r="J53" s="635"/>
      <c r="K53" s="635">
        <f t="shared" si="9"/>
        <v>14000</v>
      </c>
      <c r="L53" s="646"/>
    </row>
    <row r="54" spans="1:12" s="656" customFormat="1" ht="17.25" hidden="1" customHeight="1">
      <c r="A54" s="653"/>
      <c r="B54" s="654">
        <v>4190</v>
      </c>
      <c r="C54" s="655" t="s">
        <v>374</v>
      </c>
      <c r="D54" s="635"/>
      <c r="E54" s="635"/>
      <c r="F54" s="635"/>
      <c r="G54" s="635"/>
      <c r="H54" s="635">
        <v>11000</v>
      </c>
      <c r="I54" s="635"/>
      <c r="J54" s="635"/>
      <c r="K54" s="635">
        <f t="shared" si="9"/>
        <v>11000</v>
      </c>
      <c r="L54" s="646"/>
    </row>
    <row r="55" spans="1:12" s="656" customFormat="1" ht="17.25" hidden="1" customHeight="1">
      <c r="A55" s="653"/>
      <c r="B55" s="654">
        <v>4210</v>
      </c>
      <c r="C55" s="655" t="s">
        <v>345</v>
      </c>
      <c r="D55" s="635"/>
      <c r="E55" s="635"/>
      <c r="F55" s="635"/>
      <c r="G55" s="635"/>
      <c r="H55" s="635">
        <v>3000</v>
      </c>
      <c r="I55" s="635"/>
      <c r="J55" s="635"/>
      <c r="K55" s="695">
        <f t="shared" si="9"/>
        <v>3000</v>
      </c>
      <c r="L55" s="646"/>
    </row>
    <row r="56" spans="1:12" s="656" customFormat="1" ht="17.25" hidden="1" customHeight="1">
      <c r="A56" s="653"/>
      <c r="B56" s="657">
        <v>4300</v>
      </c>
      <c r="C56" s="658" t="s">
        <v>349</v>
      </c>
      <c r="D56" s="640"/>
      <c r="E56" s="640"/>
      <c r="F56" s="640"/>
      <c r="G56" s="640"/>
      <c r="H56" s="640">
        <v>102000</v>
      </c>
      <c r="I56" s="640"/>
      <c r="J56" s="640"/>
      <c r="K56" s="635">
        <f t="shared" si="9"/>
        <v>102000</v>
      </c>
      <c r="L56" s="646"/>
    </row>
    <row r="57" spans="1:12" s="602" customFormat="1" ht="17.25" hidden="1" customHeight="1">
      <c r="A57" s="626"/>
      <c r="B57" s="630">
        <v>85153</v>
      </c>
      <c r="C57" s="691" t="s">
        <v>1295</v>
      </c>
      <c r="D57" s="629"/>
      <c r="E57" s="629"/>
      <c r="F57" s="629"/>
      <c r="G57" s="629"/>
      <c r="H57" s="629">
        <f>H58</f>
        <v>350000</v>
      </c>
      <c r="I57" s="629">
        <f t="shared" ref="I57:J57" si="10">I58</f>
        <v>0</v>
      </c>
      <c r="J57" s="629">
        <f t="shared" si="10"/>
        <v>0</v>
      </c>
      <c r="K57" s="629">
        <f t="shared" si="9"/>
        <v>350000</v>
      </c>
      <c r="L57" s="646"/>
    </row>
    <row r="58" spans="1:12" s="694" customFormat="1" ht="48" hidden="1" customHeight="1">
      <c r="A58" s="653"/>
      <c r="B58" s="696">
        <v>2360</v>
      </c>
      <c r="C58" s="692" t="s">
        <v>392</v>
      </c>
      <c r="D58" s="670"/>
      <c r="E58" s="670"/>
      <c r="F58" s="670"/>
      <c r="G58" s="635"/>
      <c r="H58" s="670">
        <v>350000</v>
      </c>
      <c r="I58" s="670"/>
      <c r="J58" s="670"/>
      <c r="K58" s="635">
        <f t="shared" si="9"/>
        <v>350000</v>
      </c>
      <c r="L58" s="646"/>
    </row>
    <row r="59" spans="1:12" s="602" customFormat="1" ht="30" hidden="1" customHeight="1">
      <c r="A59" s="626"/>
      <c r="B59" s="630">
        <v>85154</v>
      </c>
      <c r="C59" s="691" t="s">
        <v>1296</v>
      </c>
      <c r="D59" s="629"/>
      <c r="E59" s="629"/>
      <c r="F59" s="629"/>
      <c r="G59" s="629"/>
      <c r="H59" s="629">
        <f>H60</f>
        <v>70000</v>
      </c>
      <c r="I59" s="629">
        <f t="shared" ref="I59:J59" si="11">I60</f>
        <v>0</v>
      </c>
      <c r="J59" s="629">
        <f t="shared" si="11"/>
        <v>0</v>
      </c>
      <c r="K59" s="629">
        <f t="shared" si="9"/>
        <v>70000</v>
      </c>
      <c r="L59" s="646"/>
    </row>
    <row r="60" spans="1:12" s="602" customFormat="1" ht="48.75" hidden="1" customHeight="1">
      <c r="A60" s="688"/>
      <c r="B60" s="696">
        <v>2360</v>
      </c>
      <c r="C60" s="692" t="s">
        <v>392</v>
      </c>
      <c r="D60" s="697"/>
      <c r="E60" s="697"/>
      <c r="F60" s="697"/>
      <c r="G60" s="697"/>
      <c r="H60" s="670">
        <v>70000</v>
      </c>
      <c r="I60" s="697"/>
      <c r="J60" s="697"/>
      <c r="K60" s="635">
        <f t="shared" si="9"/>
        <v>70000</v>
      </c>
      <c r="L60" s="646"/>
    </row>
    <row r="61" spans="1:12" s="602" customFormat="1" ht="20.25" hidden="1" customHeight="1">
      <c r="A61" s="626"/>
      <c r="B61" s="630">
        <v>85154</v>
      </c>
      <c r="C61" s="691" t="s">
        <v>1297</v>
      </c>
      <c r="D61" s="629"/>
      <c r="E61" s="629"/>
      <c r="F61" s="629"/>
      <c r="G61" s="629"/>
      <c r="H61" s="629">
        <f>H62</f>
        <v>260000</v>
      </c>
      <c r="I61" s="629">
        <f t="shared" ref="I61:J61" si="12">I62</f>
        <v>0</v>
      </c>
      <c r="J61" s="629">
        <f t="shared" si="12"/>
        <v>0</v>
      </c>
      <c r="K61" s="629">
        <f t="shared" si="9"/>
        <v>260000</v>
      </c>
      <c r="L61" s="646"/>
    </row>
    <row r="62" spans="1:12" s="602" customFormat="1" ht="48" hidden="1" customHeight="1">
      <c r="A62" s="626"/>
      <c r="B62" s="696">
        <v>2360</v>
      </c>
      <c r="C62" s="692" t="s">
        <v>392</v>
      </c>
      <c r="D62" s="697"/>
      <c r="E62" s="697"/>
      <c r="F62" s="697"/>
      <c r="G62" s="697"/>
      <c r="H62" s="670">
        <v>260000</v>
      </c>
      <c r="I62" s="697"/>
      <c r="J62" s="697"/>
      <c r="K62" s="635">
        <f t="shared" si="9"/>
        <v>260000</v>
      </c>
      <c r="L62" s="646"/>
    </row>
    <row r="63" spans="1:12" s="602" customFormat="1" ht="16.5" hidden="1" customHeight="1">
      <c r="A63" s="688"/>
      <c r="B63" s="630">
        <v>85154</v>
      </c>
      <c r="C63" s="691" t="s">
        <v>1072</v>
      </c>
      <c r="D63" s="629"/>
      <c r="E63" s="629"/>
      <c r="F63" s="629"/>
      <c r="G63" s="629"/>
      <c r="H63" s="629">
        <f>SUM(H64:H67)</f>
        <v>155000</v>
      </c>
      <c r="I63" s="629">
        <f t="shared" ref="I63:J63" si="13">SUM(I64:I67)</f>
        <v>0</v>
      </c>
      <c r="J63" s="629">
        <f t="shared" si="13"/>
        <v>0</v>
      </c>
      <c r="K63" s="629">
        <f t="shared" si="9"/>
        <v>155000</v>
      </c>
      <c r="L63" s="646"/>
    </row>
    <row r="64" spans="1:12" s="602" customFormat="1" ht="33.75" hidden="1" customHeight="1">
      <c r="A64" s="688"/>
      <c r="B64" s="654">
        <v>2800</v>
      </c>
      <c r="C64" s="655" t="s">
        <v>389</v>
      </c>
      <c r="D64" s="698"/>
      <c r="E64" s="698"/>
      <c r="F64" s="698"/>
      <c r="G64" s="698"/>
      <c r="H64" s="635">
        <v>30000</v>
      </c>
      <c r="I64" s="698"/>
      <c r="J64" s="698"/>
      <c r="K64" s="635">
        <f t="shared" si="9"/>
        <v>30000</v>
      </c>
      <c r="L64" s="646"/>
    </row>
    <row r="65" spans="1:12" s="602" customFormat="1" ht="15" hidden="1" customHeight="1">
      <c r="A65" s="626"/>
      <c r="B65" s="654">
        <v>4170</v>
      </c>
      <c r="C65" s="655" t="s">
        <v>344</v>
      </c>
      <c r="D65" s="698"/>
      <c r="E65" s="698"/>
      <c r="F65" s="698"/>
      <c r="G65" s="698"/>
      <c r="H65" s="635">
        <v>3000</v>
      </c>
      <c r="I65" s="698"/>
      <c r="J65" s="698"/>
      <c r="K65" s="635">
        <f t="shared" si="9"/>
        <v>3000</v>
      </c>
      <c r="L65" s="646"/>
    </row>
    <row r="66" spans="1:12" s="602" customFormat="1" ht="15" hidden="1" customHeight="1">
      <c r="A66" s="626"/>
      <c r="B66" s="654">
        <v>4210</v>
      </c>
      <c r="C66" s="655" t="s">
        <v>345</v>
      </c>
      <c r="D66" s="698"/>
      <c r="E66" s="698"/>
      <c r="F66" s="698"/>
      <c r="G66" s="698"/>
      <c r="H66" s="635">
        <v>4000</v>
      </c>
      <c r="I66" s="698"/>
      <c r="J66" s="698"/>
      <c r="K66" s="635">
        <f t="shared" si="9"/>
        <v>4000</v>
      </c>
      <c r="L66" s="646"/>
    </row>
    <row r="67" spans="1:12" s="602" customFormat="1" ht="15" hidden="1" customHeight="1">
      <c r="A67" s="626"/>
      <c r="B67" s="696">
        <v>4300</v>
      </c>
      <c r="C67" s="692" t="s">
        <v>349</v>
      </c>
      <c r="D67" s="697"/>
      <c r="E67" s="697"/>
      <c r="F67" s="697"/>
      <c r="G67" s="697"/>
      <c r="H67" s="670">
        <v>118000</v>
      </c>
      <c r="I67" s="697"/>
      <c r="J67" s="697"/>
      <c r="K67" s="640">
        <f t="shared" si="9"/>
        <v>118000</v>
      </c>
      <c r="L67" s="646"/>
    </row>
    <row r="68" spans="1:12" s="602" customFormat="1" ht="15" hidden="1" customHeight="1">
      <c r="A68" s="688"/>
      <c r="B68" s="630">
        <v>85154</v>
      </c>
      <c r="C68" s="691" t="s">
        <v>1298</v>
      </c>
      <c r="D68" s="699"/>
      <c r="E68" s="699"/>
      <c r="F68" s="699"/>
      <c r="G68" s="699"/>
      <c r="H68" s="629">
        <f>SUM(H69:H70)</f>
        <v>1405000</v>
      </c>
      <c r="I68" s="629">
        <f t="shared" ref="I68:K68" si="14">SUM(I69:I70)</f>
        <v>0</v>
      </c>
      <c r="J68" s="629">
        <f t="shared" si="14"/>
        <v>0</v>
      </c>
      <c r="K68" s="629">
        <f t="shared" si="14"/>
        <v>1405000</v>
      </c>
      <c r="L68" s="646"/>
    </row>
    <row r="69" spans="1:12" s="602" customFormat="1" ht="33.75" hidden="1" customHeight="1">
      <c r="A69" s="626"/>
      <c r="B69" s="654">
        <v>2800</v>
      </c>
      <c r="C69" s="655" t="s">
        <v>389</v>
      </c>
      <c r="D69" s="698"/>
      <c r="E69" s="698"/>
      <c r="F69" s="698"/>
      <c r="G69" s="698"/>
      <c r="H69" s="635">
        <v>1260000</v>
      </c>
      <c r="I69" s="698"/>
      <c r="J69" s="698"/>
      <c r="K69" s="635">
        <f t="shared" si="9"/>
        <v>1260000</v>
      </c>
      <c r="L69" s="646"/>
    </row>
    <row r="70" spans="1:12" s="602" customFormat="1" ht="51.75" hidden="1" customHeight="1">
      <c r="A70" s="626"/>
      <c r="B70" s="654">
        <v>6220</v>
      </c>
      <c r="C70" s="655" t="s">
        <v>377</v>
      </c>
      <c r="D70" s="697"/>
      <c r="E70" s="697"/>
      <c r="F70" s="697"/>
      <c r="G70" s="697"/>
      <c r="H70" s="670">
        <v>145000</v>
      </c>
      <c r="I70" s="697"/>
      <c r="J70" s="697"/>
      <c r="K70" s="635">
        <f t="shared" si="9"/>
        <v>145000</v>
      </c>
      <c r="L70" s="646"/>
    </row>
    <row r="71" spans="1:12" s="602" customFormat="1" ht="15" hidden="1" customHeight="1">
      <c r="A71" s="626"/>
      <c r="B71" s="630">
        <v>85154</v>
      </c>
      <c r="C71" s="691" t="s">
        <v>1299</v>
      </c>
      <c r="D71" s="674"/>
      <c r="E71" s="674"/>
      <c r="F71" s="674"/>
      <c r="G71" s="674"/>
      <c r="H71" s="629">
        <f>H72</f>
        <v>135000</v>
      </c>
      <c r="I71" s="629">
        <f t="shared" ref="I71:J77" si="15">I72</f>
        <v>0</v>
      </c>
      <c r="J71" s="629">
        <f t="shared" si="15"/>
        <v>0</v>
      </c>
      <c r="K71" s="629">
        <f t="shared" si="9"/>
        <v>135000</v>
      </c>
      <c r="L71" s="646"/>
    </row>
    <row r="72" spans="1:12" s="602" customFormat="1" ht="30" hidden="1" customHeight="1">
      <c r="A72" s="626"/>
      <c r="B72" s="696">
        <v>2800</v>
      </c>
      <c r="C72" s="692" t="s">
        <v>389</v>
      </c>
      <c r="D72" s="697"/>
      <c r="E72" s="697"/>
      <c r="F72" s="697"/>
      <c r="G72" s="697"/>
      <c r="H72" s="670">
        <v>135000</v>
      </c>
      <c r="I72" s="697"/>
      <c r="J72" s="697"/>
      <c r="K72" s="635">
        <f t="shared" si="9"/>
        <v>135000</v>
      </c>
      <c r="L72" s="646"/>
    </row>
    <row r="73" spans="1:12" s="602" customFormat="1" ht="15" hidden="1" customHeight="1">
      <c r="A73" s="626"/>
      <c r="B73" s="630">
        <v>85154</v>
      </c>
      <c r="C73" s="691" t="s">
        <v>606</v>
      </c>
      <c r="D73" s="695"/>
      <c r="E73" s="695"/>
      <c r="F73" s="695"/>
      <c r="G73" s="695"/>
      <c r="H73" s="629">
        <f>H74</f>
        <v>200000</v>
      </c>
      <c r="I73" s="629">
        <f t="shared" si="15"/>
        <v>0</v>
      </c>
      <c r="J73" s="629">
        <f t="shared" si="15"/>
        <v>0</v>
      </c>
      <c r="K73" s="629">
        <f t="shared" si="9"/>
        <v>200000</v>
      </c>
      <c r="L73" s="646"/>
    </row>
    <row r="74" spans="1:12" s="602" customFormat="1" ht="51.75" hidden="1" customHeight="1">
      <c r="A74" s="626"/>
      <c r="B74" s="654">
        <v>6220</v>
      </c>
      <c r="C74" s="655" t="s">
        <v>377</v>
      </c>
      <c r="D74" s="695"/>
      <c r="E74" s="695"/>
      <c r="F74" s="695"/>
      <c r="G74" s="695"/>
      <c r="H74" s="670">
        <v>200000</v>
      </c>
      <c r="I74" s="697"/>
      <c r="J74" s="697"/>
      <c r="K74" s="635">
        <f t="shared" si="9"/>
        <v>200000</v>
      </c>
      <c r="L74" s="646"/>
    </row>
    <row r="75" spans="1:12" s="602" customFormat="1" ht="17.25" customHeight="1">
      <c r="A75" s="626"/>
      <c r="B75" s="630">
        <v>85154</v>
      </c>
      <c r="C75" s="691" t="s">
        <v>1300</v>
      </c>
      <c r="D75" s="629"/>
      <c r="E75" s="629"/>
      <c r="F75" s="629"/>
      <c r="G75" s="629"/>
      <c r="H75" s="629">
        <f>H76</f>
        <v>0</v>
      </c>
      <c r="I75" s="629">
        <f t="shared" si="15"/>
        <v>220000</v>
      </c>
      <c r="J75" s="629">
        <f t="shared" si="15"/>
        <v>0</v>
      </c>
      <c r="K75" s="629">
        <f t="shared" si="9"/>
        <v>220000</v>
      </c>
      <c r="L75" s="646"/>
    </row>
    <row r="76" spans="1:12" s="602" customFormat="1" ht="42.75" customHeight="1">
      <c r="A76" s="626"/>
      <c r="B76" s="654">
        <v>6220</v>
      </c>
      <c r="C76" s="655" t="s">
        <v>377</v>
      </c>
      <c r="D76" s="697"/>
      <c r="E76" s="697"/>
      <c r="F76" s="697"/>
      <c r="G76" s="697"/>
      <c r="H76" s="670">
        <v>0</v>
      </c>
      <c r="I76" s="697">
        <v>220000</v>
      </c>
      <c r="J76" s="697">
        <v>0</v>
      </c>
      <c r="K76" s="635">
        <f t="shared" si="9"/>
        <v>220000</v>
      </c>
      <c r="L76" s="646"/>
    </row>
    <row r="77" spans="1:12" s="602" customFormat="1" ht="17.25" customHeight="1">
      <c r="A77" s="626"/>
      <c r="B77" s="630">
        <v>85154</v>
      </c>
      <c r="C77" s="691" t="s">
        <v>607</v>
      </c>
      <c r="D77" s="629"/>
      <c r="E77" s="629"/>
      <c r="F77" s="629"/>
      <c r="G77" s="629"/>
      <c r="H77" s="629">
        <f>H78</f>
        <v>0</v>
      </c>
      <c r="I77" s="629">
        <f t="shared" si="15"/>
        <v>100000</v>
      </c>
      <c r="J77" s="629">
        <f t="shared" si="15"/>
        <v>0</v>
      </c>
      <c r="K77" s="629">
        <f t="shared" si="9"/>
        <v>100000</v>
      </c>
      <c r="L77" s="646"/>
    </row>
    <row r="78" spans="1:12" s="602" customFormat="1" ht="45" customHeight="1">
      <c r="A78" s="626"/>
      <c r="B78" s="654">
        <v>6220</v>
      </c>
      <c r="C78" s="655" t="s">
        <v>377</v>
      </c>
      <c r="D78" s="697"/>
      <c r="E78" s="697"/>
      <c r="F78" s="697"/>
      <c r="G78" s="697"/>
      <c r="H78" s="670">
        <v>0</v>
      </c>
      <c r="I78" s="697">
        <v>100000</v>
      </c>
      <c r="J78" s="697">
        <v>0</v>
      </c>
      <c r="K78" s="635">
        <f t="shared" si="9"/>
        <v>100000</v>
      </c>
      <c r="L78" s="646"/>
    </row>
    <row r="79" spans="1:12" s="665" customFormat="1" ht="30" customHeight="1">
      <c r="A79" s="620">
        <v>6</v>
      </c>
      <c r="B79" s="663"/>
      <c r="C79" s="678" t="s">
        <v>1301</v>
      </c>
      <c r="D79" s="700">
        <f>D80</f>
        <v>440550</v>
      </c>
      <c r="E79" s="700">
        <f>E80</f>
        <v>276474</v>
      </c>
      <c r="F79" s="700">
        <v>0</v>
      </c>
      <c r="G79" s="623">
        <f>G80</f>
        <v>717024</v>
      </c>
      <c r="H79" s="700">
        <f t="shared" ref="H79" si="16">SUM(H80:H82)</f>
        <v>440550</v>
      </c>
      <c r="I79" s="700">
        <f>I82</f>
        <v>321474</v>
      </c>
      <c r="J79" s="700">
        <f>J82</f>
        <v>45000</v>
      </c>
      <c r="K79" s="623">
        <f>H79+I79-J79</f>
        <v>717024</v>
      </c>
      <c r="L79" s="646"/>
    </row>
    <row r="80" spans="1:12" s="602" customFormat="1" ht="16.5" customHeight="1">
      <c r="A80" s="626"/>
      <c r="B80" s="672">
        <v>85324</v>
      </c>
      <c r="C80" s="674" t="s">
        <v>1302</v>
      </c>
      <c r="D80" s="674">
        <f>D81</f>
        <v>440550</v>
      </c>
      <c r="E80" s="674">
        <f>E81</f>
        <v>276474</v>
      </c>
      <c r="F80" s="674">
        <f>F81</f>
        <v>0</v>
      </c>
      <c r="G80" s="629">
        <f>D80+E80-F80</f>
        <v>717024</v>
      </c>
      <c r="H80" s="674"/>
      <c r="I80" s="674"/>
      <c r="J80" s="674"/>
      <c r="K80" s="629"/>
      <c r="L80" s="646"/>
    </row>
    <row r="81" spans="1:12" s="602" customFormat="1" ht="21" customHeight="1">
      <c r="A81" s="701"/>
      <c r="B81" s="668" t="s">
        <v>150</v>
      </c>
      <c r="C81" s="670" t="s">
        <v>151</v>
      </c>
      <c r="D81" s="670">
        <v>440550</v>
      </c>
      <c r="E81" s="670">
        <v>276474</v>
      </c>
      <c r="F81" s="670">
        <v>0</v>
      </c>
      <c r="G81" s="670">
        <f>D81+E81-F81</f>
        <v>717024</v>
      </c>
      <c r="H81" s="697"/>
      <c r="I81" s="670"/>
      <c r="J81" s="670"/>
      <c r="K81" s="670"/>
      <c r="L81" s="646"/>
    </row>
    <row r="82" spans="1:12" s="602" customFormat="1" ht="16.5" customHeight="1">
      <c r="A82" s="702"/>
      <c r="B82" s="672">
        <v>85324</v>
      </c>
      <c r="C82" s="674" t="s">
        <v>1303</v>
      </c>
      <c r="D82" s="674"/>
      <c r="E82" s="674"/>
      <c r="F82" s="674"/>
      <c r="G82" s="674"/>
      <c r="H82" s="674">
        <f>SUM(H83:H92)</f>
        <v>440550</v>
      </c>
      <c r="I82" s="674">
        <f>SUM(I83:I92)</f>
        <v>321474</v>
      </c>
      <c r="J82" s="674">
        <f>SUM(J83:J92)</f>
        <v>45000</v>
      </c>
      <c r="K82" s="674">
        <f>H82+I82-J82</f>
        <v>717024</v>
      </c>
      <c r="L82" s="646"/>
    </row>
    <row r="83" spans="1:12" s="602" customFormat="1" ht="17.25" customHeight="1">
      <c r="A83" s="626"/>
      <c r="B83" s="654">
        <v>4010</v>
      </c>
      <c r="C83" s="635" t="s">
        <v>341</v>
      </c>
      <c r="D83" s="698"/>
      <c r="E83" s="698"/>
      <c r="F83" s="698"/>
      <c r="G83" s="698"/>
      <c r="H83" s="635">
        <v>277123</v>
      </c>
      <c r="I83" s="698">
        <v>219387</v>
      </c>
      <c r="J83" s="698">
        <v>0</v>
      </c>
      <c r="K83" s="635">
        <f>H83+I83-J83</f>
        <v>496510</v>
      </c>
      <c r="L83" s="646"/>
    </row>
    <row r="84" spans="1:12" s="602" customFormat="1" ht="17.25" customHeight="1">
      <c r="A84" s="626"/>
      <c r="B84" s="654">
        <v>4040</v>
      </c>
      <c r="C84" s="635" t="s">
        <v>369</v>
      </c>
      <c r="D84" s="698"/>
      <c r="E84" s="698"/>
      <c r="F84" s="698"/>
      <c r="G84" s="698"/>
      <c r="H84" s="635">
        <v>45000</v>
      </c>
      <c r="I84" s="698">
        <v>0</v>
      </c>
      <c r="J84" s="698">
        <v>45000</v>
      </c>
      <c r="K84" s="635">
        <f t="shared" ref="K84:K92" si="17">H84+I84-J84</f>
        <v>0</v>
      </c>
      <c r="L84" s="646"/>
    </row>
    <row r="85" spans="1:12" s="602" customFormat="1" ht="17.25" customHeight="1">
      <c r="A85" s="626"/>
      <c r="B85" s="654">
        <v>4110</v>
      </c>
      <c r="C85" s="635" t="s">
        <v>342</v>
      </c>
      <c r="D85" s="698"/>
      <c r="E85" s="698"/>
      <c r="F85" s="698"/>
      <c r="G85" s="698"/>
      <c r="H85" s="635">
        <v>47637</v>
      </c>
      <c r="I85" s="698">
        <v>37713</v>
      </c>
      <c r="J85" s="698">
        <v>0</v>
      </c>
      <c r="K85" s="635">
        <f t="shared" si="17"/>
        <v>85350</v>
      </c>
      <c r="L85" s="646"/>
    </row>
    <row r="86" spans="1:12" s="602" customFormat="1" ht="17.25" customHeight="1">
      <c r="A86" s="626"/>
      <c r="B86" s="654">
        <v>4120</v>
      </c>
      <c r="C86" s="655" t="s">
        <v>343</v>
      </c>
      <c r="D86" s="698"/>
      <c r="E86" s="698"/>
      <c r="F86" s="698"/>
      <c r="G86" s="698"/>
      <c r="H86" s="635">
        <v>6790</v>
      </c>
      <c r="I86" s="698">
        <v>5374</v>
      </c>
      <c r="J86" s="698">
        <v>0</v>
      </c>
      <c r="K86" s="635">
        <f t="shared" si="17"/>
        <v>12164</v>
      </c>
      <c r="L86" s="646"/>
    </row>
    <row r="87" spans="1:12" s="602" customFormat="1" ht="17.25" customHeight="1">
      <c r="A87" s="626"/>
      <c r="B87" s="654">
        <v>4210</v>
      </c>
      <c r="C87" s="635" t="s">
        <v>345</v>
      </c>
      <c r="D87" s="698"/>
      <c r="E87" s="698"/>
      <c r="F87" s="698"/>
      <c r="G87" s="698"/>
      <c r="H87" s="635">
        <v>50000</v>
      </c>
      <c r="I87" s="698">
        <v>10000</v>
      </c>
      <c r="J87" s="698">
        <v>0</v>
      </c>
      <c r="K87" s="635">
        <f t="shared" si="17"/>
        <v>60000</v>
      </c>
      <c r="L87" s="646"/>
    </row>
    <row r="88" spans="1:12" s="602" customFormat="1" ht="17.25" customHeight="1">
      <c r="A88" s="626"/>
      <c r="B88" s="654">
        <v>4220</v>
      </c>
      <c r="C88" s="635" t="s">
        <v>346</v>
      </c>
      <c r="D88" s="698"/>
      <c r="E88" s="698"/>
      <c r="F88" s="698"/>
      <c r="G88" s="698"/>
      <c r="H88" s="635">
        <v>2000</v>
      </c>
      <c r="I88" s="698">
        <v>4000</v>
      </c>
      <c r="J88" s="698">
        <v>0</v>
      </c>
      <c r="K88" s="635">
        <f t="shared" si="17"/>
        <v>6000</v>
      </c>
      <c r="L88" s="646"/>
    </row>
    <row r="89" spans="1:12" s="602" customFormat="1" ht="17.25" hidden="1" customHeight="1">
      <c r="A89" s="626"/>
      <c r="B89" s="654">
        <v>4270</v>
      </c>
      <c r="C89" s="635" t="s">
        <v>348</v>
      </c>
      <c r="D89" s="698"/>
      <c r="E89" s="698"/>
      <c r="F89" s="698"/>
      <c r="G89" s="698"/>
      <c r="H89" s="635">
        <v>2000</v>
      </c>
      <c r="I89" s="698"/>
      <c r="J89" s="698"/>
      <c r="K89" s="635">
        <f t="shared" si="17"/>
        <v>2000</v>
      </c>
      <c r="L89" s="646"/>
    </row>
    <row r="90" spans="1:12" s="602" customFormat="1" ht="17.25" hidden="1" customHeight="1">
      <c r="A90" s="626"/>
      <c r="B90" s="654">
        <v>4300</v>
      </c>
      <c r="C90" s="635" t="s">
        <v>349</v>
      </c>
      <c r="D90" s="698"/>
      <c r="E90" s="698"/>
      <c r="F90" s="698"/>
      <c r="G90" s="698"/>
      <c r="H90" s="635">
        <v>2000</v>
      </c>
      <c r="I90" s="698"/>
      <c r="J90" s="698"/>
      <c r="K90" s="635">
        <f t="shared" si="17"/>
        <v>2000</v>
      </c>
      <c r="L90" s="646"/>
    </row>
    <row r="91" spans="1:12" s="602" customFormat="1" ht="17.25" hidden="1" customHeight="1">
      <c r="A91" s="626"/>
      <c r="B91" s="654">
        <v>4410</v>
      </c>
      <c r="C91" s="635" t="s">
        <v>352</v>
      </c>
      <c r="D91" s="698"/>
      <c r="E91" s="698"/>
      <c r="F91" s="698"/>
      <c r="G91" s="698"/>
      <c r="H91" s="635">
        <v>3000</v>
      </c>
      <c r="I91" s="698"/>
      <c r="J91" s="698"/>
      <c r="K91" s="635">
        <f t="shared" si="17"/>
        <v>3000</v>
      </c>
      <c r="L91" s="646"/>
    </row>
    <row r="92" spans="1:12" s="602" customFormat="1" ht="17.25" customHeight="1">
      <c r="A92" s="701"/>
      <c r="B92" s="696">
        <v>4700</v>
      </c>
      <c r="C92" s="692" t="s">
        <v>1280</v>
      </c>
      <c r="D92" s="697"/>
      <c r="E92" s="703"/>
      <c r="F92" s="703"/>
      <c r="G92" s="703"/>
      <c r="H92" s="704">
        <v>5000</v>
      </c>
      <c r="I92" s="703">
        <v>45000</v>
      </c>
      <c r="J92" s="703">
        <v>0</v>
      </c>
      <c r="K92" s="670">
        <f t="shared" si="17"/>
        <v>50000</v>
      </c>
      <c r="L92" s="646"/>
    </row>
    <row r="93" spans="1:12" s="665" customFormat="1" ht="15.75" hidden="1" customHeight="1">
      <c r="A93" s="620">
        <v>7</v>
      </c>
      <c r="B93" s="663"/>
      <c r="C93" s="678" t="s">
        <v>1304</v>
      </c>
      <c r="D93" s="700">
        <f>D94</f>
        <v>910000</v>
      </c>
      <c r="E93" s="700"/>
      <c r="F93" s="700"/>
      <c r="G93" s="623">
        <f>G94</f>
        <v>910000</v>
      </c>
      <c r="H93" s="700">
        <f>H96</f>
        <v>910000</v>
      </c>
      <c r="I93" s="700">
        <f>I96</f>
        <v>0</v>
      </c>
      <c r="J93" s="700">
        <f>J96</f>
        <v>0</v>
      </c>
      <c r="K93" s="623">
        <f>H93+I93-J93</f>
        <v>910000</v>
      </c>
      <c r="L93" s="646"/>
    </row>
    <row r="94" spans="1:12" s="602" customFormat="1" ht="16.5" hidden="1" customHeight="1">
      <c r="A94" s="626"/>
      <c r="B94" s="672">
        <v>90019</v>
      </c>
      <c r="C94" s="674" t="s">
        <v>1305</v>
      </c>
      <c r="D94" s="674">
        <f>D95</f>
        <v>910000</v>
      </c>
      <c r="E94" s="674"/>
      <c r="F94" s="674"/>
      <c r="G94" s="629">
        <f>D94+E94-F94</f>
        <v>910000</v>
      </c>
      <c r="H94" s="674"/>
      <c r="I94" s="674"/>
      <c r="J94" s="674"/>
      <c r="K94" s="629"/>
      <c r="L94" s="646"/>
    </row>
    <row r="95" spans="1:12" s="602" customFormat="1" ht="14.25" hidden="1" customHeight="1">
      <c r="A95" s="626"/>
      <c r="B95" s="668" t="s">
        <v>131</v>
      </c>
      <c r="C95" s="705" t="s">
        <v>132</v>
      </c>
      <c r="D95" s="670">
        <v>910000</v>
      </c>
      <c r="E95" s="670"/>
      <c r="F95" s="670"/>
      <c r="G95" s="670">
        <f>D95+E95-F95</f>
        <v>910000</v>
      </c>
      <c r="H95" s="697"/>
      <c r="I95" s="670"/>
      <c r="J95" s="670"/>
      <c r="K95" s="670"/>
      <c r="L95" s="646"/>
    </row>
    <row r="96" spans="1:12" s="602" customFormat="1" ht="16.5" hidden="1" customHeight="1">
      <c r="A96" s="626"/>
      <c r="B96" s="706">
        <v>90019</v>
      </c>
      <c r="C96" s="699" t="s">
        <v>1306</v>
      </c>
      <c r="D96" s="699"/>
      <c r="E96" s="699"/>
      <c r="F96" s="699"/>
      <c r="G96" s="699"/>
      <c r="H96" s="699">
        <f>SUM(H97:H105)</f>
        <v>910000</v>
      </c>
      <c r="I96" s="699">
        <f t="shared" ref="I96:J96" si="18">SUM(I97:I105)</f>
        <v>0</v>
      </c>
      <c r="J96" s="699">
        <f t="shared" si="18"/>
        <v>0</v>
      </c>
      <c r="K96" s="629">
        <f>H96+I96-J96</f>
        <v>910000</v>
      </c>
      <c r="L96" s="646"/>
    </row>
    <row r="97" spans="1:12" s="602" customFormat="1" ht="16.5" hidden="1" customHeight="1">
      <c r="A97" s="626"/>
      <c r="B97" s="654">
        <v>4010</v>
      </c>
      <c r="C97" s="635" t="s">
        <v>341</v>
      </c>
      <c r="D97" s="698"/>
      <c r="E97" s="698"/>
      <c r="F97" s="698"/>
      <c r="G97" s="698"/>
      <c r="H97" s="635">
        <v>628971</v>
      </c>
      <c r="I97" s="698">
        <v>0</v>
      </c>
      <c r="J97" s="698"/>
      <c r="K97" s="635">
        <f>H97+I97-J97</f>
        <v>628971</v>
      </c>
      <c r="L97" s="646"/>
    </row>
    <row r="98" spans="1:12" s="602" customFormat="1" ht="16.5" hidden="1" customHeight="1">
      <c r="A98" s="626"/>
      <c r="B98" s="654">
        <v>4040</v>
      </c>
      <c r="C98" s="635" t="s">
        <v>369</v>
      </c>
      <c r="D98" s="698"/>
      <c r="E98" s="698"/>
      <c r="F98" s="698"/>
      <c r="G98" s="698"/>
      <c r="H98" s="635">
        <v>70000</v>
      </c>
      <c r="I98" s="698">
        <v>0</v>
      </c>
      <c r="J98" s="698"/>
      <c r="K98" s="635">
        <f t="shared" ref="K98:K105" si="19">H98+I98-J98</f>
        <v>70000</v>
      </c>
      <c r="L98" s="646"/>
    </row>
    <row r="99" spans="1:12" s="602" customFormat="1" ht="16.5" hidden="1" customHeight="1">
      <c r="A99" s="626"/>
      <c r="B99" s="654">
        <v>4110</v>
      </c>
      <c r="C99" s="635" t="s">
        <v>342</v>
      </c>
      <c r="D99" s="698"/>
      <c r="E99" s="698"/>
      <c r="F99" s="698"/>
      <c r="G99" s="698"/>
      <c r="H99" s="635">
        <v>120153</v>
      </c>
      <c r="I99" s="698">
        <v>0</v>
      </c>
      <c r="J99" s="698"/>
      <c r="K99" s="635">
        <f t="shared" si="19"/>
        <v>120153</v>
      </c>
      <c r="L99" s="646"/>
    </row>
    <row r="100" spans="1:12" s="602" customFormat="1" ht="16.5" hidden="1" customHeight="1">
      <c r="A100" s="626"/>
      <c r="B100" s="654">
        <v>4120</v>
      </c>
      <c r="C100" s="655" t="s">
        <v>343</v>
      </c>
      <c r="D100" s="698"/>
      <c r="E100" s="698"/>
      <c r="F100" s="698"/>
      <c r="G100" s="698"/>
      <c r="H100" s="635">
        <v>17126</v>
      </c>
      <c r="I100" s="698">
        <v>0</v>
      </c>
      <c r="J100" s="698"/>
      <c r="K100" s="635">
        <f t="shared" si="19"/>
        <v>17126</v>
      </c>
      <c r="L100" s="646"/>
    </row>
    <row r="101" spans="1:12" s="602" customFormat="1" ht="16.5" hidden="1" customHeight="1">
      <c r="A101" s="626"/>
      <c r="B101" s="657">
        <v>4210</v>
      </c>
      <c r="C101" s="635" t="s">
        <v>345</v>
      </c>
      <c r="D101" s="707"/>
      <c r="E101" s="707"/>
      <c r="F101" s="707"/>
      <c r="G101" s="707"/>
      <c r="H101" s="640">
        <v>40000</v>
      </c>
      <c r="I101" s="707">
        <v>0</v>
      </c>
      <c r="J101" s="707"/>
      <c r="K101" s="635">
        <f t="shared" si="19"/>
        <v>40000</v>
      </c>
      <c r="L101" s="646"/>
    </row>
    <row r="102" spans="1:12" s="602" customFormat="1" ht="16.5" hidden="1" customHeight="1">
      <c r="A102" s="626"/>
      <c r="B102" s="654">
        <v>4300</v>
      </c>
      <c r="C102" s="635" t="s">
        <v>349</v>
      </c>
      <c r="D102" s="698"/>
      <c r="E102" s="698"/>
      <c r="F102" s="698"/>
      <c r="G102" s="698"/>
      <c r="H102" s="635">
        <v>20000</v>
      </c>
      <c r="I102" s="698">
        <v>0</v>
      </c>
      <c r="J102" s="698"/>
      <c r="K102" s="635">
        <f t="shared" si="19"/>
        <v>20000</v>
      </c>
      <c r="L102" s="646"/>
    </row>
    <row r="103" spans="1:12" s="602" customFormat="1" ht="16.5" hidden="1" customHeight="1">
      <c r="A103" s="626"/>
      <c r="B103" s="654">
        <v>4410</v>
      </c>
      <c r="C103" s="635" t="s">
        <v>352</v>
      </c>
      <c r="D103" s="698"/>
      <c r="E103" s="698"/>
      <c r="F103" s="698"/>
      <c r="G103" s="698"/>
      <c r="H103" s="635">
        <v>400</v>
      </c>
      <c r="I103" s="698">
        <v>0</v>
      </c>
      <c r="J103" s="698"/>
      <c r="K103" s="635">
        <f t="shared" si="19"/>
        <v>400</v>
      </c>
      <c r="L103" s="646"/>
    </row>
    <row r="104" spans="1:12" s="602" customFormat="1" ht="16.5" hidden="1" customHeight="1">
      <c r="A104" s="626"/>
      <c r="B104" s="657">
        <v>4700</v>
      </c>
      <c r="C104" s="658" t="s">
        <v>1280</v>
      </c>
      <c r="D104" s="707"/>
      <c r="E104" s="707"/>
      <c r="F104" s="707"/>
      <c r="G104" s="707"/>
      <c r="H104" s="640">
        <v>6000</v>
      </c>
      <c r="I104" s="707">
        <v>0</v>
      </c>
      <c r="J104" s="707"/>
      <c r="K104" s="635">
        <f t="shared" si="19"/>
        <v>6000</v>
      </c>
      <c r="L104" s="646"/>
    </row>
    <row r="105" spans="1:12" s="602" customFormat="1" ht="16.5" hidden="1" customHeight="1">
      <c r="A105" s="708"/>
      <c r="B105" s="696">
        <v>4710</v>
      </c>
      <c r="C105" s="692" t="s">
        <v>354</v>
      </c>
      <c r="D105" s="697"/>
      <c r="E105" s="697"/>
      <c r="F105" s="697"/>
      <c r="G105" s="697"/>
      <c r="H105" s="670">
        <v>7350</v>
      </c>
      <c r="I105" s="697">
        <v>0</v>
      </c>
      <c r="J105" s="697"/>
      <c r="K105" s="640">
        <f t="shared" si="19"/>
        <v>7350</v>
      </c>
      <c r="L105" s="646"/>
    </row>
    <row r="106" spans="1:12" s="665" customFormat="1" ht="30.75" customHeight="1">
      <c r="A106" s="620">
        <v>8</v>
      </c>
      <c r="B106" s="663"/>
      <c r="C106" s="664" t="s">
        <v>1307</v>
      </c>
      <c r="D106" s="709">
        <f>D107+D118</f>
        <v>145250</v>
      </c>
      <c r="E106" s="709">
        <v>0</v>
      </c>
      <c r="F106" s="709">
        <v>0</v>
      </c>
      <c r="G106" s="709">
        <f>G107+G118</f>
        <v>145250</v>
      </c>
      <c r="H106" s="709">
        <f>H109+H120</f>
        <v>145250</v>
      </c>
      <c r="I106" s="709">
        <f>I109+I120</f>
        <v>2199.9899999999998</v>
      </c>
      <c r="J106" s="709">
        <f>J109+J120</f>
        <v>0</v>
      </c>
      <c r="K106" s="709">
        <f>H106+I106-J106</f>
        <v>147449.99</v>
      </c>
      <c r="L106" s="646"/>
    </row>
    <row r="107" spans="1:12" s="602" customFormat="1" ht="48.75" hidden="1" customHeight="1">
      <c r="A107" s="626"/>
      <c r="B107" s="672">
        <v>90020</v>
      </c>
      <c r="C107" s="710" t="s">
        <v>1308</v>
      </c>
      <c r="D107" s="674">
        <f>D108</f>
        <v>45000</v>
      </c>
      <c r="E107" s="674"/>
      <c r="F107" s="674"/>
      <c r="G107" s="629">
        <f>D107+E107-F107</f>
        <v>45000</v>
      </c>
      <c r="H107" s="674"/>
      <c r="I107" s="674"/>
      <c r="J107" s="674"/>
      <c r="K107" s="629"/>
      <c r="L107" s="646"/>
    </row>
    <row r="108" spans="1:12" s="602" customFormat="1" ht="15" hidden="1" customHeight="1">
      <c r="A108" s="626"/>
      <c r="B108" s="668" t="s">
        <v>1309</v>
      </c>
      <c r="C108" s="692" t="s">
        <v>1310</v>
      </c>
      <c r="D108" s="670">
        <v>45000</v>
      </c>
      <c r="E108" s="670"/>
      <c r="F108" s="670"/>
      <c r="G108" s="670">
        <f>D108+E108-F108</f>
        <v>45000</v>
      </c>
      <c r="H108" s="697"/>
      <c r="I108" s="670"/>
      <c r="J108" s="670"/>
      <c r="K108" s="670"/>
      <c r="L108" s="646"/>
    </row>
    <row r="109" spans="1:12" s="602" customFormat="1" ht="29.25" hidden="1" customHeight="1">
      <c r="A109" s="626"/>
      <c r="B109" s="706">
        <v>90020</v>
      </c>
      <c r="C109" s="711" t="s">
        <v>1311</v>
      </c>
      <c r="D109" s="699"/>
      <c r="E109" s="699"/>
      <c r="F109" s="699"/>
      <c r="G109" s="699"/>
      <c r="H109" s="699">
        <f>SUM(H110:H117)</f>
        <v>45000</v>
      </c>
      <c r="I109" s="699">
        <f t="shared" ref="I109:J109" si="20">SUM(I110:I117)</f>
        <v>0</v>
      </c>
      <c r="J109" s="699">
        <f t="shared" si="20"/>
        <v>0</v>
      </c>
      <c r="K109" s="629">
        <f>H109+I109-J109</f>
        <v>45000</v>
      </c>
      <c r="L109" s="646"/>
    </row>
    <row r="110" spans="1:12" s="646" customFormat="1" ht="16.5" hidden="1" customHeight="1">
      <c r="A110" s="626"/>
      <c r="B110" s="654">
        <v>4010</v>
      </c>
      <c r="C110" s="635" t="s">
        <v>341</v>
      </c>
      <c r="D110" s="698"/>
      <c r="E110" s="698"/>
      <c r="F110" s="698"/>
      <c r="G110" s="698"/>
      <c r="H110" s="635">
        <v>26433</v>
      </c>
      <c r="I110" s="698">
        <v>0</v>
      </c>
      <c r="J110" s="698">
        <v>0</v>
      </c>
      <c r="K110" s="635">
        <f>H110+I110-J110</f>
        <v>26433</v>
      </c>
    </row>
    <row r="111" spans="1:12" s="602" customFormat="1" ht="16.5" hidden="1" customHeight="1">
      <c r="A111" s="626"/>
      <c r="B111" s="654">
        <v>4040</v>
      </c>
      <c r="C111" s="635" t="s">
        <v>369</v>
      </c>
      <c r="D111" s="698"/>
      <c r="E111" s="698"/>
      <c r="F111" s="698"/>
      <c r="G111" s="698"/>
      <c r="H111" s="635">
        <v>7000</v>
      </c>
      <c r="I111" s="698">
        <v>0</v>
      </c>
      <c r="J111" s="698">
        <v>0</v>
      </c>
      <c r="K111" s="635">
        <f t="shared" ref="K111:K117" si="21">H111+I111-J111</f>
        <v>7000</v>
      </c>
      <c r="L111" s="646"/>
    </row>
    <row r="112" spans="1:12" s="646" customFormat="1" ht="16.5" hidden="1" customHeight="1">
      <c r="A112" s="626"/>
      <c r="B112" s="654">
        <v>4110</v>
      </c>
      <c r="C112" s="635" t="s">
        <v>342</v>
      </c>
      <c r="D112" s="698"/>
      <c r="E112" s="698"/>
      <c r="F112" s="698"/>
      <c r="G112" s="698"/>
      <c r="H112" s="635">
        <v>5747</v>
      </c>
      <c r="I112" s="698"/>
      <c r="J112" s="698"/>
      <c r="K112" s="635">
        <f t="shared" si="21"/>
        <v>5747</v>
      </c>
    </row>
    <row r="113" spans="1:12" s="646" customFormat="1" ht="16.5" hidden="1" customHeight="1">
      <c r="A113" s="626"/>
      <c r="B113" s="654">
        <v>4120</v>
      </c>
      <c r="C113" s="655" t="s">
        <v>343</v>
      </c>
      <c r="D113" s="698"/>
      <c r="E113" s="698"/>
      <c r="F113" s="698"/>
      <c r="G113" s="698"/>
      <c r="H113" s="635">
        <v>820</v>
      </c>
      <c r="I113" s="698"/>
      <c r="J113" s="698"/>
      <c r="K113" s="635">
        <f t="shared" si="21"/>
        <v>820</v>
      </c>
    </row>
    <row r="114" spans="1:12" s="602" customFormat="1" ht="16.5" hidden="1" customHeight="1">
      <c r="A114" s="626"/>
      <c r="B114" s="657">
        <v>4210</v>
      </c>
      <c r="C114" s="635" t="s">
        <v>345</v>
      </c>
      <c r="D114" s="707"/>
      <c r="E114" s="707"/>
      <c r="F114" s="707"/>
      <c r="G114" s="707"/>
      <c r="H114" s="640">
        <v>0</v>
      </c>
      <c r="I114" s="707"/>
      <c r="J114" s="707"/>
      <c r="K114" s="635">
        <f t="shared" si="21"/>
        <v>0</v>
      </c>
      <c r="L114" s="646"/>
    </row>
    <row r="115" spans="1:12" s="646" customFormat="1" ht="16.5" hidden="1" customHeight="1">
      <c r="A115" s="626"/>
      <c r="B115" s="657">
        <v>4610</v>
      </c>
      <c r="C115" s="712" t="s">
        <v>1279</v>
      </c>
      <c r="D115" s="707"/>
      <c r="E115" s="707"/>
      <c r="F115" s="707"/>
      <c r="G115" s="707"/>
      <c r="H115" s="640">
        <v>300</v>
      </c>
      <c r="I115" s="707"/>
      <c r="J115" s="707"/>
      <c r="K115" s="635">
        <f t="shared" si="21"/>
        <v>300</v>
      </c>
    </row>
    <row r="116" spans="1:12" s="602" customFormat="1" ht="16.5" hidden="1" customHeight="1">
      <c r="A116" s="626"/>
      <c r="B116" s="657">
        <v>4700</v>
      </c>
      <c r="C116" s="658" t="s">
        <v>1280</v>
      </c>
      <c r="D116" s="707"/>
      <c r="E116" s="707"/>
      <c r="F116" s="707"/>
      <c r="G116" s="707"/>
      <c r="H116" s="640">
        <v>4000</v>
      </c>
      <c r="I116" s="707"/>
      <c r="J116" s="707"/>
      <c r="K116" s="635">
        <f t="shared" si="21"/>
        <v>4000</v>
      </c>
      <c r="L116" s="646"/>
    </row>
    <row r="117" spans="1:12" s="602" customFormat="1" ht="16.5" hidden="1" customHeight="1">
      <c r="A117" s="688"/>
      <c r="B117" s="696">
        <v>4710</v>
      </c>
      <c r="C117" s="692" t="s">
        <v>354</v>
      </c>
      <c r="D117" s="697"/>
      <c r="E117" s="697"/>
      <c r="F117" s="697"/>
      <c r="G117" s="697"/>
      <c r="H117" s="670">
        <v>700</v>
      </c>
      <c r="I117" s="697"/>
      <c r="J117" s="697"/>
      <c r="K117" s="635">
        <f t="shared" si="21"/>
        <v>700</v>
      </c>
      <c r="L117" s="646"/>
    </row>
    <row r="118" spans="1:12" s="602" customFormat="1" ht="33.75" hidden="1" customHeight="1">
      <c r="A118" s="688"/>
      <c r="B118" s="672">
        <v>90026</v>
      </c>
      <c r="C118" s="710" t="s">
        <v>1312</v>
      </c>
      <c r="D118" s="674">
        <f>D119</f>
        <v>100250</v>
      </c>
      <c r="E118" s="674"/>
      <c r="F118" s="674"/>
      <c r="G118" s="629">
        <f>D118+E118-F118</f>
        <v>100250</v>
      </c>
      <c r="H118" s="674"/>
      <c r="I118" s="674"/>
      <c r="J118" s="674"/>
      <c r="K118" s="629"/>
      <c r="L118" s="646"/>
    </row>
    <row r="119" spans="1:12" s="602" customFormat="1" ht="16.5" hidden="1" customHeight="1">
      <c r="A119" s="626"/>
      <c r="B119" s="668" t="s">
        <v>1313</v>
      </c>
      <c r="C119" s="692" t="s">
        <v>1314</v>
      </c>
      <c r="D119" s="670">
        <v>100250</v>
      </c>
      <c r="E119" s="670"/>
      <c r="F119" s="670"/>
      <c r="G119" s="670">
        <f>D119+E119-F119</f>
        <v>100250</v>
      </c>
      <c r="H119" s="697"/>
      <c r="I119" s="670"/>
      <c r="J119" s="670"/>
      <c r="K119" s="670"/>
      <c r="L119" s="646"/>
    </row>
    <row r="120" spans="1:12" s="602" customFormat="1" ht="27" customHeight="1">
      <c r="A120" s="626"/>
      <c r="B120" s="706">
        <v>90026</v>
      </c>
      <c r="C120" s="711" t="s">
        <v>1315</v>
      </c>
      <c r="D120" s="699"/>
      <c r="E120" s="699"/>
      <c r="F120" s="699"/>
      <c r="G120" s="699"/>
      <c r="H120" s="699">
        <f>SUM(H121:H127)</f>
        <v>100250</v>
      </c>
      <c r="I120" s="699">
        <f>SUM(I121:I127)</f>
        <v>2199.9899999999998</v>
      </c>
      <c r="J120" s="699">
        <f>SUM(J121:J127)</f>
        <v>0</v>
      </c>
      <c r="K120" s="629">
        <f>H120+I120-J120</f>
        <v>102449.99</v>
      </c>
      <c r="L120" s="646"/>
    </row>
    <row r="121" spans="1:12" s="602" customFormat="1" ht="16.5" hidden="1" customHeight="1">
      <c r="A121" s="626"/>
      <c r="B121" s="654">
        <v>4010</v>
      </c>
      <c r="C121" s="635" t="s">
        <v>341</v>
      </c>
      <c r="D121" s="635"/>
      <c r="E121" s="635"/>
      <c r="F121" s="635"/>
      <c r="G121" s="635"/>
      <c r="H121" s="635">
        <v>56175</v>
      </c>
      <c r="I121" s="635"/>
      <c r="J121" s="635"/>
      <c r="K121" s="635">
        <f>H121+I121-J121</f>
        <v>56175</v>
      </c>
      <c r="L121" s="646"/>
    </row>
    <row r="122" spans="1:12" s="602" customFormat="1" ht="16.5" hidden="1" customHeight="1">
      <c r="A122" s="626"/>
      <c r="B122" s="654">
        <v>4040</v>
      </c>
      <c r="C122" s="635" t="s">
        <v>369</v>
      </c>
      <c r="D122" s="635"/>
      <c r="E122" s="635"/>
      <c r="F122" s="635"/>
      <c r="G122" s="635"/>
      <c r="H122" s="635">
        <v>5218</v>
      </c>
      <c r="I122" s="635"/>
      <c r="J122" s="635"/>
      <c r="K122" s="635">
        <f t="shared" ref="K122:K127" si="22">H122+I122-J122</f>
        <v>5218</v>
      </c>
      <c r="L122" s="646"/>
    </row>
    <row r="123" spans="1:12" s="602" customFormat="1" ht="16.5" hidden="1" customHeight="1">
      <c r="A123" s="626"/>
      <c r="B123" s="654">
        <v>4110</v>
      </c>
      <c r="C123" s="635" t="s">
        <v>342</v>
      </c>
      <c r="D123" s="635"/>
      <c r="E123" s="635"/>
      <c r="F123" s="635"/>
      <c r="G123" s="635"/>
      <c r="H123" s="635">
        <v>10382</v>
      </c>
      <c r="I123" s="635"/>
      <c r="J123" s="635"/>
      <c r="K123" s="635">
        <f t="shared" si="22"/>
        <v>10382</v>
      </c>
      <c r="L123" s="646"/>
    </row>
    <row r="124" spans="1:12" s="602" customFormat="1" ht="16.5" hidden="1" customHeight="1">
      <c r="A124" s="688"/>
      <c r="B124" s="654">
        <v>4120</v>
      </c>
      <c r="C124" s="655" t="s">
        <v>343</v>
      </c>
      <c r="D124" s="635"/>
      <c r="E124" s="635"/>
      <c r="F124" s="635"/>
      <c r="G124" s="635"/>
      <c r="H124" s="635">
        <v>1504</v>
      </c>
      <c r="I124" s="635"/>
      <c r="J124" s="635"/>
      <c r="K124" s="635">
        <f t="shared" si="22"/>
        <v>1504</v>
      </c>
      <c r="L124" s="646"/>
    </row>
    <row r="125" spans="1:12" s="602" customFormat="1" ht="16.5" customHeight="1">
      <c r="A125" s="626"/>
      <c r="B125" s="713">
        <v>4210</v>
      </c>
      <c r="C125" s="714" t="s">
        <v>345</v>
      </c>
      <c r="D125" s="677"/>
      <c r="E125" s="677"/>
      <c r="F125" s="677"/>
      <c r="G125" s="677"/>
      <c r="H125" s="677">
        <v>25000</v>
      </c>
      <c r="I125" s="677">
        <v>2199.9899999999998</v>
      </c>
      <c r="J125" s="677">
        <v>0</v>
      </c>
      <c r="K125" s="635">
        <f t="shared" si="22"/>
        <v>27199.989999999998</v>
      </c>
      <c r="L125" s="646"/>
    </row>
    <row r="126" spans="1:12" s="602" customFormat="1" ht="16.5" hidden="1" customHeight="1">
      <c r="A126" s="626"/>
      <c r="B126" s="657">
        <v>4700</v>
      </c>
      <c r="C126" s="658" t="s">
        <v>1280</v>
      </c>
      <c r="D126" s="707"/>
      <c r="E126" s="707"/>
      <c r="F126" s="707"/>
      <c r="G126" s="707"/>
      <c r="H126" s="640">
        <v>1800</v>
      </c>
      <c r="I126" s="707"/>
      <c r="J126" s="707"/>
      <c r="K126" s="635">
        <f t="shared" si="22"/>
        <v>1800</v>
      </c>
      <c r="L126" s="646"/>
    </row>
    <row r="127" spans="1:12" s="602" customFormat="1" ht="16.5" hidden="1" customHeight="1">
      <c r="A127" s="708"/>
      <c r="B127" s="696">
        <v>4710</v>
      </c>
      <c r="C127" s="692" t="s">
        <v>354</v>
      </c>
      <c r="D127" s="697"/>
      <c r="E127" s="697"/>
      <c r="F127" s="697"/>
      <c r="G127" s="697"/>
      <c r="H127" s="670">
        <v>171</v>
      </c>
      <c r="I127" s="697"/>
      <c r="J127" s="697"/>
      <c r="K127" s="635">
        <f t="shared" si="22"/>
        <v>171</v>
      </c>
      <c r="L127" s="646"/>
    </row>
    <row r="128" spans="1:12" s="665" customFormat="1" ht="31.5" customHeight="1">
      <c r="A128" s="620">
        <v>9</v>
      </c>
      <c r="B128" s="663"/>
      <c r="C128" s="678" t="s">
        <v>1316</v>
      </c>
      <c r="D128" s="623">
        <f>D129</f>
        <v>2500</v>
      </c>
      <c r="E128" s="623">
        <f t="shared" ref="E128:F128" si="23">E129</f>
        <v>0</v>
      </c>
      <c r="F128" s="623">
        <f t="shared" si="23"/>
        <v>0</v>
      </c>
      <c r="G128" s="623">
        <f>G129</f>
        <v>2500</v>
      </c>
      <c r="H128" s="623">
        <f>H131</f>
        <v>2500</v>
      </c>
      <c r="I128" s="623">
        <f>I131</f>
        <v>70.02</v>
      </c>
      <c r="J128" s="623">
        <f>J131</f>
        <v>0</v>
      </c>
      <c r="K128" s="623">
        <f>H128+I128-J128</f>
        <v>2570.02</v>
      </c>
      <c r="L128" s="646"/>
    </row>
    <row r="129" spans="1:12" s="602" customFormat="1" ht="48" hidden="1" customHeight="1">
      <c r="A129" s="626"/>
      <c r="B129" s="672">
        <v>90020</v>
      </c>
      <c r="C129" s="710" t="s">
        <v>1317</v>
      </c>
      <c r="D129" s="674">
        <f>D130</f>
        <v>2500</v>
      </c>
      <c r="E129" s="674"/>
      <c r="F129" s="674"/>
      <c r="G129" s="629">
        <f>D129+E129-F129</f>
        <v>2500</v>
      </c>
      <c r="H129" s="674"/>
      <c r="I129" s="674"/>
      <c r="J129" s="674"/>
      <c r="K129" s="629"/>
      <c r="L129" s="646"/>
    </row>
    <row r="130" spans="1:12" s="646" customFormat="1" ht="16.5" hidden="1" customHeight="1">
      <c r="A130" s="626"/>
      <c r="B130" s="668" t="s">
        <v>1309</v>
      </c>
      <c r="C130" s="692" t="s">
        <v>1310</v>
      </c>
      <c r="D130" s="670">
        <v>2500</v>
      </c>
      <c r="E130" s="670"/>
      <c r="F130" s="670"/>
      <c r="G130" s="670">
        <f>D130+E130-F130</f>
        <v>2500</v>
      </c>
      <c r="H130" s="697"/>
      <c r="I130" s="670"/>
      <c r="J130" s="670"/>
      <c r="K130" s="670"/>
    </row>
    <row r="131" spans="1:12" s="602" customFormat="1" ht="43.5" customHeight="1">
      <c r="A131" s="626"/>
      <c r="B131" s="672">
        <v>90020</v>
      </c>
      <c r="C131" s="710" t="s">
        <v>1318</v>
      </c>
      <c r="D131" s="674"/>
      <c r="E131" s="674"/>
      <c r="F131" s="674"/>
      <c r="G131" s="674"/>
      <c r="H131" s="674">
        <f>SUM(H132:H134)</f>
        <v>2500</v>
      </c>
      <c r="I131" s="674">
        <f t="shared" ref="I131:J131" si="24">SUM(I132:I134)</f>
        <v>70.02</v>
      </c>
      <c r="J131" s="674">
        <f t="shared" si="24"/>
        <v>0</v>
      </c>
      <c r="K131" s="674">
        <f>H131+I131-J131</f>
        <v>2570.02</v>
      </c>
      <c r="L131" s="646"/>
    </row>
    <row r="132" spans="1:12" s="602" customFormat="1" ht="16.5" customHeight="1">
      <c r="A132" s="626"/>
      <c r="B132" s="654">
        <v>4010</v>
      </c>
      <c r="C132" s="635" t="s">
        <v>341</v>
      </c>
      <c r="D132" s="698"/>
      <c r="E132" s="698"/>
      <c r="F132" s="698"/>
      <c r="G132" s="698"/>
      <c r="H132" s="635">
        <v>2089</v>
      </c>
      <c r="I132" s="698">
        <v>70.02</v>
      </c>
      <c r="J132" s="698">
        <v>0</v>
      </c>
      <c r="K132" s="635">
        <f>H132+I132-J132</f>
        <v>2159.02</v>
      </c>
      <c r="L132" s="646"/>
    </row>
    <row r="133" spans="1:12" s="602" customFormat="1" ht="16.5" hidden="1" customHeight="1">
      <c r="A133" s="626"/>
      <c r="B133" s="654">
        <v>4110</v>
      </c>
      <c r="C133" s="635" t="s">
        <v>342</v>
      </c>
      <c r="D133" s="695"/>
      <c r="E133" s="695"/>
      <c r="F133" s="695"/>
      <c r="G133" s="695"/>
      <c r="H133" s="677">
        <v>359</v>
      </c>
      <c r="I133" s="695"/>
      <c r="J133" s="695"/>
      <c r="K133" s="635">
        <f t="shared" ref="K133:K134" si="25">H133+I133-J133</f>
        <v>359</v>
      </c>
      <c r="L133" s="646"/>
    </row>
    <row r="134" spans="1:12" s="602" customFormat="1" ht="16.5" hidden="1" customHeight="1">
      <c r="A134" s="626"/>
      <c r="B134" s="654">
        <v>4120</v>
      </c>
      <c r="C134" s="655" t="s">
        <v>343</v>
      </c>
      <c r="D134" s="695"/>
      <c r="E134" s="695"/>
      <c r="F134" s="695"/>
      <c r="G134" s="695"/>
      <c r="H134" s="677">
        <v>52</v>
      </c>
      <c r="I134" s="695"/>
      <c r="J134" s="695"/>
      <c r="K134" s="635">
        <f t="shared" si="25"/>
        <v>52</v>
      </c>
      <c r="L134" s="646"/>
    </row>
    <row r="135" spans="1:12" s="665" customFormat="1" ht="20.25" customHeight="1">
      <c r="A135" s="620">
        <v>10</v>
      </c>
      <c r="B135" s="663"/>
      <c r="C135" s="678" t="s">
        <v>1319</v>
      </c>
      <c r="D135" s="623">
        <f>D136</f>
        <v>1770</v>
      </c>
      <c r="E135" s="623">
        <f t="shared" ref="E135:F135" si="26">E136</f>
        <v>0</v>
      </c>
      <c r="F135" s="623">
        <f t="shared" si="26"/>
        <v>0</v>
      </c>
      <c r="G135" s="623">
        <f>G136</f>
        <v>1770</v>
      </c>
      <c r="H135" s="623">
        <f>H138</f>
        <v>1770</v>
      </c>
      <c r="I135" s="623">
        <f>I138</f>
        <v>183.79</v>
      </c>
      <c r="J135" s="623">
        <f>J138</f>
        <v>0</v>
      </c>
      <c r="K135" s="623">
        <f>H135+I135-J135</f>
        <v>1953.79</v>
      </c>
      <c r="L135" s="646"/>
    </row>
    <row r="136" spans="1:12" s="602" customFormat="1" ht="30.75" hidden="1" customHeight="1">
      <c r="A136" s="626"/>
      <c r="B136" s="672">
        <v>90024</v>
      </c>
      <c r="C136" s="710" t="s">
        <v>1320</v>
      </c>
      <c r="D136" s="674">
        <f>D137</f>
        <v>1770</v>
      </c>
      <c r="E136" s="674"/>
      <c r="F136" s="674"/>
      <c r="G136" s="629">
        <f>D136+E136-F136</f>
        <v>1770</v>
      </c>
      <c r="H136" s="674"/>
      <c r="I136" s="674"/>
      <c r="J136" s="674"/>
      <c r="K136" s="629"/>
      <c r="L136" s="646"/>
    </row>
    <row r="137" spans="1:12" s="646" customFormat="1" ht="15" hidden="1" customHeight="1">
      <c r="A137" s="626"/>
      <c r="B137" s="668" t="s">
        <v>131</v>
      </c>
      <c r="C137" s="705" t="s">
        <v>132</v>
      </c>
      <c r="D137" s="670">
        <v>1770</v>
      </c>
      <c r="E137" s="670"/>
      <c r="F137" s="670"/>
      <c r="G137" s="670">
        <f>D137+E137-F137</f>
        <v>1770</v>
      </c>
      <c r="H137" s="697"/>
      <c r="I137" s="670"/>
      <c r="J137" s="670"/>
      <c r="K137" s="670"/>
    </row>
    <row r="138" spans="1:12" s="602" customFormat="1" ht="29.25" customHeight="1">
      <c r="A138" s="626"/>
      <c r="B138" s="672">
        <v>90024</v>
      </c>
      <c r="C138" s="710" t="s">
        <v>1321</v>
      </c>
      <c r="D138" s="674"/>
      <c r="E138" s="674"/>
      <c r="F138" s="674"/>
      <c r="G138" s="674"/>
      <c r="H138" s="674">
        <f>H139</f>
        <v>1770</v>
      </c>
      <c r="I138" s="674">
        <f>I139</f>
        <v>183.79</v>
      </c>
      <c r="J138" s="674">
        <f>J139</f>
        <v>0</v>
      </c>
      <c r="K138" s="674">
        <f>H138+I138-J138</f>
        <v>1953.79</v>
      </c>
      <c r="L138" s="646"/>
    </row>
    <row r="139" spans="1:12" s="602" customFormat="1" ht="18" customHeight="1">
      <c r="A139" s="626"/>
      <c r="B139" s="654">
        <v>4210</v>
      </c>
      <c r="C139" s="635" t="s">
        <v>345</v>
      </c>
      <c r="D139" s="698"/>
      <c r="E139" s="698"/>
      <c r="F139" s="698"/>
      <c r="G139" s="698"/>
      <c r="H139" s="635">
        <v>1770</v>
      </c>
      <c r="I139" s="698">
        <v>183.79</v>
      </c>
      <c r="J139" s="698">
        <v>0</v>
      </c>
      <c r="K139" s="635">
        <f>H139+I139-J139</f>
        <v>1953.79</v>
      </c>
      <c r="L139" s="646"/>
    </row>
    <row r="140" spans="1:12" s="665" customFormat="1" ht="34.5" hidden="1" customHeight="1">
      <c r="A140" s="620">
        <v>11</v>
      </c>
      <c r="B140" s="663"/>
      <c r="C140" s="678" t="s">
        <v>1322</v>
      </c>
      <c r="D140" s="700">
        <f>D141</f>
        <v>760</v>
      </c>
      <c r="E140" s="700"/>
      <c r="F140" s="700"/>
      <c r="G140" s="623">
        <f>G141</f>
        <v>760</v>
      </c>
      <c r="H140" s="700">
        <f>H143</f>
        <v>760</v>
      </c>
      <c r="I140" s="700">
        <f t="shared" ref="I140:K140" si="27">I143</f>
        <v>0</v>
      </c>
      <c r="J140" s="700">
        <f t="shared" si="27"/>
        <v>0</v>
      </c>
      <c r="K140" s="700">
        <f t="shared" si="27"/>
        <v>760</v>
      </c>
      <c r="L140" s="646"/>
    </row>
    <row r="141" spans="1:12" s="602" customFormat="1" ht="18" hidden="1" customHeight="1">
      <c r="A141" s="626"/>
      <c r="B141" s="672">
        <v>90026</v>
      </c>
      <c r="C141" s="710" t="s">
        <v>1323</v>
      </c>
      <c r="D141" s="674">
        <f>D142</f>
        <v>760</v>
      </c>
      <c r="E141" s="674"/>
      <c r="F141" s="674"/>
      <c r="G141" s="629">
        <f>D141+E141-F141</f>
        <v>760</v>
      </c>
      <c r="H141" s="674"/>
      <c r="I141" s="674"/>
      <c r="J141" s="674"/>
      <c r="K141" s="629">
        <f>H141+I141-J141</f>
        <v>0</v>
      </c>
      <c r="L141" s="646"/>
    </row>
    <row r="142" spans="1:12" s="602" customFormat="1" ht="18" hidden="1" customHeight="1">
      <c r="A142" s="626"/>
      <c r="B142" s="668" t="s">
        <v>1313</v>
      </c>
      <c r="C142" s="692" t="s">
        <v>1314</v>
      </c>
      <c r="D142" s="670">
        <v>760</v>
      </c>
      <c r="E142" s="670"/>
      <c r="F142" s="670"/>
      <c r="G142" s="670">
        <f>D142+E142-F142</f>
        <v>760</v>
      </c>
      <c r="H142" s="697"/>
      <c r="I142" s="670"/>
      <c r="J142" s="670"/>
      <c r="K142" s="670">
        <f>H142+I142-J142</f>
        <v>0</v>
      </c>
      <c r="L142" s="646"/>
    </row>
    <row r="143" spans="1:12" s="602" customFormat="1" ht="18" hidden="1" customHeight="1">
      <c r="A143" s="626"/>
      <c r="B143" s="706">
        <v>90026</v>
      </c>
      <c r="C143" s="711" t="s">
        <v>1324</v>
      </c>
      <c r="D143" s="699"/>
      <c r="E143" s="699"/>
      <c r="F143" s="699"/>
      <c r="G143" s="699"/>
      <c r="H143" s="699">
        <f>H144</f>
        <v>760</v>
      </c>
      <c r="I143" s="699"/>
      <c r="J143" s="699"/>
      <c r="K143" s="629">
        <f>H143+I143-J143</f>
        <v>760</v>
      </c>
      <c r="L143" s="646"/>
    </row>
    <row r="144" spans="1:12" s="602" customFormat="1" ht="18" hidden="1" customHeight="1">
      <c r="A144" s="701"/>
      <c r="B144" s="696">
        <v>4210</v>
      </c>
      <c r="C144" s="635" t="s">
        <v>345</v>
      </c>
      <c r="D144" s="697"/>
      <c r="E144" s="697"/>
      <c r="F144" s="697"/>
      <c r="G144" s="697"/>
      <c r="H144" s="670">
        <v>760</v>
      </c>
      <c r="I144" s="697"/>
      <c r="J144" s="697"/>
      <c r="K144" s="635">
        <f>H144+I144-J144</f>
        <v>760</v>
      </c>
      <c r="L144" s="646"/>
    </row>
    <row r="145" spans="1:12" s="665" customFormat="1" ht="30.75" hidden="1" customHeight="1">
      <c r="A145" s="620">
        <v>12</v>
      </c>
      <c r="B145" s="663"/>
      <c r="C145" s="678" t="s">
        <v>1325</v>
      </c>
      <c r="D145" s="700">
        <f>D146</f>
        <v>1400</v>
      </c>
      <c r="E145" s="700"/>
      <c r="F145" s="700"/>
      <c r="G145" s="623">
        <f>G146</f>
        <v>1400</v>
      </c>
      <c r="H145" s="700">
        <f>H148</f>
        <v>1400</v>
      </c>
      <c r="I145" s="700">
        <f t="shared" ref="I145:K145" si="28">I148</f>
        <v>0</v>
      </c>
      <c r="J145" s="700">
        <f t="shared" si="28"/>
        <v>0</v>
      </c>
      <c r="K145" s="700">
        <f t="shared" si="28"/>
        <v>1400</v>
      </c>
      <c r="L145" s="646"/>
    </row>
    <row r="146" spans="1:12" s="602" customFormat="1" ht="18" hidden="1" customHeight="1">
      <c r="A146" s="626"/>
      <c r="B146" s="672">
        <v>90095</v>
      </c>
      <c r="C146" s="710" t="s">
        <v>1326</v>
      </c>
      <c r="D146" s="674">
        <f>D147</f>
        <v>1400</v>
      </c>
      <c r="E146" s="674"/>
      <c r="F146" s="674"/>
      <c r="G146" s="629">
        <f>D146+E146-F146</f>
        <v>1400</v>
      </c>
      <c r="H146" s="674"/>
      <c r="I146" s="674"/>
      <c r="J146" s="674"/>
      <c r="K146" s="629">
        <f t="shared" ref="K146:K161" si="29">H146+I146-J146</f>
        <v>0</v>
      </c>
      <c r="L146" s="646"/>
    </row>
    <row r="147" spans="1:12" s="646" customFormat="1" ht="18" hidden="1" customHeight="1">
      <c r="A147" s="626"/>
      <c r="B147" s="668" t="s">
        <v>131</v>
      </c>
      <c r="C147" s="705" t="s">
        <v>132</v>
      </c>
      <c r="D147" s="670">
        <v>1400</v>
      </c>
      <c r="E147" s="670"/>
      <c r="F147" s="670"/>
      <c r="G147" s="670">
        <f>D147+E147-F147</f>
        <v>1400</v>
      </c>
      <c r="H147" s="697"/>
      <c r="I147" s="670"/>
      <c r="J147" s="670"/>
      <c r="K147" s="670">
        <f t="shared" si="29"/>
        <v>0</v>
      </c>
    </row>
    <row r="148" spans="1:12" s="602" customFormat="1" ht="18" hidden="1" customHeight="1">
      <c r="A148" s="626"/>
      <c r="B148" s="706">
        <v>90095</v>
      </c>
      <c r="C148" s="711" t="s">
        <v>1327</v>
      </c>
      <c r="D148" s="699"/>
      <c r="E148" s="699"/>
      <c r="F148" s="699"/>
      <c r="G148" s="699"/>
      <c r="H148" s="699">
        <f>H149</f>
        <v>1400</v>
      </c>
      <c r="I148" s="699"/>
      <c r="J148" s="699"/>
      <c r="K148" s="629">
        <f t="shared" si="29"/>
        <v>1400</v>
      </c>
      <c r="L148" s="646"/>
    </row>
    <row r="149" spans="1:12" s="602" customFormat="1" ht="18" hidden="1" customHeight="1">
      <c r="A149" s="701"/>
      <c r="B149" s="696">
        <v>4210</v>
      </c>
      <c r="C149" s="635" t="s">
        <v>345</v>
      </c>
      <c r="D149" s="697"/>
      <c r="E149" s="697"/>
      <c r="F149" s="697"/>
      <c r="G149" s="697"/>
      <c r="H149" s="670">
        <v>1400</v>
      </c>
      <c r="I149" s="697"/>
      <c r="J149" s="697"/>
      <c r="K149" s="635">
        <f t="shared" si="29"/>
        <v>1400</v>
      </c>
      <c r="L149" s="646"/>
    </row>
    <row r="150" spans="1:12" s="715" customFormat="1" ht="18" hidden="1" customHeight="1">
      <c r="A150" s="620">
        <v>13</v>
      </c>
      <c r="B150" s="663"/>
      <c r="C150" s="678" t="s">
        <v>1328</v>
      </c>
      <c r="D150" s="700">
        <f>D151</f>
        <v>233507</v>
      </c>
      <c r="E150" s="700">
        <v>0</v>
      </c>
      <c r="F150" s="700">
        <v>0</v>
      </c>
      <c r="G150" s="623">
        <f>G151</f>
        <v>233507</v>
      </c>
      <c r="H150" s="700">
        <f>H153</f>
        <v>233507</v>
      </c>
      <c r="I150" s="700">
        <f>I153</f>
        <v>0</v>
      </c>
      <c r="J150" s="700">
        <f>J153</f>
        <v>0</v>
      </c>
      <c r="K150" s="623">
        <f t="shared" si="29"/>
        <v>233507</v>
      </c>
      <c r="L150" s="646"/>
    </row>
    <row r="151" spans="1:12" s="602" customFormat="1" ht="18" hidden="1" customHeight="1">
      <c r="A151" s="626"/>
      <c r="B151" s="672">
        <v>90095</v>
      </c>
      <c r="C151" s="674" t="s">
        <v>1329</v>
      </c>
      <c r="D151" s="674">
        <f>D152</f>
        <v>233507</v>
      </c>
      <c r="E151" s="674"/>
      <c r="F151" s="674"/>
      <c r="G151" s="629">
        <f>D151+E151-F151</f>
        <v>233507</v>
      </c>
      <c r="H151" s="674"/>
      <c r="I151" s="674"/>
      <c r="J151" s="674"/>
      <c r="K151" s="629">
        <f t="shared" si="29"/>
        <v>0</v>
      </c>
      <c r="L151" s="646"/>
    </row>
    <row r="152" spans="1:12" s="602" customFormat="1" ht="18" hidden="1" customHeight="1">
      <c r="A152" s="626"/>
      <c r="B152" s="668" t="s">
        <v>131</v>
      </c>
      <c r="C152" s="705" t="s">
        <v>132</v>
      </c>
      <c r="D152" s="670">
        <v>233507</v>
      </c>
      <c r="E152" s="704"/>
      <c r="F152" s="704"/>
      <c r="G152" s="670">
        <f>D152+E152-F152</f>
        <v>233507</v>
      </c>
      <c r="H152" s="703"/>
      <c r="I152" s="704"/>
      <c r="J152" s="704"/>
      <c r="K152" s="670">
        <f t="shared" si="29"/>
        <v>0</v>
      </c>
      <c r="L152" s="646"/>
    </row>
    <row r="153" spans="1:12" s="602" customFormat="1" ht="18" hidden="1" customHeight="1">
      <c r="A153" s="626"/>
      <c r="B153" s="672">
        <v>90095</v>
      </c>
      <c r="C153" s="674" t="s">
        <v>1330</v>
      </c>
      <c r="D153" s="674"/>
      <c r="E153" s="674"/>
      <c r="F153" s="674"/>
      <c r="G153" s="674"/>
      <c r="H153" s="674">
        <f>SUM(H154:H161)</f>
        <v>233507</v>
      </c>
      <c r="I153" s="674">
        <f t="shared" ref="I153:J153" si="30">SUM(I154:I161)</f>
        <v>0</v>
      </c>
      <c r="J153" s="674">
        <f t="shared" si="30"/>
        <v>0</v>
      </c>
      <c r="K153" s="674">
        <f t="shared" si="29"/>
        <v>233507</v>
      </c>
      <c r="L153" s="646"/>
    </row>
    <row r="154" spans="1:12" s="646" customFormat="1" ht="18" hidden="1" customHeight="1">
      <c r="A154" s="626"/>
      <c r="B154" s="654">
        <v>4010</v>
      </c>
      <c r="C154" s="635" t="s">
        <v>341</v>
      </c>
      <c r="D154" s="698"/>
      <c r="E154" s="698"/>
      <c r="F154" s="698"/>
      <c r="G154" s="698"/>
      <c r="H154" s="635">
        <v>149923</v>
      </c>
      <c r="I154" s="698">
        <v>0</v>
      </c>
      <c r="J154" s="698">
        <v>0</v>
      </c>
      <c r="K154" s="635">
        <f t="shared" si="29"/>
        <v>149923</v>
      </c>
    </row>
    <row r="155" spans="1:12" s="646" customFormat="1" ht="18" hidden="1" customHeight="1">
      <c r="A155" s="626"/>
      <c r="B155" s="654">
        <v>4040</v>
      </c>
      <c r="C155" s="635" t="s">
        <v>369</v>
      </c>
      <c r="D155" s="698"/>
      <c r="E155" s="698"/>
      <c r="F155" s="698"/>
      <c r="G155" s="698"/>
      <c r="H155" s="635">
        <v>13975</v>
      </c>
      <c r="I155" s="698">
        <v>0</v>
      </c>
      <c r="J155" s="698">
        <v>0</v>
      </c>
      <c r="K155" s="635">
        <f t="shared" si="29"/>
        <v>13975</v>
      </c>
    </row>
    <row r="156" spans="1:12" s="646" customFormat="1" ht="18" hidden="1" customHeight="1">
      <c r="A156" s="626"/>
      <c r="B156" s="657">
        <v>4110</v>
      </c>
      <c r="C156" s="640" t="s">
        <v>342</v>
      </c>
      <c r="D156" s="707"/>
      <c r="E156" s="707"/>
      <c r="F156" s="707"/>
      <c r="G156" s="707"/>
      <c r="H156" s="640">
        <v>25703</v>
      </c>
      <c r="I156" s="707"/>
      <c r="J156" s="707"/>
      <c r="K156" s="635">
        <f t="shared" si="29"/>
        <v>25703</v>
      </c>
    </row>
    <row r="157" spans="1:12" s="646" customFormat="1" ht="18" hidden="1" customHeight="1">
      <c r="A157" s="626"/>
      <c r="B157" s="716">
        <v>4120</v>
      </c>
      <c r="C157" s="717" t="s">
        <v>343</v>
      </c>
      <c r="D157" s="699"/>
      <c r="E157" s="699"/>
      <c r="F157" s="699"/>
      <c r="G157" s="699"/>
      <c r="H157" s="714">
        <v>3663</v>
      </c>
      <c r="I157" s="699"/>
      <c r="J157" s="699"/>
      <c r="K157" s="635">
        <f t="shared" si="29"/>
        <v>3663</v>
      </c>
    </row>
    <row r="158" spans="1:12" s="646" customFormat="1" ht="18" hidden="1" customHeight="1">
      <c r="A158" s="626"/>
      <c r="B158" s="654">
        <v>4210</v>
      </c>
      <c r="C158" s="635" t="s">
        <v>345</v>
      </c>
      <c r="D158" s="698"/>
      <c r="E158" s="698"/>
      <c r="F158" s="698"/>
      <c r="G158" s="698"/>
      <c r="H158" s="635">
        <v>20000</v>
      </c>
      <c r="I158" s="698"/>
      <c r="J158" s="698"/>
      <c r="K158" s="635">
        <f t="shared" si="29"/>
        <v>20000</v>
      </c>
    </row>
    <row r="159" spans="1:12" s="602" customFormat="1" ht="18" hidden="1" customHeight="1">
      <c r="A159" s="626"/>
      <c r="B159" s="654">
        <v>4300</v>
      </c>
      <c r="C159" s="635" t="s">
        <v>349</v>
      </c>
      <c r="D159" s="698"/>
      <c r="E159" s="698"/>
      <c r="F159" s="698"/>
      <c r="G159" s="698"/>
      <c r="H159" s="635">
        <v>8000</v>
      </c>
      <c r="I159" s="698"/>
      <c r="J159" s="698"/>
      <c r="K159" s="635">
        <f t="shared" si="29"/>
        <v>8000</v>
      </c>
      <c r="L159" s="646"/>
    </row>
    <row r="160" spans="1:12" s="602" customFormat="1" ht="18" hidden="1" customHeight="1">
      <c r="A160" s="626"/>
      <c r="B160" s="654">
        <v>4700</v>
      </c>
      <c r="C160" s="658" t="s">
        <v>1280</v>
      </c>
      <c r="D160" s="707"/>
      <c r="E160" s="707"/>
      <c r="F160" s="707"/>
      <c r="G160" s="707"/>
      <c r="H160" s="640">
        <v>10000</v>
      </c>
      <c r="I160" s="707"/>
      <c r="J160" s="707"/>
      <c r="K160" s="635">
        <f t="shared" si="29"/>
        <v>10000</v>
      </c>
      <c r="L160" s="646"/>
    </row>
    <row r="161" spans="1:12" s="602" customFormat="1" ht="18" hidden="1" customHeight="1">
      <c r="A161" s="708"/>
      <c r="B161" s="696">
        <v>4710</v>
      </c>
      <c r="C161" s="692" t="s">
        <v>354</v>
      </c>
      <c r="D161" s="697"/>
      <c r="E161" s="697"/>
      <c r="F161" s="697"/>
      <c r="G161" s="697"/>
      <c r="H161" s="670">
        <v>2243</v>
      </c>
      <c r="I161" s="697"/>
      <c r="J161" s="697"/>
      <c r="K161" s="635">
        <f t="shared" si="29"/>
        <v>2243</v>
      </c>
      <c r="L161" s="646"/>
    </row>
    <row r="162" spans="1:12" s="665" customFormat="1" ht="29.25" customHeight="1">
      <c r="A162" s="620">
        <v>14</v>
      </c>
      <c r="B162" s="663"/>
      <c r="C162" s="664" t="s">
        <v>1331</v>
      </c>
      <c r="D162" s="718">
        <f>D167+D173+D163+D194</f>
        <v>1156992</v>
      </c>
      <c r="E162" s="718">
        <f>E167+E173+E163+E194</f>
        <v>173670</v>
      </c>
      <c r="F162" s="718">
        <f>F167+F173+F163+F194</f>
        <v>0</v>
      </c>
      <c r="G162" s="718">
        <f>G167+G173+G163+G194</f>
        <v>1330662</v>
      </c>
      <c r="H162" s="718">
        <f>H169+H175+H180+H183+H186+H191+H198+H201+H165+H196+H178+H189</f>
        <v>1156992</v>
      </c>
      <c r="I162" s="718">
        <f>I169+I175+I180+I183+I186+I191+I198+I201+I165+I196+I178+I189</f>
        <v>173670</v>
      </c>
      <c r="J162" s="718">
        <f t="shared" ref="J162:K162" si="31">J169+J175+J180+J183+J186+J191+J198+J201+J165+J196+J178+J189</f>
        <v>0</v>
      </c>
      <c r="K162" s="718">
        <f t="shared" si="31"/>
        <v>1330662</v>
      </c>
    </row>
    <row r="163" spans="1:12" s="602" customFormat="1" ht="15" hidden="1" customHeight="1">
      <c r="A163" s="626"/>
      <c r="B163" s="672">
        <v>60001</v>
      </c>
      <c r="C163" s="674" t="s">
        <v>1332</v>
      </c>
      <c r="D163" s="674">
        <f t="shared" ref="D163:G167" si="32">D164</f>
        <v>0</v>
      </c>
      <c r="E163" s="674">
        <f t="shared" si="32"/>
        <v>0</v>
      </c>
      <c r="F163" s="674">
        <f t="shared" si="32"/>
        <v>0</v>
      </c>
      <c r="G163" s="645">
        <f t="shared" si="32"/>
        <v>0</v>
      </c>
      <c r="H163" s="674"/>
      <c r="I163" s="719"/>
      <c r="J163" s="675"/>
      <c r="K163" s="675"/>
    </row>
    <row r="164" spans="1:12" s="602" customFormat="1" ht="32.25" hidden="1" customHeight="1">
      <c r="A164" s="626"/>
      <c r="B164" s="668" t="s">
        <v>1333</v>
      </c>
      <c r="C164" s="669" t="s">
        <v>109</v>
      </c>
      <c r="D164" s="670">
        <v>0</v>
      </c>
      <c r="E164" s="670">
        <v>0</v>
      </c>
      <c r="F164" s="670">
        <v>0</v>
      </c>
      <c r="G164" s="671">
        <f t="shared" ref="G164" si="33">D164+E164-F164</f>
        <v>0</v>
      </c>
      <c r="H164" s="697"/>
      <c r="I164" s="720"/>
      <c r="J164" s="721"/>
      <c r="K164" s="721"/>
    </row>
    <row r="165" spans="1:12" s="602" customFormat="1" ht="32.25" hidden="1" customHeight="1">
      <c r="A165" s="626"/>
      <c r="B165" s="672">
        <v>60001</v>
      </c>
      <c r="C165" s="722" t="s">
        <v>1334</v>
      </c>
      <c r="D165" s="699"/>
      <c r="E165" s="699"/>
      <c r="F165" s="699"/>
      <c r="G165" s="699"/>
      <c r="H165" s="699">
        <f>H166</f>
        <v>0</v>
      </c>
      <c r="I165" s="699">
        <f>I166</f>
        <v>0</v>
      </c>
      <c r="J165" s="699">
        <f>J166</f>
        <v>0</v>
      </c>
      <c r="K165" s="699">
        <f>K166</f>
        <v>0</v>
      </c>
    </row>
    <row r="166" spans="1:12" s="646" customFormat="1" ht="48" hidden="1" customHeight="1">
      <c r="A166" s="626"/>
      <c r="B166" s="654">
        <v>2340</v>
      </c>
      <c r="C166" s="652" t="s">
        <v>1335</v>
      </c>
      <c r="D166" s="698"/>
      <c r="E166" s="698"/>
      <c r="F166" s="698"/>
      <c r="G166" s="698"/>
      <c r="H166" s="723">
        <v>0</v>
      </c>
      <c r="I166" s="723">
        <v>0</v>
      </c>
      <c r="J166" s="650">
        <v>0</v>
      </c>
      <c r="K166" s="650">
        <f t="shared" ref="K166" si="34">H166+I166-J166</f>
        <v>0</v>
      </c>
    </row>
    <row r="167" spans="1:12" s="602" customFormat="1" ht="18" customHeight="1">
      <c r="A167" s="626"/>
      <c r="B167" s="672">
        <v>75495</v>
      </c>
      <c r="C167" s="674" t="s">
        <v>1332</v>
      </c>
      <c r="D167" s="674">
        <f t="shared" si="32"/>
        <v>616700</v>
      </c>
      <c r="E167" s="674">
        <f t="shared" si="32"/>
        <v>173670</v>
      </c>
      <c r="F167" s="674">
        <f t="shared" si="32"/>
        <v>0</v>
      </c>
      <c r="G167" s="645">
        <f t="shared" si="32"/>
        <v>790370</v>
      </c>
      <c r="H167" s="674"/>
      <c r="I167" s="719"/>
      <c r="J167" s="675"/>
      <c r="K167" s="675"/>
    </row>
    <row r="168" spans="1:12" s="602" customFormat="1" ht="30.75" customHeight="1">
      <c r="A168" s="626"/>
      <c r="B168" s="668" t="s">
        <v>1333</v>
      </c>
      <c r="C168" s="669" t="s">
        <v>109</v>
      </c>
      <c r="D168" s="670">
        <v>616700</v>
      </c>
      <c r="E168" s="670">
        <v>173670</v>
      </c>
      <c r="F168" s="670">
        <v>0</v>
      </c>
      <c r="G168" s="671">
        <f t="shared" ref="G168" si="35">D168+E168-F168</f>
        <v>790370</v>
      </c>
      <c r="H168" s="697"/>
      <c r="I168" s="720"/>
      <c r="J168" s="721"/>
      <c r="K168" s="721"/>
    </row>
    <row r="169" spans="1:12" s="602" customFormat="1" ht="17.25" customHeight="1">
      <c r="A169" s="626"/>
      <c r="B169" s="706">
        <v>75495</v>
      </c>
      <c r="C169" s="684" t="s">
        <v>1336</v>
      </c>
      <c r="D169" s="699"/>
      <c r="E169" s="699"/>
      <c r="F169" s="699"/>
      <c r="G169" s="699"/>
      <c r="H169" s="699">
        <f>SUM(H170:H172)</f>
        <v>616700</v>
      </c>
      <c r="I169" s="699">
        <f>SUM(I170:I172)</f>
        <v>173670</v>
      </c>
      <c r="J169" s="699">
        <f>SUM(J170:J172)</f>
        <v>0</v>
      </c>
      <c r="K169" s="699">
        <f>SUM(K170:K172)</f>
        <v>790370</v>
      </c>
    </row>
    <row r="170" spans="1:12" s="694" customFormat="1" ht="33.75" hidden="1" customHeight="1">
      <c r="A170" s="653"/>
      <c r="B170" s="716">
        <v>4350</v>
      </c>
      <c r="C170" s="683" t="s">
        <v>378</v>
      </c>
      <c r="D170" s="714"/>
      <c r="E170" s="714"/>
      <c r="F170" s="714"/>
      <c r="G170" s="714"/>
      <c r="H170" s="724">
        <v>0</v>
      </c>
      <c r="I170" s="724">
        <v>0</v>
      </c>
      <c r="J170" s="714">
        <v>0</v>
      </c>
      <c r="K170" s="650">
        <f t="shared" ref="K170:K172" si="36">H170+I170-J170</f>
        <v>0</v>
      </c>
    </row>
    <row r="171" spans="1:12" s="646" customFormat="1" ht="17.25" customHeight="1">
      <c r="A171" s="626"/>
      <c r="B171" s="654">
        <v>4370</v>
      </c>
      <c r="C171" s="651" t="s">
        <v>370</v>
      </c>
      <c r="D171" s="698"/>
      <c r="E171" s="698"/>
      <c r="F171" s="698"/>
      <c r="G171" s="698"/>
      <c r="H171" s="723">
        <v>605844</v>
      </c>
      <c r="I171" s="723">
        <v>173670</v>
      </c>
      <c r="J171" s="650">
        <v>0</v>
      </c>
      <c r="K171" s="650">
        <f t="shared" si="36"/>
        <v>779514</v>
      </c>
    </row>
    <row r="172" spans="1:12" s="646" customFormat="1" ht="30.75" hidden="1" customHeight="1">
      <c r="A172" s="626"/>
      <c r="B172" s="716">
        <v>4860</v>
      </c>
      <c r="C172" s="725" t="s">
        <v>384</v>
      </c>
      <c r="D172" s="699"/>
      <c r="E172" s="699"/>
      <c r="F172" s="699"/>
      <c r="G172" s="699"/>
      <c r="H172" s="726">
        <v>10856</v>
      </c>
      <c r="I172" s="726">
        <v>0</v>
      </c>
      <c r="J172" s="727">
        <v>0</v>
      </c>
      <c r="K172" s="650">
        <f t="shared" si="36"/>
        <v>10856</v>
      </c>
    </row>
    <row r="173" spans="1:12" s="602" customFormat="1" ht="16.5" hidden="1" customHeight="1">
      <c r="A173" s="626"/>
      <c r="B173" s="672">
        <v>75814</v>
      </c>
      <c r="C173" s="674" t="s">
        <v>1337</v>
      </c>
      <c r="D173" s="674">
        <f>SUM(D174:D174)</f>
        <v>540292</v>
      </c>
      <c r="E173" s="674">
        <f>SUM(E174:E174)</f>
        <v>0</v>
      </c>
      <c r="F173" s="674">
        <f>SUM(F174:F174)</f>
        <v>0</v>
      </c>
      <c r="G173" s="674">
        <f>SUM(G174:G174)</f>
        <v>540292</v>
      </c>
      <c r="H173" s="674"/>
      <c r="I173" s="719"/>
      <c r="J173" s="675"/>
      <c r="K173" s="675"/>
    </row>
    <row r="174" spans="1:12" s="602" customFormat="1" ht="27.75" hidden="1" customHeight="1">
      <c r="A174" s="626"/>
      <c r="B174" s="633" t="s">
        <v>1333</v>
      </c>
      <c r="C174" s="712" t="s">
        <v>109</v>
      </c>
      <c r="D174" s="640">
        <v>540292</v>
      </c>
      <c r="E174" s="640">
        <v>0</v>
      </c>
      <c r="F174" s="640">
        <v>0</v>
      </c>
      <c r="G174" s="728">
        <f t="shared" ref="G174" si="37">D174+E174-F174</f>
        <v>540292</v>
      </c>
      <c r="H174" s="707"/>
      <c r="I174" s="729"/>
      <c r="J174" s="730"/>
      <c r="K174" s="730"/>
    </row>
    <row r="175" spans="1:12" s="602" customFormat="1" ht="15.75" hidden="1" customHeight="1">
      <c r="A175" s="626"/>
      <c r="B175" s="672">
        <v>80102</v>
      </c>
      <c r="C175" s="684" t="s">
        <v>1336</v>
      </c>
      <c r="D175" s="674"/>
      <c r="E175" s="674"/>
      <c r="F175" s="674"/>
      <c r="G175" s="674"/>
      <c r="H175" s="674">
        <f>SUM(H176:H177)</f>
        <v>332693</v>
      </c>
      <c r="I175" s="674">
        <f>SUM(I176:I177)</f>
        <v>0</v>
      </c>
      <c r="J175" s="674">
        <f>SUM(J176:J177)</f>
        <v>0</v>
      </c>
      <c r="K175" s="674">
        <f>SUM(K176:K177)</f>
        <v>332693</v>
      </c>
    </row>
    <row r="176" spans="1:12" s="656" customFormat="1" ht="27.75" hidden="1" customHeight="1">
      <c r="A176" s="653"/>
      <c r="B176" s="713">
        <v>4750</v>
      </c>
      <c r="C176" s="731" t="s">
        <v>1338</v>
      </c>
      <c r="D176" s="677"/>
      <c r="E176" s="677"/>
      <c r="F176" s="677"/>
      <c r="G176" s="677"/>
      <c r="H176" s="677">
        <v>277731</v>
      </c>
      <c r="I176" s="677">
        <v>0</v>
      </c>
      <c r="J176" s="677">
        <v>0</v>
      </c>
      <c r="K176" s="714">
        <f t="shared" ref="K176:K177" si="38">H176+I176-J176</f>
        <v>277731</v>
      </c>
    </row>
    <row r="177" spans="1:11" s="656" customFormat="1" ht="27.75" hidden="1" customHeight="1">
      <c r="A177" s="653"/>
      <c r="B177" s="696">
        <v>4850</v>
      </c>
      <c r="C177" s="732" t="s">
        <v>383</v>
      </c>
      <c r="D177" s="670"/>
      <c r="E177" s="670"/>
      <c r="F177" s="670"/>
      <c r="G177" s="670"/>
      <c r="H177" s="670">
        <v>54962</v>
      </c>
      <c r="I177" s="670">
        <v>0</v>
      </c>
      <c r="J177" s="670">
        <v>0</v>
      </c>
      <c r="K177" s="670">
        <f t="shared" si="38"/>
        <v>54962</v>
      </c>
    </row>
    <row r="178" spans="1:11" s="602" customFormat="1" ht="15.75" hidden="1" customHeight="1">
      <c r="A178" s="688"/>
      <c r="B178" s="706">
        <v>80105</v>
      </c>
      <c r="C178" s="722" t="s">
        <v>1336</v>
      </c>
      <c r="D178" s="629"/>
      <c r="E178" s="674"/>
      <c r="F178" s="674"/>
      <c r="G178" s="674"/>
      <c r="H178" s="674">
        <f>H179</f>
        <v>16453</v>
      </c>
      <c r="I178" s="674">
        <f>I179</f>
        <v>0</v>
      </c>
      <c r="J178" s="674">
        <f>J179</f>
        <v>0</v>
      </c>
      <c r="K178" s="674">
        <f>K179</f>
        <v>16453</v>
      </c>
    </row>
    <row r="179" spans="1:11" s="656" customFormat="1" ht="29.25" hidden="1" customHeight="1">
      <c r="A179" s="653"/>
      <c r="B179" s="713">
        <v>4750</v>
      </c>
      <c r="C179" s="658" t="s">
        <v>1338</v>
      </c>
      <c r="D179" s="635"/>
      <c r="E179" s="677"/>
      <c r="F179" s="677"/>
      <c r="G179" s="677"/>
      <c r="H179" s="677">
        <v>16453</v>
      </c>
      <c r="I179" s="677">
        <v>0</v>
      </c>
      <c r="J179" s="677">
        <v>0</v>
      </c>
      <c r="K179" s="714">
        <f t="shared" ref="K179" si="39">H179+I179-J179</f>
        <v>16453</v>
      </c>
    </row>
    <row r="180" spans="1:11" s="602" customFormat="1" ht="16.5" hidden="1" customHeight="1">
      <c r="A180" s="688"/>
      <c r="B180" s="672">
        <v>80116</v>
      </c>
      <c r="C180" s="681" t="s">
        <v>1336</v>
      </c>
      <c r="D180" s="629"/>
      <c r="E180" s="674"/>
      <c r="F180" s="674"/>
      <c r="G180" s="674"/>
      <c r="H180" s="674">
        <f>SUM(H181:H182)</f>
        <v>99093</v>
      </c>
      <c r="I180" s="674">
        <f t="shared" ref="I180:K180" si="40">SUM(I181:I182)</f>
        <v>0</v>
      </c>
      <c r="J180" s="674">
        <f t="shared" si="40"/>
        <v>0</v>
      </c>
      <c r="K180" s="674">
        <f t="shared" si="40"/>
        <v>99093</v>
      </c>
    </row>
    <row r="181" spans="1:11" s="656" customFormat="1" ht="28.5" hidden="1" customHeight="1">
      <c r="A181" s="653"/>
      <c r="B181" s="713">
        <v>4750</v>
      </c>
      <c r="C181" s="655" t="s">
        <v>1338</v>
      </c>
      <c r="D181" s="635"/>
      <c r="E181" s="677"/>
      <c r="F181" s="677"/>
      <c r="G181" s="677"/>
      <c r="H181" s="677">
        <v>83884</v>
      </c>
      <c r="I181" s="677">
        <v>0</v>
      </c>
      <c r="J181" s="677">
        <v>0</v>
      </c>
      <c r="K181" s="714">
        <f t="shared" ref="K181:K182" si="41">H181+I181-J181</f>
        <v>83884</v>
      </c>
    </row>
    <row r="182" spans="1:11" s="656" customFormat="1" ht="28.5" hidden="1" customHeight="1">
      <c r="A182" s="733"/>
      <c r="B182" s="696">
        <v>4850</v>
      </c>
      <c r="C182" s="732" t="s">
        <v>383</v>
      </c>
      <c r="D182" s="670"/>
      <c r="E182" s="670"/>
      <c r="F182" s="670"/>
      <c r="G182" s="670"/>
      <c r="H182" s="670">
        <v>15209</v>
      </c>
      <c r="I182" s="670">
        <v>0</v>
      </c>
      <c r="J182" s="670">
        <v>0</v>
      </c>
      <c r="K182" s="670">
        <f t="shared" si="41"/>
        <v>15209</v>
      </c>
    </row>
    <row r="183" spans="1:11" s="602" customFormat="1" ht="19.5" hidden="1" customHeight="1">
      <c r="A183" s="688"/>
      <c r="B183" s="706">
        <v>80121</v>
      </c>
      <c r="C183" s="734" t="s">
        <v>1336</v>
      </c>
      <c r="D183" s="699"/>
      <c r="E183" s="699"/>
      <c r="F183" s="699"/>
      <c r="G183" s="699"/>
      <c r="H183" s="699">
        <f>SUM(H184:H185)</f>
        <v>603</v>
      </c>
      <c r="I183" s="699">
        <f>SUM(I184:I185)</f>
        <v>0</v>
      </c>
      <c r="J183" s="699">
        <f>SUM(J184:J185)</f>
        <v>0</v>
      </c>
      <c r="K183" s="699">
        <f>SUM(K184:K185)</f>
        <v>603</v>
      </c>
    </row>
    <row r="184" spans="1:11" s="656" customFormat="1" ht="26.25" hidden="1" customHeight="1">
      <c r="A184" s="733"/>
      <c r="B184" s="713">
        <v>4750</v>
      </c>
      <c r="C184" s="731" t="s">
        <v>1338</v>
      </c>
      <c r="D184" s="677"/>
      <c r="E184" s="677"/>
      <c r="F184" s="677"/>
      <c r="G184" s="677"/>
      <c r="H184" s="677">
        <v>547</v>
      </c>
      <c r="I184" s="677">
        <v>0</v>
      </c>
      <c r="J184" s="677">
        <v>0</v>
      </c>
      <c r="K184" s="714">
        <f t="shared" ref="K184:K185" si="42">H184+I184-J184</f>
        <v>547</v>
      </c>
    </row>
    <row r="185" spans="1:11" s="656" customFormat="1" ht="26.25" hidden="1" customHeight="1">
      <c r="A185" s="733"/>
      <c r="B185" s="696">
        <v>4850</v>
      </c>
      <c r="C185" s="732" t="s">
        <v>383</v>
      </c>
      <c r="D185" s="670"/>
      <c r="E185" s="670"/>
      <c r="F185" s="670"/>
      <c r="G185" s="670"/>
      <c r="H185" s="670">
        <v>56</v>
      </c>
      <c r="I185" s="670">
        <v>0</v>
      </c>
      <c r="J185" s="670">
        <v>0</v>
      </c>
      <c r="K185" s="670">
        <f t="shared" si="42"/>
        <v>56</v>
      </c>
    </row>
    <row r="186" spans="1:11" s="602" customFormat="1" ht="17.25" hidden="1" customHeight="1">
      <c r="A186" s="688"/>
      <c r="B186" s="630">
        <v>80134</v>
      </c>
      <c r="C186" s="735" t="s">
        <v>1336</v>
      </c>
      <c r="D186" s="629"/>
      <c r="E186" s="629"/>
      <c r="F186" s="629"/>
      <c r="G186" s="629"/>
      <c r="H186" s="629">
        <f>SUM(H187:H188)</f>
        <v>43947</v>
      </c>
      <c r="I186" s="629">
        <f>SUM(I187:I188)</f>
        <v>0</v>
      </c>
      <c r="J186" s="629">
        <f>SUM(J187:J188)</f>
        <v>0</v>
      </c>
      <c r="K186" s="629">
        <f>SUM(K187:K188)</f>
        <v>43947</v>
      </c>
    </row>
    <row r="187" spans="1:11" s="656" customFormat="1" ht="30" hidden="1" customHeight="1">
      <c r="A187" s="733"/>
      <c r="B187" s="657">
        <v>4750</v>
      </c>
      <c r="C187" s="658" t="s">
        <v>1338</v>
      </c>
      <c r="D187" s="640"/>
      <c r="E187" s="640"/>
      <c r="F187" s="640"/>
      <c r="G187" s="640"/>
      <c r="H187" s="640">
        <v>36670</v>
      </c>
      <c r="I187" s="640">
        <v>0</v>
      </c>
      <c r="J187" s="640">
        <v>0</v>
      </c>
      <c r="K187" s="640">
        <f t="shared" ref="K187:K188" si="43">H187+I187-J187</f>
        <v>36670</v>
      </c>
    </row>
    <row r="188" spans="1:11" s="656" customFormat="1" ht="30" hidden="1" customHeight="1">
      <c r="A188" s="736"/>
      <c r="B188" s="696">
        <v>4850</v>
      </c>
      <c r="C188" s="732" t="s">
        <v>383</v>
      </c>
      <c r="D188" s="670"/>
      <c r="E188" s="670"/>
      <c r="F188" s="670"/>
      <c r="G188" s="670"/>
      <c r="H188" s="670">
        <v>7277</v>
      </c>
      <c r="I188" s="670">
        <v>0</v>
      </c>
      <c r="J188" s="670">
        <v>0</v>
      </c>
      <c r="K188" s="670">
        <f t="shared" si="43"/>
        <v>7277</v>
      </c>
    </row>
    <row r="189" spans="1:11" s="602" customFormat="1" ht="17.25" hidden="1" customHeight="1">
      <c r="A189" s="737"/>
      <c r="B189" s="672">
        <v>80140</v>
      </c>
      <c r="C189" s="681" t="s">
        <v>1336</v>
      </c>
      <c r="D189" s="674"/>
      <c r="E189" s="674"/>
      <c r="F189" s="674"/>
      <c r="G189" s="674"/>
      <c r="H189" s="674">
        <f>H190</f>
        <v>830</v>
      </c>
      <c r="I189" s="674">
        <f>I190</f>
        <v>0</v>
      </c>
      <c r="J189" s="674">
        <f>J190</f>
        <v>0</v>
      </c>
      <c r="K189" s="674">
        <f>K190</f>
        <v>830</v>
      </c>
    </row>
    <row r="190" spans="1:11" s="656" customFormat="1" ht="31.5" hidden="1" customHeight="1">
      <c r="A190" s="733"/>
      <c r="B190" s="713">
        <v>4750</v>
      </c>
      <c r="C190" s="731" t="s">
        <v>1338</v>
      </c>
      <c r="D190" s="677"/>
      <c r="E190" s="677"/>
      <c r="F190" s="677"/>
      <c r="G190" s="677"/>
      <c r="H190" s="677">
        <v>830</v>
      </c>
      <c r="I190" s="677">
        <v>0</v>
      </c>
      <c r="J190" s="677">
        <v>0</v>
      </c>
      <c r="K190" s="677">
        <f t="shared" ref="K190" si="44">H190+I190-J190</f>
        <v>830</v>
      </c>
    </row>
    <row r="191" spans="1:11" s="602" customFormat="1" ht="17.25" hidden="1" customHeight="1">
      <c r="A191" s="688"/>
      <c r="B191" s="672">
        <v>80149</v>
      </c>
      <c r="C191" s="681" t="s">
        <v>1336</v>
      </c>
      <c r="D191" s="674"/>
      <c r="E191" s="674"/>
      <c r="F191" s="674"/>
      <c r="G191" s="674"/>
      <c r="H191" s="674">
        <f>SUM(H192:H193)</f>
        <v>7201</v>
      </c>
      <c r="I191" s="674">
        <f>SUM(I192:I193)</f>
        <v>0</v>
      </c>
      <c r="J191" s="674">
        <f>SUM(J192:J193)</f>
        <v>0</v>
      </c>
      <c r="K191" s="674">
        <f>SUM(K192:K193)</f>
        <v>7201</v>
      </c>
    </row>
    <row r="192" spans="1:11" s="656" customFormat="1" ht="31.5" hidden="1" customHeight="1">
      <c r="A192" s="733"/>
      <c r="B192" s="713">
        <v>4750</v>
      </c>
      <c r="C192" s="731" t="s">
        <v>1338</v>
      </c>
      <c r="D192" s="677"/>
      <c r="E192" s="677"/>
      <c r="F192" s="677"/>
      <c r="G192" s="677"/>
      <c r="H192" s="677">
        <v>6006</v>
      </c>
      <c r="I192" s="677">
        <v>0</v>
      </c>
      <c r="J192" s="677">
        <v>0</v>
      </c>
      <c r="K192" s="677">
        <f t="shared" ref="K192:K193" si="45">H192+I192-J192</f>
        <v>6006</v>
      </c>
    </row>
    <row r="193" spans="1:11" s="656" customFormat="1" ht="30.75" hidden="1" customHeight="1">
      <c r="A193" s="733"/>
      <c r="B193" s="696">
        <v>4850</v>
      </c>
      <c r="C193" s="732" t="s">
        <v>383</v>
      </c>
      <c r="D193" s="670"/>
      <c r="E193" s="670"/>
      <c r="F193" s="670"/>
      <c r="G193" s="670"/>
      <c r="H193" s="670">
        <v>1195</v>
      </c>
      <c r="I193" s="670">
        <v>0</v>
      </c>
      <c r="J193" s="670">
        <v>0</v>
      </c>
      <c r="K193" s="670">
        <f t="shared" si="45"/>
        <v>1195</v>
      </c>
    </row>
    <row r="194" spans="1:11" s="602" customFormat="1" ht="18.75" hidden="1" customHeight="1">
      <c r="A194" s="626"/>
      <c r="B194" s="672">
        <v>80153</v>
      </c>
      <c r="C194" s="674" t="s">
        <v>1337</v>
      </c>
      <c r="D194" s="674">
        <f>SUM(D195:D195)</f>
        <v>0</v>
      </c>
      <c r="E194" s="674">
        <f>SUM(E195:E195)</f>
        <v>0</v>
      </c>
      <c r="F194" s="674">
        <f>SUM(F195:F195)</f>
        <v>0</v>
      </c>
      <c r="G194" s="674">
        <f>SUM(G195:G195)</f>
        <v>0</v>
      </c>
      <c r="H194" s="674"/>
      <c r="I194" s="719"/>
      <c r="J194" s="675"/>
      <c r="K194" s="675"/>
    </row>
    <row r="195" spans="1:11" s="602" customFormat="1" ht="31.5" hidden="1" customHeight="1">
      <c r="A195" s="626"/>
      <c r="B195" s="633" t="s">
        <v>1333</v>
      </c>
      <c r="C195" s="712" t="s">
        <v>109</v>
      </c>
      <c r="D195" s="640">
        <v>0</v>
      </c>
      <c r="E195" s="640">
        <v>0</v>
      </c>
      <c r="F195" s="640">
        <v>0</v>
      </c>
      <c r="G195" s="728">
        <f t="shared" ref="G195" si="46">D195+E195-F195</f>
        <v>0</v>
      </c>
      <c r="H195" s="707"/>
      <c r="I195" s="729"/>
      <c r="J195" s="730"/>
      <c r="K195" s="730"/>
    </row>
    <row r="196" spans="1:11" s="602" customFormat="1" ht="50.25" hidden="1" customHeight="1">
      <c r="A196" s="688"/>
      <c r="B196" s="672">
        <v>85153</v>
      </c>
      <c r="C196" s="681" t="s">
        <v>1339</v>
      </c>
      <c r="D196" s="674"/>
      <c r="E196" s="674"/>
      <c r="F196" s="674"/>
      <c r="G196" s="674"/>
      <c r="H196" s="674">
        <f>H197</f>
        <v>0</v>
      </c>
      <c r="I196" s="674">
        <f>I197</f>
        <v>0</v>
      </c>
      <c r="J196" s="674">
        <f>J197</f>
        <v>0</v>
      </c>
      <c r="K196" s="674">
        <f>K197</f>
        <v>0</v>
      </c>
    </row>
    <row r="197" spans="1:11" s="656" customFormat="1" ht="35.25" hidden="1" customHeight="1">
      <c r="A197" s="733"/>
      <c r="B197" s="713">
        <v>4350</v>
      </c>
      <c r="C197" s="731" t="s">
        <v>378</v>
      </c>
      <c r="D197" s="677"/>
      <c r="E197" s="677"/>
      <c r="F197" s="677"/>
      <c r="G197" s="677"/>
      <c r="H197" s="677">
        <v>0</v>
      </c>
      <c r="I197" s="677">
        <v>0</v>
      </c>
      <c r="J197" s="677">
        <v>0</v>
      </c>
      <c r="K197" s="677">
        <f t="shared" ref="K197" si="47">H197+I197-J197</f>
        <v>0</v>
      </c>
    </row>
    <row r="198" spans="1:11" s="602" customFormat="1" ht="15.75" hidden="1" customHeight="1">
      <c r="A198" s="688"/>
      <c r="B198" s="672">
        <v>85403</v>
      </c>
      <c r="C198" s="735" t="s">
        <v>1336</v>
      </c>
      <c r="D198" s="674"/>
      <c r="E198" s="674"/>
      <c r="F198" s="674"/>
      <c r="G198" s="674"/>
      <c r="H198" s="674">
        <f>SUM(H199:H200)</f>
        <v>39472</v>
      </c>
      <c r="I198" s="674">
        <f>SUM(I199:I200)</f>
        <v>0</v>
      </c>
      <c r="J198" s="674">
        <f>SUM(J199:J200)</f>
        <v>0</v>
      </c>
      <c r="K198" s="674">
        <f>SUM(K199:K200)</f>
        <v>39472</v>
      </c>
    </row>
    <row r="199" spans="1:11" s="656" customFormat="1" ht="28.5" hidden="1" customHeight="1">
      <c r="A199" s="733"/>
      <c r="B199" s="713">
        <v>4750</v>
      </c>
      <c r="C199" s="658" t="s">
        <v>1338</v>
      </c>
      <c r="D199" s="677"/>
      <c r="E199" s="677"/>
      <c r="F199" s="677"/>
      <c r="G199" s="677"/>
      <c r="H199" s="677">
        <v>32936</v>
      </c>
      <c r="I199" s="677">
        <v>0</v>
      </c>
      <c r="J199" s="677">
        <v>0</v>
      </c>
      <c r="K199" s="677">
        <f t="shared" ref="K199:K200" si="48">H199+I199-J199</f>
        <v>32936</v>
      </c>
    </row>
    <row r="200" spans="1:11" s="656" customFormat="1" ht="28.5" hidden="1" customHeight="1">
      <c r="A200" s="733"/>
      <c r="B200" s="696">
        <v>4850</v>
      </c>
      <c r="C200" s="732" t="s">
        <v>383</v>
      </c>
      <c r="D200" s="670"/>
      <c r="E200" s="670"/>
      <c r="F200" s="670"/>
      <c r="G200" s="670"/>
      <c r="H200" s="670">
        <v>6536</v>
      </c>
      <c r="I200" s="670">
        <v>0</v>
      </c>
      <c r="J200" s="670">
        <v>0</v>
      </c>
      <c r="K200" s="670">
        <f t="shared" si="48"/>
        <v>6536</v>
      </c>
    </row>
    <row r="201" spans="1:11" s="602" customFormat="1" ht="17.25" hidden="1" customHeight="1">
      <c r="A201" s="688"/>
      <c r="B201" s="672">
        <v>85407</v>
      </c>
      <c r="C201" s="684" t="s">
        <v>1336</v>
      </c>
      <c r="D201" s="674"/>
      <c r="E201" s="674"/>
      <c r="F201" s="674"/>
      <c r="G201" s="674"/>
      <c r="H201" s="674">
        <f>SUM(H202:H203)</f>
        <v>0</v>
      </c>
      <c r="I201" s="674">
        <f>SUM(I202:I203)</f>
        <v>0</v>
      </c>
      <c r="J201" s="674">
        <f>SUM(J202:J203)</f>
        <v>0</v>
      </c>
      <c r="K201" s="674">
        <f>SUM(K202:K203)</f>
        <v>0</v>
      </c>
    </row>
    <row r="202" spans="1:11" s="656" customFormat="1" ht="30.75" hidden="1" customHeight="1">
      <c r="A202" s="653"/>
      <c r="B202" s="713">
        <v>4750</v>
      </c>
      <c r="C202" s="731" t="s">
        <v>1338</v>
      </c>
      <c r="D202" s="677"/>
      <c r="E202" s="677"/>
      <c r="F202" s="677"/>
      <c r="G202" s="677"/>
      <c r="H202" s="677">
        <v>0</v>
      </c>
      <c r="I202" s="677">
        <v>0</v>
      </c>
      <c r="J202" s="677">
        <v>0</v>
      </c>
      <c r="K202" s="714">
        <f t="shared" ref="K202:K203" si="49">H202+I202-J202</f>
        <v>0</v>
      </c>
    </row>
    <row r="203" spans="1:11" s="656" customFormat="1" ht="32.25" hidden="1" customHeight="1">
      <c r="A203" s="736"/>
      <c r="B203" s="696">
        <v>4850</v>
      </c>
      <c r="C203" s="732" t="s">
        <v>383</v>
      </c>
      <c r="D203" s="670"/>
      <c r="E203" s="670"/>
      <c r="F203" s="670"/>
      <c r="G203" s="670"/>
      <c r="H203" s="670">
        <v>0</v>
      </c>
      <c r="I203" s="670">
        <v>0</v>
      </c>
      <c r="J203" s="670">
        <v>0</v>
      </c>
      <c r="K203" s="670">
        <f t="shared" si="49"/>
        <v>0</v>
      </c>
    </row>
    <row r="204" spans="1:11" s="665" customFormat="1" ht="18.75" customHeight="1">
      <c r="A204" s="620">
        <v>15</v>
      </c>
      <c r="B204" s="738"/>
      <c r="C204" s="664" t="s">
        <v>1340</v>
      </c>
      <c r="D204" s="718">
        <f>D205</f>
        <v>0</v>
      </c>
      <c r="E204" s="718">
        <f>E205</f>
        <v>0</v>
      </c>
      <c r="F204" s="718">
        <f>F205</f>
        <v>0</v>
      </c>
      <c r="G204" s="718">
        <f>G205</f>
        <v>0</v>
      </c>
      <c r="H204" s="718">
        <f>SUM(H206:H217)</f>
        <v>0</v>
      </c>
      <c r="I204" s="718">
        <f>SUM(I206:I217)</f>
        <v>5662216</v>
      </c>
      <c r="J204" s="718">
        <f>SUM(J206:J217)</f>
        <v>0</v>
      </c>
      <c r="K204" s="718">
        <f>H204+I204-J204</f>
        <v>5662216</v>
      </c>
    </row>
    <row r="205" spans="1:11" s="602" customFormat="1" ht="43.5" customHeight="1">
      <c r="A205" s="626"/>
      <c r="B205" s="672">
        <v>80195</v>
      </c>
      <c r="C205" s="739" t="s">
        <v>1341</v>
      </c>
      <c r="D205" s="674">
        <v>0</v>
      </c>
      <c r="E205" s="674">
        <v>0</v>
      </c>
      <c r="F205" s="674">
        <v>0</v>
      </c>
      <c r="G205" s="645">
        <v>0</v>
      </c>
      <c r="H205" s="674">
        <f>SUM(H206:H217)</f>
        <v>0</v>
      </c>
      <c r="I205" s="719">
        <f>SUM(I206:I217)</f>
        <v>5662216</v>
      </c>
      <c r="J205" s="719">
        <f>SUM(J206:J217)</f>
        <v>0</v>
      </c>
      <c r="K205" s="675">
        <f>H205+I205-J205</f>
        <v>5662216</v>
      </c>
    </row>
    <row r="206" spans="1:11" s="656" customFormat="1" ht="16.5" customHeight="1">
      <c r="A206" s="733"/>
      <c r="B206" s="713">
        <v>4010</v>
      </c>
      <c r="C206" s="740" t="s">
        <v>341</v>
      </c>
      <c r="D206" s="677"/>
      <c r="E206" s="677"/>
      <c r="F206" s="677"/>
      <c r="G206" s="635"/>
      <c r="H206" s="677">
        <v>0</v>
      </c>
      <c r="I206" s="677">
        <v>331831</v>
      </c>
      <c r="J206" s="635">
        <v>0</v>
      </c>
      <c r="K206" s="635">
        <f>H206+I206-J206</f>
        <v>331831</v>
      </c>
    </row>
    <row r="207" spans="1:11" s="656" customFormat="1" ht="16.5" customHeight="1">
      <c r="A207" s="736"/>
      <c r="B207" s="696">
        <v>4110</v>
      </c>
      <c r="C207" s="732" t="s">
        <v>342</v>
      </c>
      <c r="D207" s="670"/>
      <c r="E207" s="670"/>
      <c r="F207" s="670"/>
      <c r="G207" s="670"/>
      <c r="H207" s="670">
        <v>0</v>
      </c>
      <c r="I207" s="670">
        <v>56179</v>
      </c>
      <c r="J207" s="670">
        <v>0</v>
      </c>
      <c r="K207" s="670">
        <f t="shared" ref="K207:K217" si="50">H207+I207-J207</f>
        <v>56179</v>
      </c>
    </row>
    <row r="208" spans="1:11" s="656" customFormat="1" ht="16.5" customHeight="1">
      <c r="A208" s="741"/>
      <c r="B208" s="742">
        <v>4120</v>
      </c>
      <c r="C208" s="743" t="s">
        <v>343</v>
      </c>
      <c r="D208" s="686"/>
      <c r="E208" s="686"/>
      <c r="F208" s="686"/>
      <c r="G208" s="686"/>
      <c r="H208" s="686">
        <v>0</v>
      </c>
      <c r="I208" s="686">
        <v>8129</v>
      </c>
      <c r="J208" s="686">
        <v>0</v>
      </c>
      <c r="K208" s="686">
        <f t="shared" si="50"/>
        <v>8129</v>
      </c>
    </row>
    <row r="209" spans="1:11" s="656" customFormat="1" ht="16.5" customHeight="1">
      <c r="A209" s="733"/>
      <c r="B209" s="654">
        <v>4170</v>
      </c>
      <c r="C209" s="652" t="s">
        <v>344</v>
      </c>
      <c r="D209" s="635"/>
      <c r="E209" s="635"/>
      <c r="F209" s="635"/>
      <c r="G209" s="635"/>
      <c r="H209" s="635">
        <v>0</v>
      </c>
      <c r="I209" s="635">
        <v>27000</v>
      </c>
      <c r="J209" s="635">
        <v>0</v>
      </c>
      <c r="K209" s="635">
        <f t="shared" si="50"/>
        <v>27000</v>
      </c>
    </row>
    <row r="210" spans="1:11" s="656" customFormat="1" ht="16.5" customHeight="1">
      <c r="A210" s="733"/>
      <c r="B210" s="654">
        <v>4210</v>
      </c>
      <c r="C210" s="652" t="s">
        <v>345</v>
      </c>
      <c r="D210" s="635"/>
      <c r="E210" s="635"/>
      <c r="F210" s="635"/>
      <c r="G210" s="635"/>
      <c r="H210" s="635">
        <v>0</v>
      </c>
      <c r="I210" s="635">
        <v>29926</v>
      </c>
      <c r="J210" s="635">
        <v>0</v>
      </c>
      <c r="K210" s="635">
        <f t="shared" si="50"/>
        <v>29926</v>
      </c>
    </row>
    <row r="211" spans="1:11" s="656" customFormat="1" ht="16.5" customHeight="1">
      <c r="A211" s="733"/>
      <c r="B211" s="654">
        <v>4240</v>
      </c>
      <c r="C211" s="652" t="s">
        <v>375</v>
      </c>
      <c r="D211" s="635"/>
      <c r="E211" s="635"/>
      <c r="F211" s="635"/>
      <c r="G211" s="635"/>
      <c r="H211" s="635">
        <v>0</v>
      </c>
      <c r="I211" s="635">
        <v>2195001</v>
      </c>
      <c r="J211" s="635">
        <v>0</v>
      </c>
      <c r="K211" s="635">
        <f t="shared" si="50"/>
        <v>2195001</v>
      </c>
    </row>
    <row r="212" spans="1:11" s="656" customFormat="1" ht="16.5" customHeight="1">
      <c r="A212" s="733"/>
      <c r="B212" s="654">
        <v>4270</v>
      </c>
      <c r="C212" s="652" t="s">
        <v>348</v>
      </c>
      <c r="D212" s="635"/>
      <c r="E212" s="635"/>
      <c r="F212" s="635"/>
      <c r="G212" s="635"/>
      <c r="H212" s="635">
        <v>0</v>
      </c>
      <c r="I212" s="635">
        <v>5535</v>
      </c>
      <c r="J212" s="635">
        <v>0</v>
      </c>
      <c r="K212" s="635">
        <f t="shared" si="50"/>
        <v>5535</v>
      </c>
    </row>
    <row r="213" spans="1:11" s="656" customFormat="1" ht="16.5" customHeight="1">
      <c r="A213" s="733"/>
      <c r="B213" s="654">
        <v>4300</v>
      </c>
      <c r="C213" s="652" t="s">
        <v>349</v>
      </c>
      <c r="D213" s="635"/>
      <c r="E213" s="635"/>
      <c r="F213" s="635"/>
      <c r="G213" s="635"/>
      <c r="H213" s="635">
        <v>0</v>
      </c>
      <c r="I213" s="635">
        <v>2864300</v>
      </c>
      <c r="J213" s="635">
        <v>0</v>
      </c>
      <c r="K213" s="635">
        <f t="shared" si="50"/>
        <v>2864300</v>
      </c>
    </row>
    <row r="214" spans="1:11" s="656" customFormat="1" ht="27.75" customHeight="1">
      <c r="A214" s="733"/>
      <c r="B214" s="654">
        <v>4400</v>
      </c>
      <c r="C214" s="652" t="s">
        <v>1342</v>
      </c>
      <c r="D214" s="635"/>
      <c r="E214" s="635"/>
      <c r="F214" s="635"/>
      <c r="G214" s="635"/>
      <c r="H214" s="635">
        <v>0</v>
      </c>
      <c r="I214" s="635">
        <v>33210</v>
      </c>
      <c r="J214" s="635">
        <v>0</v>
      </c>
      <c r="K214" s="635">
        <f t="shared" si="50"/>
        <v>33210</v>
      </c>
    </row>
    <row r="215" spans="1:11" s="656" customFormat="1" ht="15.75" customHeight="1">
      <c r="A215" s="733"/>
      <c r="B215" s="654">
        <v>4410</v>
      </c>
      <c r="C215" s="652" t="s">
        <v>352</v>
      </c>
      <c r="D215" s="635"/>
      <c r="E215" s="635"/>
      <c r="F215" s="635"/>
      <c r="G215" s="635"/>
      <c r="H215" s="635">
        <v>0</v>
      </c>
      <c r="I215" s="635">
        <v>76202</v>
      </c>
      <c r="J215" s="635">
        <v>0</v>
      </c>
      <c r="K215" s="635">
        <f t="shared" si="50"/>
        <v>76202</v>
      </c>
    </row>
    <row r="216" spans="1:11" s="656" customFormat="1" ht="15.75" customHeight="1">
      <c r="A216" s="733"/>
      <c r="B216" s="654">
        <v>4710</v>
      </c>
      <c r="C216" s="652" t="s">
        <v>354</v>
      </c>
      <c r="D216" s="635"/>
      <c r="E216" s="635"/>
      <c r="F216" s="635"/>
      <c r="G216" s="635"/>
      <c r="H216" s="635">
        <v>0</v>
      </c>
      <c r="I216" s="635">
        <v>4977</v>
      </c>
      <c r="J216" s="635">
        <v>0</v>
      </c>
      <c r="K216" s="635">
        <f t="shared" si="50"/>
        <v>4977</v>
      </c>
    </row>
    <row r="217" spans="1:11" s="656" customFormat="1" ht="15.75" customHeight="1">
      <c r="A217" s="744"/>
      <c r="B217" s="745">
        <v>6060</v>
      </c>
      <c r="C217" s="746" t="s">
        <v>355</v>
      </c>
      <c r="D217" s="704"/>
      <c r="E217" s="704"/>
      <c r="F217" s="704"/>
      <c r="G217" s="704"/>
      <c r="H217" s="704">
        <v>0</v>
      </c>
      <c r="I217" s="704">
        <v>29926</v>
      </c>
      <c r="J217" s="670">
        <v>0</v>
      </c>
      <c r="K217" s="670">
        <f t="shared" si="50"/>
        <v>29926</v>
      </c>
    </row>
    <row r="218" spans="1:11" s="646" customFormat="1" ht="23.25" customHeight="1">
      <c r="A218" s="1180" t="s">
        <v>1343</v>
      </c>
      <c r="B218" s="1181"/>
      <c r="C218" s="1182"/>
      <c r="D218" s="709">
        <f>D49+D106+D128+D135+D93+D79+D145+D140+D150+D10+D31+D26+D42+D162+D204</f>
        <v>46620517</v>
      </c>
      <c r="E218" s="709">
        <f t="shared" ref="E218:K218" si="51">E49+E106+E128+E135+E93+E79+E145+E140+E150+E10+E31+E26+E42+E162+E204</f>
        <v>5200144</v>
      </c>
      <c r="F218" s="709">
        <f t="shared" si="51"/>
        <v>58941.599999999999</v>
      </c>
      <c r="G218" s="709">
        <f t="shared" si="51"/>
        <v>51761719.399999999</v>
      </c>
      <c r="H218" s="709">
        <f t="shared" si="51"/>
        <v>53625517</v>
      </c>
      <c r="I218" s="709">
        <f t="shared" si="51"/>
        <v>11229813.800000001</v>
      </c>
      <c r="J218" s="709">
        <f t="shared" si="51"/>
        <v>45000</v>
      </c>
      <c r="K218" s="709">
        <f t="shared" si="51"/>
        <v>64810330.799999997</v>
      </c>
    </row>
    <row r="219" spans="1:11" s="602" customFormat="1">
      <c r="A219" s="747"/>
      <c r="B219" s="747"/>
    </row>
    <row r="220" spans="1:11" s="602" customFormat="1">
      <c r="A220" s="747"/>
      <c r="B220" s="747"/>
    </row>
    <row r="221" spans="1:11" s="602" customFormat="1">
      <c r="A221" s="747"/>
      <c r="B221" s="747"/>
    </row>
    <row r="222" spans="1:11" s="602" customFormat="1">
      <c r="A222" s="747"/>
      <c r="B222" s="747"/>
    </row>
    <row r="223" spans="1:11" s="602" customFormat="1">
      <c r="A223" s="747"/>
      <c r="B223" s="747"/>
    </row>
    <row r="224" spans="1:11" s="602" customFormat="1">
      <c r="A224" s="747"/>
      <c r="B224" s="747"/>
    </row>
    <row r="225" spans="1:2" s="602" customFormat="1">
      <c r="A225" s="747"/>
      <c r="B225" s="747"/>
    </row>
    <row r="226" spans="1:2" s="602" customFormat="1">
      <c r="A226" s="747"/>
      <c r="B226" s="747"/>
    </row>
    <row r="227" spans="1:2" s="602" customFormat="1">
      <c r="A227" s="747"/>
      <c r="B227" s="747"/>
    </row>
    <row r="228" spans="1:2" s="602" customFormat="1">
      <c r="A228" s="747"/>
      <c r="B228" s="747"/>
    </row>
    <row r="229" spans="1:2" s="602" customFormat="1">
      <c r="A229" s="747"/>
      <c r="B229" s="747"/>
    </row>
    <row r="230" spans="1:2" s="602" customFormat="1">
      <c r="A230" s="747"/>
      <c r="B230" s="747"/>
    </row>
    <row r="231" spans="1:2" s="602" customFormat="1">
      <c r="A231" s="747"/>
      <c r="B231" s="747"/>
    </row>
    <row r="232" spans="1:2" s="602" customFormat="1">
      <c r="A232" s="747"/>
      <c r="B232" s="747"/>
    </row>
    <row r="233" spans="1:2" s="602" customFormat="1">
      <c r="A233" s="747"/>
      <c r="B233" s="747"/>
    </row>
    <row r="234" spans="1:2" s="602" customFormat="1">
      <c r="A234" s="747"/>
      <c r="B234" s="747"/>
    </row>
    <row r="235" spans="1:2" s="602" customFormat="1">
      <c r="A235" s="747"/>
      <c r="B235" s="747"/>
    </row>
    <row r="236" spans="1:2" s="602" customFormat="1">
      <c r="A236" s="747"/>
      <c r="B236" s="747"/>
    </row>
  </sheetData>
  <sheetProtection algorithmName="SHA-512" hashValue="ENT5PZM7pSCigS9YybZmw+Bkfjih0NHmub84D3vgUNFgyu0oYwUCoLdWR5e9GyUXorJsLKu+28xk57/cwqJDBw==" saltValue="6yMgDjNLQHbaXeX47ljQgw==" spinCount="100000" sheet="1" objects="1" scenarios="1"/>
  <mergeCells count="10">
    <mergeCell ref="A218:C218"/>
    <mergeCell ref="C1:H1"/>
    <mergeCell ref="C2:H2"/>
    <mergeCell ref="C3:H3"/>
    <mergeCell ref="A5:K5"/>
    <mergeCell ref="A7:A8"/>
    <mergeCell ref="B7:B8"/>
    <mergeCell ref="C7:C8"/>
    <mergeCell ref="D7:G7"/>
    <mergeCell ref="H7:K7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4718-8677-4BB4-B80A-C5A179FEC22F}">
  <dimension ref="A1:H68"/>
  <sheetViews>
    <sheetView view="pageBreakPreview" zoomScaleNormal="100" workbookViewId="0">
      <selection activeCell="D27" sqref="D27:D29"/>
    </sheetView>
  </sheetViews>
  <sheetFormatPr defaultColWidth="8" defaultRowHeight="12.75"/>
  <cols>
    <col min="1" max="1" width="5.375" style="540" customWidth="1"/>
    <col min="2" max="2" width="7.625" style="540" customWidth="1"/>
    <col min="3" max="3" width="16" style="535" customWidth="1"/>
    <col min="4" max="4" width="34.625" style="535" customWidth="1"/>
    <col min="5" max="5" width="2.375" style="542" customWidth="1"/>
    <col min="6" max="6" width="12.875" style="536" customWidth="1"/>
    <col min="7" max="7" width="14.375" style="535" customWidth="1"/>
    <col min="8" max="8" width="8.25" style="535" bestFit="1" customWidth="1"/>
    <col min="9" max="16384" width="8" style="537"/>
  </cols>
  <sheetData>
    <row r="1" spans="1:8" ht="15" customHeight="1">
      <c r="C1" s="545"/>
      <c r="D1" s="1210" t="s">
        <v>1346</v>
      </c>
      <c r="E1" s="1210"/>
      <c r="F1" s="1210"/>
      <c r="G1" s="1210"/>
      <c r="H1" s="537"/>
    </row>
    <row r="2" spans="1:8" ht="15" customHeight="1">
      <c r="C2" s="545"/>
      <c r="D2" s="1211" t="s">
        <v>1181</v>
      </c>
      <c r="E2" s="1211"/>
      <c r="F2" s="1211"/>
      <c r="G2" s="1211"/>
      <c r="H2" s="537"/>
    </row>
    <row r="3" spans="1:8" ht="9.75" customHeight="1">
      <c r="D3" s="1211" t="s">
        <v>1182</v>
      </c>
      <c r="E3" s="1211"/>
      <c r="F3" s="1211"/>
      <c r="G3" s="1211"/>
      <c r="H3" s="537"/>
    </row>
    <row r="4" spans="1:8" ht="42" customHeight="1">
      <c r="A4" s="1212" t="s">
        <v>1183</v>
      </c>
      <c r="B4" s="1212"/>
      <c r="C4" s="1212"/>
      <c r="D4" s="1212"/>
      <c r="E4" s="1212"/>
      <c r="F4" s="1212"/>
      <c r="G4" s="1212"/>
      <c r="H4" s="537"/>
    </row>
    <row r="5" spans="1:8" s="407" customFormat="1" ht="15" customHeight="1">
      <c r="A5" s="415"/>
      <c r="B5" s="415"/>
      <c r="C5" s="414"/>
      <c r="D5" s="414"/>
      <c r="E5" s="416"/>
      <c r="F5" s="413"/>
      <c r="G5" s="408" t="s">
        <v>35</v>
      </c>
      <c r="H5" s="414"/>
    </row>
    <row r="6" spans="1:8" s="420" customFormat="1" ht="25.5" customHeight="1">
      <c r="A6" s="1213" t="s">
        <v>36</v>
      </c>
      <c r="B6" s="1213" t="s">
        <v>337</v>
      </c>
      <c r="C6" s="1215" t="s">
        <v>903</v>
      </c>
      <c r="D6" s="1216"/>
      <c r="E6" s="1217" t="s">
        <v>99</v>
      </c>
      <c r="F6" s="1219" t="s">
        <v>1184</v>
      </c>
      <c r="G6" s="1217" t="s">
        <v>1185</v>
      </c>
      <c r="H6" s="547"/>
    </row>
    <row r="7" spans="1:8" s="420" customFormat="1" ht="29.25" customHeight="1">
      <c r="A7" s="1214"/>
      <c r="B7" s="1214"/>
      <c r="C7" s="546" t="s">
        <v>1186</v>
      </c>
      <c r="D7" s="546" t="s">
        <v>1187</v>
      </c>
      <c r="E7" s="1218"/>
      <c r="F7" s="1220"/>
      <c r="G7" s="1221"/>
      <c r="H7" s="547"/>
    </row>
    <row r="8" spans="1:8" s="441" customFormat="1" ht="11.25">
      <c r="A8" s="548">
        <v>1</v>
      </c>
      <c r="B8" s="548">
        <v>2</v>
      </c>
      <c r="C8" s="549">
        <v>3</v>
      </c>
      <c r="D8" s="549">
        <v>4</v>
      </c>
      <c r="E8" s="549"/>
      <c r="F8" s="550">
        <v>5</v>
      </c>
      <c r="G8" s="549">
        <v>6</v>
      </c>
      <c r="H8" s="442"/>
    </row>
    <row r="9" spans="1:8" s="553" customFormat="1" ht="22.5" customHeight="1">
      <c r="A9" s="1201" t="s">
        <v>176</v>
      </c>
      <c r="B9" s="1202"/>
      <c r="C9" s="1202"/>
      <c r="D9" s="1203"/>
      <c r="E9" s="551" t="s">
        <v>0</v>
      </c>
      <c r="F9" s="552">
        <f>F12+F15+F18+F21+F24+F27+F30</f>
        <v>10972613</v>
      </c>
      <c r="G9" s="552">
        <f>G12+G15+G18+G21+G24+G27+G30</f>
        <v>10972613</v>
      </c>
    </row>
    <row r="10" spans="1:8" s="553" customFormat="1" ht="22.5" customHeight="1">
      <c r="A10" s="1204"/>
      <c r="B10" s="1205"/>
      <c r="C10" s="1205"/>
      <c r="D10" s="1206"/>
      <c r="E10" s="554" t="s">
        <v>1</v>
      </c>
      <c r="F10" s="552">
        <f t="shared" ref="F10:G11" si="0">F13+F16+F19+F22+F25+F28+F31</f>
        <v>409895</v>
      </c>
      <c r="G10" s="552">
        <f t="shared" si="0"/>
        <v>409895</v>
      </c>
    </row>
    <row r="11" spans="1:8" s="553" customFormat="1" ht="22.5" customHeight="1">
      <c r="A11" s="1207"/>
      <c r="B11" s="1208"/>
      <c r="C11" s="1208"/>
      <c r="D11" s="1209"/>
      <c r="E11" s="554" t="s">
        <v>2</v>
      </c>
      <c r="F11" s="552">
        <f t="shared" si="0"/>
        <v>11382508</v>
      </c>
      <c r="G11" s="552">
        <f t="shared" si="0"/>
        <v>11382508</v>
      </c>
    </row>
    <row r="12" spans="1:8" s="480" customFormat="1" ht="15" hidden="1" customHeight="1">
      <c r="A12" s="555" t="s">
        <v>42</v>
      </c>
      <c r="B12" s="555" t="s">
        <v>182</v>
      </c>
      <c r="C12" s="1195" t="s">
        <v>1188</v>
      </c>
      <c r="D12" s="1198" t="s">
        <v>1189</v>
      </c>
      <c r="E12" s="556" t="s">
        <v>0</v>
      </c>
      <c r="F12" s="557">
        <v>7100000</v>
      </c>
      <c r="G12" s="558">
        <v>7100000</v>
      </c>
      <c r="H12" s="559"/>
    </row>
    <row r="13" spans="1:8" s="480" customFormat="1" ht="15" hidden="1" customHeight="1">
      <c r="A13" s="560"/>
      <c r="B13" s="560"/>
      <c r="C13" s="1136"/>
      <c r="D13" s="1199"/>
      <c r="E13" s="556" t="s">
        <v>1</v>
      </c>
      <c r="F13" s="557">
        <v>0</v>
      </c>
      <c r="G13" s="558">
        <v>0</v>
      </c>
      <c r="H13" s="559"/>
    </row>
    <row r="14" spans="1:8" s="480" customFormat="1" ht="15" hidden="1" customHeight="1">
      <c r="A14" s="560"/>
      <c r="B14" s="560"/>
      <c r="C14" s="1137"/>
      <c r="D14" s="1200"/>
      <c r="E14" s="556" t="s">
        <v>2</v>
      </c>
      <c r="F14" s="557">
        <f>F12+F13</f>
        <v>7100000</v>
      </c>
      <c r="G14" s="557">
        <f>G12+G13</f>
        <v>7100000</v>
      </c>
      <c r="H14" s="559"/>
    </row>
    <row r="15" spans="1:8" s="480" customFormat="1" ht="24.95" hidden="1" customHeight="1">
      <c r="A15" s="560"/>
      <c r="B15" s="560"/>
      <c r="C15" s="1195" t="s">
        <v>1188</v>
      </c>
      <c r="D15" s="1198" t="s">
        <v>1190</v>
      </c>
      <c r="E15" s="556" t="s">
        <v>0</v>
      </c>
      <c r="F15" s="557">
        <v>70000</v>
      </c>
      <c r="G15" s="558">
        <v>70000</v>
      </c>
      <c r="H15" s="559"/>
    </row>
    <row r="16" spans="1:8" s="480" customFormat="1" ht="24.95" hidden="1" customHeight="1">
      <c r="A16" s="560"/>
      <c r="B16" s="560"/>
      <c r="C16" s="1136"/>
      <c r="D16" s="1199"/>
      <c r="E16" s="556" t="s">
        <v>1</v>
      </c>
      <c r="F16" s="557">
        <v>0</v>
      </c>
      <c r="G16" s="558">
        <v>0</v>
      </c>
      <c r="H16" s="559"/>
    </row>
    <row r="17" spans="1:8" s="480" customFormat="1" ht="24.95" hidden="1" customHeight="1">
      <c r="A17" s="560"/>
      <c r="B17" s="560"/>
      <c r="C17" s="1137"/>
      <c r="D17" s="1200"/>
      <c r="E17" s="556" t="s">
        <v>2</v>
      </c>
      <c r="F17" s="557">
        <f>F15+F16</f>
        <v>70000</v>
      </c>
      <c r="G17" s="557">
        <f>G15+G16</f>
        <v>70000</v>
      </c>
      <c r="H17" s="559"/>
    </row>
    <row r="18" spans="1:8" s="480" customFormat="1" ht="24.95" hidden="1" customHeight="1">
      <c r="A18" s="560"/>
      <c r="B18" s="560"/>
      <c r="C18" s="1195" t="s">
        <v>1188</v>
      </c>
      <c r="D18" s="1198" t="s">
        <v>1191</v>
      </c>
      <c r="E18" s="556" t="s">
        <v>0</v>
      </c>
      <c r="F18" s="557">
        <v>1000000</v>
      </c>
      <c r="G18" s="558">
        <v>1000000</v>
      </c>
      <c r="H18" s="559"/>
    </row>
    <row r="19" spans="1:8" s="480" customFormat="1" ht="24.95" hidden="1" customHeight="1">
      <c r="A19" s="560"/>
      <c r="B19" s="560"/>
      <c r="C19" s="1136"/>
      <c r="D19" s="1199"/>
      <c r="E19" s="556" t="s">
        <v>1</v>
      </c>
      <c r="F19" s="557">
        <v>0</v>
      </c>
      <c r="G19" s="558">
        <v>0</v>
      </c>
      <c r="H19" s="559"/>
    </row>
    <row r="20" spans="1:8" s="480" customFormat="1" ht="24.95" hidden="1" customHeight="1">
      <c r="A20" s="561"/>
      <c r="B20" s="561"/>
      <c r="C20" s="1137"/>
      <c r="D20" s="1200"/>
      <c r="E20" s="556" t="s">
        <v>2</v>
      </c>
      <c r="F20" s="557">
        <f>F18+F19</f>
        <v>1000000</v>
      </c>
      <c r="G20" s="557">
        <f>G18+G19</f>
        <v>1000000</v>
      </c>
      <c r="H20" s="559"/>
    </row>
    <row r="21" spans="1:8" s="480" customFormat="1" ht="15" hidden="1" customHeight="1">
      <c r="A21" s="555" t="s">
        <v>43</v>
      </c>
      <c r="B21" s="555" t="s">
        <v>187</v>
      </c>
      <c r="C21" s="1195" t="s">
        <v>1188</v>
      </c>
      <c r="D21" s="1198" t="s">
        <v>1192</v>
      </c>
      <c r="E21" s="556" t="s">
        <v>0</v>
      </c>
      <c r="F21" s="557">
        <v>60000</v>
      </c>
      <c r="G21" s="558">
        <v>60000</v>
      </c>
      <c r="H21" s="559"/>
    </row>
    <row r="22" spans="1:8" s="480" customFormat="1" ht="15" hidden="1" customHeight="1">
      <c r="A22" s="560"/>
      <c r="B22" s="560"/>
      <c r="C22" s="1136"/>
      <c r="D22" s="1199"/>
      <c r="E22" s="556" t="s">
        <v>1</v>
      </c>
      <c r="F22" s="557">
        <v>0</v>
      </c>
      <c r="G22" s="558">
        <v>0</v>
      </c>
      <c r="H22" s="559"/>
    </row>
    <row r="23" spans="1:8" s="480" customFormat="1" ht="15" hidden="1" customHeight="1">
      <c r="A23" s="560"/>
      <c r="B23" s="560"/>
      <c r="C23" s="1137"/>
      <c r="D23" s="1200"/>
      <c r="E23" s="556" t="s">
        <v>2</v>
      </c>
      <c r="F23" s="557">
        <f>F21+F22</f>
        <v>60000</v>
      </c>
      <c r="G23" s="557">
        <f>G21+G22</f>
        <v>60000</v>
      </c>
      <c r="H23" s="559"/>
    </row>
    <row r="24" spans="1:8" s="480" customFormat="1" ht="15" customHeight="1">
      <c r="A24" s="555" t="s">
        <v>53</v>
      </c>
      <c r="B24" s="555" t="s">
        <v>236</v>
      </c>
      <c r="C24" s="1195" t="s">
        <v>1193</v>
      </c>
      <c r="D24" s="1198" t="s">
        <v>1194</v>
      </c>
      <c r="E24" s="556" t="s">
        <v>0</v>
      </c>
      <c r="F24" s="557">
        <v>1560000</v>
      </c>
      <c r="G24" s="558">
        <v>1560000</v>
      </c>
      <c r="H24" s="559"/>
    </row>
    <row r="25" spans="1:8" s="480" customFormat="1" ht="15" customHeight="1">
      <c r="A25" s="560"/>
      <c r="B25" s="560"/>
      <c r="C25" s="1136"/>
      <c r="D25" s="1199"/>
      <c r="E25" s="556" t="s">
        <v>1</v>
      </c>
      <c r="F25" s="557">
        <v>59895</v>
      </c>
      <c r="G25" s="558">
        <v>59895</v>
      </c>
      <c r="H25" s="559"/>
    </row>
    <row r="26" spans="1:8" s="480" customFormat="1" ht="15" customHeight="1">
      <c r="A26" s="560"/>
      <c r="B26" s="560"/>
      <c r="C26" s="1137"/>
      <c r="D26" s="1200"/>
      <c r="E26" s="556" t="s">
        <v>2</v>
      </c>
      <c r="F26" s="557">
        <f>F24+F25</f>
        <v>1619895</v>
      </c>
      <c r="G26" s="557">
        <f>G24+G25</f>
        <v>1619895</v>
      </c>
      <c r="H26" s="559"/>
    </row>
    <row r="27" spans="1:8" s="480" customFormat="1" ht="15" customHeight="1">
      <c r="A27" s="560"/>
      <c r="B27" s="560"/>
      <c r="C27" s="1195" t="s">
        <v>1193</v>
      </c>
      <c r="D27" s="1198" t="s">
        <v>864</v>
      </c>
      <c r="E27" s="556" t="s">
        <v>0</v>
      </c>
      <c r="F27" s="557">
        <v>0</v>
      </c>
      <c r="G27" s="558">
        <v>0</v>
      </c>
      <c r="H27" s="559"/>
    </row>
    <row r="28" spans="1:8" s="480" customFormat="1" ht="15" customHeight="1">
      <c r="A28" s="560"/>
      <c r="B28" s="560"/>
      <c r="C28" s="1136"/>
      <c r="D28" s="1199"/>
      <c r="E28" s="556" t="s">
        <v>1</v>
      </c>
      <c r="F28" s="557">
        <v>350000</v>
      </c>
      <c r="G28" s="558">
        <v>350000</v>
      </c>
      <c r="H28" s="559"/>
    </row>
    <row r="29" spans="1:8" s="480" customFormat="1" ht="15" customHeight="1">
      <c r="A29" s="561"/>
      <c r="B29" s="561"/>
      <c r="C29" s="1137"/>
      <c r="D29" s="1200"/>
      <c r="E29" s="556" t="s">
        <v>2</v>
      </c>
      <c r="F29" s="557">
        <f>F27+F28</f>
        <v>350000</v>
      </c>
      <c r="G29" s="557">
        <f>G27+G28</f>
        <v>350000</v>
      </c>
      <c r="H29" s="559"/>
    </row>
    <row r="30" spans="1:8" s="480" customFormat="1" ht="15" hidden="1" customHeight="1">
      <c r="A30" s="555" t="s">
        <v>59</v>
      </c>
      <c r="B30" s="555" t="s">
        <v>269</v>
      </c>
      <c r="C30" s="1195" t="s">
        <v>1188</v>
      </c>
      <c r="D30" s="1196" t="s">
        <v>1195</v>
      </c>
      <c r="E30" s="556" t="s">
        <v>0</v>
      </c>
      <c r="F30" s="557">
        <v>1182613</v>
      </c>
      <c r="G30" s="558">
        <v>1182613</v>
      </c>
      <c r="H30" s="559"/>
    </row>
    <row r="31" spans="1:8" s="480" customFormat="1" ht="15" hidden="1" customHeight="1">
      <c r="A31" s="560"/>
      <c r="B31" s="560"/>
      <c r="C31" s="1136"/>
      <c r="D31" s="1197"/>
      <c r="E31" s="556" t="s">
        <v>1</v>
      </c>
      <c r="F31" s="557">
        <v>0</v>
      </c>
      <c r="G31" s="558">
        <v>0</v>
      </c>
      <c r="H31" s="559"/>
    </row>
    <row r="32" spans="1:8" s="480" customFormat="1" ht="15" hidden="1" customHeight="1">
      <c r="A32" s="561"/>
      <c r="B32" s="561"/>
      <c r="C32" s="1137"/>
      <c r="D32" s="1197"/>
      <c r="E32" s="556" t="s">
        <v>2</v>
      </c>
      <c r="F32" s="557">
        <f>F30+F31</f>
        <v>1182613</v>
      </c>
      <c r="G32" s="557">
        <f>G30+G31</f>
        <v>1182613</v>
      </c>
      <c r="H32" s="559"/>
    </row>
    <row r="33" spans="1:8" s="562" customFormat="1" ht="14.25" customHeight="1">
      <c r="A33" s="541" t="s">
        <v>1174</v>
      </c>
      <c r="B33" s="540"/>
      <c r="C33" s="535"/>
      <c r="D33" s="535"/>
      <c r="E33" s="416"/>
      <c r="F33" s="536"/>
      <c r="G33" s="417"/>
    </row>
    <row r="34" spans="1:8" s="541" customFormat="1" ht="14.25" customHeight="1">
      <c r="A34" s="541" t="s">
        <v>1196</v>
      </c>
      <c r="C34" s="563"/>
      <c r="D34" s="563"/>
      <c r="E34" s="564"/>
      <c r="F34" s="545"/>
      <c r="G34" s="563"/>
    </row>
    <row r="35" spans="1:8" s="566" customFormat="1" ht="14.25" customHeight="1">
      <c r="A35" s="541" t="s">
        <v>1197</v>
      </c>
      <c r="B35" s="541"/>
      <c r="C35" s="563"/>
      <c r="D35" s="563"/>
      <c r="E35" s="564"/>
      <c r="F35" s="545"/>
      <c r="G35" s="565"/>
    </row>
    <row r="36" spans="1:8" s="541" customFormat="1" ht="14.25" customHeight="1">
      <c r="A36" s="541" t="s">
        <v>1198</v>
      </c>
      <c r="C36" s="563"/>
      <c r="D36" s="563"/>
      <c r="E36" s="564"/>
      <c r="F36" s="545"/>
      <c r="G36" s="563"/>
    </row>
    <row r="37" spans="1:8" s="562" customFormat="1" ht="27" customHeight="1">
      <c r="A37" s="540"/>
      <c r="B37" s="540"/>
      <c r="C37" s="535"/>
      <c r="D37" s="535"/>
      <c r="E37" s="542"/>
      <c r="F37" s="536"/>
      <c r="G37" s="417"/>
      <c r="H37" s="417"/>
    </row>
    <row r="38" spans="1:8" ht="27" customHeight="1"/>
    <row r="39" spans="1:8" s="567" customFormat="1" ht="24.75" customHeight="1">
      <c r="A39" s="540"/>
      <c r="B39" s="540"/>
      <c r="C39" s="535"/>
      <c r="D39" s="535"/>
      <c r="E39" s="542"/>
      <c r="F39" s="536"/>
      <c r="G39" s="534"/>
      <c r="H39" s="534"/>
    </row>
    <row r="40" spans="1:8" ht="30" customHeight="1"/>
    <row r="41" spans="1:8" ht="30" customHeight="1"/>
    <row r="42" spans="1:8" s="539" customFormat="1" ht="22.5" customHeight="1">
      <c r="A42" s="540"/>
      <c r="B42" s="540"/>
      <c r="C42" s="535"/>
      <c r="D42" s="535"/>
      <c r="E42" s="542"/>
      <c r="F42" s="536"/>
      <c r="G42" s="568"/>
      <c r="H42" s="568"/>
    </row>
    <row r="43" spans="1:8" ht="30" customHeight="1"/>
    <row r="44" spans="1:8" ht="28.5" customHeight="1"/>
    <row r="45" spans="1:8" s="562" customFormat="1" ht="24.75" customHeight="1">
      <c r="A45" s="540"/>
      <c r="B45" s="540"/>
      <c r="C45" s="535"/>
      <c r="D45" s="535"/>
      <c r="E45" s="542"/>
      <c r="F45" s="536"/>
      <c r="G45" s="417"/>
      <c r="H45" s="417"/>
    </row>
    <row r="46" spans="1:8" ht="24.75" customHeight="1"/>
    <row r="47" spans="1:8" s="567" customFormat="1" ht="21" customHeight="1">
      <c r="A47" s="540"/>
      <c r="B47" s="540"/>
      <c r="C47" s="535"/>
      <c r="D47" s="535"/>
      <c r="E47" s="542"/>
      <c r="F47" s="536"/>
      <c r="G47" s="534"/>
      <c r="H47" s="534"/>
    </row>
    <row r="49" spans="1:8" ht="9" customHeight="1"/>
    <row r="50" spans="1:8" s="479" customFormat="1" ht="35.25" customHeight="1">
      <c r="A50" s="540"/>
      <c r="B50" s="540"/>
      <c r="C50" s="535"/>
      <c r="D50" s="535"/>
      <c r="E50" s="542"/>
      <c r="F50" s="536"/>
    </row>
    <row r="51" spans="1:8" s="562" customFormat="1" ht="22.5" customHeight="1">
      <c r="A51" s="540"/>
      <c r="B51" s="540"/>
      <c r="C51" s="535"/>
      <c r="D51" s="535"/>
      <c r="E51" s="542"/>
      <c r="F51" s="536"/>
      <c r="G51" s="417"/>
      <c r="H51" s="417"/>
    </row>
    <row r="52" spans="1:8" ht="41.25" customHeight="1"/>
    <row r="53" spans="1:8" s="479" customFormat="1" ht="21.75" customHeight="1">
      <c r="A53" s="540"/>
      <c r="B53" s="540"/>
      <c r="C53" s="535"/>
      <c r="D53" s="535"/>
      <c r="E53" s="542"/>
      <c r="F53" s="536"/>
    </row>
    <row r="54" spans="1:8" ht="21.75" customHeight="1">
      <c r="G54" s="537"/>
      <c r="H54" s="537"/>
    </row>
    <row r="55" spans="1:8" ht="24.75" customHeight="1">
      <c r="G55" s="537"/>
      <c r="H55" s="537"/>
    </row>
    <row r="56" spans="1:8" ht="12" customHeight="1">
      <c r="G56" s="537"/>
      <c r="H56" s="537"/>
    </row>
    <row r="57" spans="1:8" s="569" customFormat="1" ht="30.75" customHeight="1">
      <c r="A57" s="540"/>
      <c r="B57" s="540"/>
      <c r="C57" s="535"/>
      <c r="D57" s="535"/>
      <c r="E57" s="542"/>
      <c r="F57" s="536"/>
    </row>
    <row r="58" spans="1:8" s="479" customFormat="1" ht="21.75" customHeight="1">
      <c r="A58" s="540"/>
      <c r="B58" s="540"/>
      <c r="C58" s="535"/>
      <c r="D58" s="535"/>
      <c r="E58" s="542"/>
      <c r="F58" s="536"/>
    </row>
    <row r="59" spans="1:8" s="570" customFormat="1" ht="21.75" customHeight="1">
      <c r="A59" s="540"/>
      <c r="B59" s="540"/>
      <c r="C59" s="535"/>
      <c r="D59" s="535"/>
      <c r="E59" s="542"/>
      <c r="F59" s="536"/>
    </row>
    <row r="60" spans="1:8" s="570" customFormat="1" ht="21.75" customHeight="1">
      <c r="A60" s="540"/>
      <c r="B60" s="540"/>
      <c r="C60" s="535"/>
      <c r="D60" s="535"/>
      <c r="E60" s="542"/>
      <c r="F60" s="536"/>
    </row>
    <row r="62" spans="1:8" s="420" customFormat="1" ht="24" customHeight="1">
      <c r="A62" s="540"/>
      <c r="B62" s="540"/>
      <c r="C62" s="535"/>
      <c r="D62" s="535"/>
      <c r="E62" s="542"/>
      <c r="F62" s="536"/>
      <c r="G62" s="547"/>
      <c r="H62" s="547"/>
    </row>
    <row r="63" spans="1:8" s="420" customFormat="1" ht="24" customHeight="1">
      <c r="A63" s="540"/>
      <c r="B63" s="540"/>
      <c r="C63" s="535"/>
      <c r="D63" s="535"/>
      <c r="E63" s="542"/>
      <c r="F63" s="536"/>
      <c r="G63" s="547"/>
      <c r="H63" s="547"/>
    </row>
    <row r="64" spans="1:8" s="407" customFormat="1" ht="24" customHeight="1">
      <c r="A64" s="540"/>
      <c r="B64" s="540"/>
      <c r="C64" s="535"/>
      <c r="D64" s="535"/>
      <c r="E64" s="542"/>
      <c r="F64" s="536"/>
      <c r="G64" s="414"/>
      <c r="H64" s="414"/>
    </row>
    <row r="65" spans="1:8" s="407" customFormat="1" ht="24" customHeight="1">
      <c r="A65" s="540"/>
      <c r="B65" s="540"/>
      <c r="C65" s="535"/>
      <c r="D65" s="535"/>
      <c r="E65" s="542"/>
      <c r="F65" s="536"/>
      <c r="G65" s="414"/>
      <c r="H65" s="414"/>
    </row>
    <row r="66" spans="1:8" s="420" customFormat="1" ht="21" customHeight="1">
      <c r="A66" s="540"/>
      <c r="B66" s="540"/>
      <c r="C66" s="535"/>
      <c r="D66" s="535"/>
      <c r="E66" s="542"/>
      <c r="F66" s="536"/>
      <c r="G66" s="547"/>
      <c r="H66" s="547"/>
    </row>
    <row r="67" spans="1:8" ht="19.5" customHeight="1"/>
    <row r="68" spans="1:8" ht="21.75" customHeight="1"/>
  </sheetData>
  <sheetProtection algorithmName="SHA-512" hashValue="Lj2Q/5by4C3hZotoiXkKoxGzNnAQWYXaSM69I0AEdrwgFKCyBmRIniYWKrEt4IvvaX0aXWXPAVDOKHoES29wNA==" saltValue="ValZSRg2zvyLdbwq6Vi+Sg==" spinCount="100000" sheet="1" objects="1" scenarios="1"/>
  <mergeCells count="25">
    <mergeCell ref="C18:C20"/>
    <mergeCell ref="D18:D20"/>
    <mergeCell ref="D1:G1"/>
    <mergeCell ref="D2:G2"/>
    <mergeCell ref="D3:G3"/>
    <mergeCell ref="A4:G4"/>
    <mergeCell ref="A6:A7"/>
    <mergeCell ref="B6:B7"/>
    <mergeCell ref="C6:D6"/>
    <mergeCell ref="E6:E7"/>
    <mergeCell ref="F6:F7"/>
    <mergeCell ref="G6:G7"/>
    <mergeCell ref="A9:D11"/>
    <mergeCell ref="C12:C14"/>
    <mergeCell ref="D12:D14"/>
    <mergeCell ref="C15:C17"/>
    <mergeCell ref="D15:D17"/>
    <mergeCell ref="C30:C32"/>
    <mergeCell ref="D30:D32"/>
    <mergeCell ref="C21:C23"/>
    <mergeCell ref="D21:D23"/>
    <mergeCell ref="C24:C26"/>
    <mergeCell ref="D24:D26"/>
    <mergeCell ref="C27:C29"/>
    <mergeCell ref="D27:D29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9E72-34D7-47E2-91BF-82F83D584527}">
  <dimension ref="A1:N178"/>
  <sheetViews>
    <sheetView view="pageBreakPreview" topLeftCell="A85" zoomScaleNormal="100" zoomScaleSheetLayoutView="100" workbookViewId="0">
      <selection activeCell="D98" sqref="D98:D100"/>
    </sheetView>
  </sheetViews>
  <sheetFormatPr defaultColWidth="8" defaultRowHeight="12.75"/>
  <cols>
    <col min="1" max="1" width="4.625" style="540" customWidth="1"/>
    <col min="2" max="2" width="6.625" style="540" customWidth="1"/>
    <col min="3" max="3" width="21.625" style="535" customWidth="1"/>
    <col min="4" max="4" width="42" style="535" customWidth="1"/>
    <col min="5" max="5" width="2.25" style="542" customWidth="1"/>
    <col min="6" max="6" width="13.75" style="536" customWidth="1"/>
    <col min="7" max="7" width="16.125" style="535" customWidth="1"/>
    <col min="8" max="8" width="2.875" style="535" customWidth="1"/>
    <col min="9" max="16384" width="8" style="537"/>
  </cols>
  <sheetData>
    <row r="1" spans="1:8" ht="15" customHeight="1">
      <c r="C1" s="545"/>
      <c r="D1" s="571" t="s">
        <v>1199</v>
      </c>
      <c r="E1" s="1210" t="s">
        <v>1347</v>
      </c>
      <c r="F1" s="1210"/>
      <c r="G1" s="1210"/>
    </row>
    <row r="2" spans="1:8" ht="15" customHeight="1">
      <c r="C2" s="545"/>
      <c r="D2" s="545" t="s">
        <v>1200</v>
      </c>
      <c r="E2" s="1211" t="s">
        <v>1201</v>
      </c>
      <c r="F2" s="1211"/>
      <c r="G2" s="1211"/>
    </row>
    <row r="3" spans="1:8" ht="6" customHeight="1">
      <c r="D3" s="1211" t="s">
        <v>1182</v>
      </c>
      <c r="E3" s="1211"/>
      <c r="F3" s="1211"/>
      <c r="G3" s="1211"/>
    </row>
    <row r="4" spans="1:8" ht="41.25" customHeight="1">
      <c r="A4" s="1212" t="s">
        <v>1202</v>
      </c>
      <c r="B4" s="1212"/>
      <c r="C4" s="1212"/>
      <c r="D4" s="1212"/>
      <c r="E4" s="1212"/>
      <c r="F4" s="1212"/>
      <c r="G4" s="1212"/>
    </row>
    <row r="5" spans="1:8" s="407" customFormat="1" ht="4.5" customHeight="1">
      <c r="A5" s="415"/>
      <c r="B5" s="415"/>
      <c r="C5" s="414"/>
      <c r="D5" s="414"/>
      <c r="E5" s="416"/>
      <c r="F5" s="413"/>
      <c r="G5" s="413"/>
      <c r="H5" s="414"/>
    </row>
    <row r="6" spans="1:8" ht="11.25" customHeight="1">
      <c r="F6" s="545"/>
      <c r="G6" s="572" t="s">
        <v>35</v>
      </c>
    </row>
    <row r="7" spans="1:8" s="420" customFormat="1" ht="15.75" customHeight="1">
      <c r="A7" s="1213" t="s">
        <v>36</v>
      </c>
      <c r="B7" s="1213" t="s">
        <v>337</v>
      </c>
      <c r="C7" s="1215" t="s">
        <v>903</v>
      </c>
      <c r="D7" s="1241"/>
      <c r="E7" s="1217" t="s">
        <v>99</v>
      </c>
      <c r="F7" s="1219" t="s">
        <v>1203</v>
      </c>
      <c r="G7" s="1217" t="s">
        <v>1185</v>
      </c>
      <c r="H7" s="547"/>
    </row>
    <row r="8" spans="1:8" s="420" customFormat="1" ht="38.25" customHeight="1">
      <c r="A8" s="1214"/>
      <c r="B8" s="1214"/>
      <c r="C8" s="546" t="s">
        <v>1204</v>
      </c>
      <c r="D8" s="573" t="s">
        <v>1187</v>
      </c>
      <c r="E8" s="1218"/>
      <c r="F8" s="1220"/>
      <c r="G8" s="1221"/>
      <c r="H8" s="547"/>
    </row>
    <row r="9" spans="1:8" s="441" customFormat="1" ht="11.25">
      <c r="A9" s="548">
        <v>1</v>
      </c>
      <c r="B9" s="548">
        <v>2</v>
      </c>
      <c r="C9" s="549">
        <v>3</v>
      </c>
      <c r="D9" s="574">
        <v>4</v>
      </c>
      <c r="E9" s="549"/>
      <c r="F9" s="550">
        <v>5</v>
      </c>
      <c r="G9" s="549">
        <v>6</v>
      </c>
      <c r="H9" s="442"/>
    </row>
    <row r="10" spans="1:8" s="553" customFormat="1" ht="22.5" customHeight="1">
      <c r="A10" s="1201" t="s">
        <v>176</v>
      </c>
      <c r="B10" s="1202"/>
      <c r="C10" s="1202"/>
      <c r="D10" s="1202"/>
      <c r="E10" s="551" t="s">
        <v>0</v>
      </c>
      <c r="F10" s="552">
        <f>F14+F17+F20+F23+F26+F29+F32+F35+F38+F41+F44+F47+F50+F53+F56+F59+F62+F65+F68+F71+F74+F77+F80+F83+F86+F89+F92+F95+F98+F101+F104+F107+F110+F113+F116+F119+F122+F125+F128+F131+F134+F137+F140+F143+F146+F149</f>
        <v>46341139</v>
      </c>
      <c r="G10" s="552">
        <f>G14+G17+G20+G23+G26+G29+G32+G35+G38+G41+G44+G47+G50+G53+G56+G59+G62+G65+G68+G71+G74+G77+G80+G83+G86+G89+G92+G95+G98+G101+G104+G107+G110+G113+G116+G119+G122+G125+G128+G131+G134+G137+G140+G143+G146+G149</f>
        <v>170242664</v>
      </c>
    </row>
    <row r="11" spans="1:8" s="553" customFormat="1" ht="22.5" customHeight="1">
      <c r="A11" s="1204"/>
      <c r="B11" s="1205"/>
      <c r="C11" s="1205"/>
      <c r="D11" s="1205"/>
      <c r="E11" s="554" t="s">
        <v>1</v>
      </c>
      <c r="F11" s="552">
        <f t="shared" ref="F11:G12" si="0">F15+F18+F21+F24+F27+F30+F33+F36+F39+F42+F45+F48+F51+F54+F57+F60+F63+F66+F69+F72+F75+F78+F81+F84+F87+F90+F93+F96+F99+F102+F105+F108+F111+F114+F117+F120+F123+F126+F129+F132+F135+F138+F141+F144+F147+F150</f>
        <v>2638030</v>
      </c>
      <c r="G11" s="552">
        <f t="shared" si="0"/>
        <v>985844</v>
      </c>
    </row>
    <row r="12" spans="1:8" s="553" customFormat="1" ht="22.5" customHeight="1">
      <c r="A12" s="1207"/>
      <c r="B12" s="1208"/>
      <c r="C12" s="1208"/>
      <c r="D12" s="1208"/>
      <c r="E12" s="554" t="s">
        <v>2</v>
      </c>
      <c r="F12" s="552">
        <f t="shared" si="0"/>
        <v>48979169</v>
      </c>
      <c r="G12" s="552">
        <f t="shared" si="0"/>
        <v>171228508</v>
      </c>
    </row>
    <row r="13" spans="1:8" s="553" customFormat="1" ht="9" customHeight="1">
      <c r="A13" s="1238"/>
      <c r="B13" s="1239"/>
      <c r="C13" s="1239"/>
      <c r="D13" s="1239"/>
      <c r="E13" s="1239"/>
      <c r="F13" s="1239"/>
      <c r="G13" s="1240"/>
    </row>
    <row r="14" spans="1:8" s="581" customFormat="1" ht="18" hidden="1" customHeight="1">
      <c r="A14" s="575">
        <v>600</v>
      </c>
      <c r="B14" s="576">
        <v>60001</v>
      </c>
      <c r="C14" s="1231" t="s">
        <v>1205</v>
      </c>
      <c r="D14" s="1232" t="s">
        <v>981</v>
      </c>
      <c r="E14" s="577" t="s">
        <v>0</v>
      </c>
      <c r="F14" s="578">
        <v>165787</v>
      </c>
      <c r="G14" s="579">
        <v>165787</v>
      </c>
      <c r="H14" s="580"/>
    </row>
    <row r="15" spans="1:8" s="581" customFormat="1" ht="18" hidden="1" customHeight="1">
      <c r="A15" s="575"/>
      <c r="B15" s="576"/>
      <c r="C15" s="1136"/>
      <c r="D15" s="1199"/>
      <c r="E15" s="507" t="s">
        <v>1</v>
      </c>
      <c r="F15" s="578">
        <v>0</v>
      </c>
      <c r="G15" s="579">
        <v>0</v>
      </c>
      <c r="H15" s="580"/>
    </row>
    <row r="16" spans="1:8" s="581" customFormat="1" ht="18" hidden="1" customHeight="1">
      <c r="A16" s="575"/>
      <c r="B16" s="576"/>
      <c r="C16" s="1137"/>
      <c r="D16" s="1200"/>
      <c r="E16" s="507" t="s">
        <v>2</v>
      </c>
      <c r="F16" s="578">
        <f>F14+F15</f>
        <v>165787</v>
      </c>
      <c r="G16" s="578">
        <f>G14+G15</f>
        <v>165787</v>
      </c>
      <c r="H16" s="580"/>
    </row>
    <row r="17" spans="1:8" s="581" customFormat="1" ht="23.1" hidden="1" customHeight="1">
      <c r="A17" s="575"/>
      <c r="B17" s="576"/>
      <c r="C17" s="1231" t="s">
        <v>1206</v>
      </c>
      <c r="D17" s="1232" t="s">
        <v>981</v>
      </c>
      <c r="E17" s="577" t="s">
        <v>0</v>
      </c>
      <c r="F17" s="578">
        <v>41423</v>
      </c>
      <c r="G17" s="579">
        <v>41423</v>
      </c>
      <c r="H17" s="580"/>
    </row>
    <row r="18" spans="1:8" s="581" customFormat="1" ht="23.1" hidden="1" customHeight="1">
      <c r="A18" s="575"/>
      <c r="B18" s="576"/>
      <c r="C18" s="1136"/>
      <c r="D18" s="1199"/>
      <c r="E18" s="507" t="s">
        <v>1</v>
      </c>
      <c r="F18" s="578">
        <v>0</v>
      </c>
      <c r="G18" s="579">
        <v>0</v>
      </c>
      <c r="H18" s="580"/>
    </row>
    <row r="19" spans="1:8" s="581" customFormat="1" ht="23.1" hidden="1" customHeight="1">
      <c r="A19" s="575"/>
      <c r="B19" s="576"/>
      <c r="C19" s="1137"/>
      <c r="D19" s="1200"/>
      <c r="E19" s="507" t="s">
        <v>2</v>
      </c>
      <c r="F19" s="578">
        <f>F17+F18</f>
        <v>41423</v>
      </c>
      <c r="G19" s="578">
        <f>G17+G18</f>
        <v>41423</v>
      </c>
      <c r="H19" s="580"/>
    </row>
    <row r="20" spans="1:8" s="581" customFormat="1" ht="18" hidden="1" customHeight="1">
      <c r="A20" s="575"/>
      <c r="B20" s="576"/>
      <c r="C20" s="1231" t="s">
        <v>1205</v>
      </c>
      <c r="D20" s="1232" t="s">
        <v>980</v>
      </c>
      <c r="E20" s="577" t="s">
        <v>0</v>
      </c>
      <c r="F20" s="578">
        <v>1315695</v>
      </c>
      <c r="G20" s="579">
        <v>1315695</v>
      </c>
      <c r="H20" s="580"/>
    </row>
    <row r="21" spans="1:8" s="581" customFormat="1" ht="18" hidden="1" customHeight="1">
      <c r="A21" s="575"/>
      <c r="B21" s="576"/>
      <c r="C21" s="1136"/>
      <c r="D21" s="1199"/>
      <c r="E21" s="507" t="s">
        <v>1</v>
      </c>
      <c r="F21" s="578">
        <v>0</v>
      </c>
      <c r="G21" s="579">
        <v>0</v>
      </c>
      <c r="H21" s="580"/>
    </row>
    <row r="22" spans="1:8" s="581" customFormat="1" ht="18" hidden="1" customHeight="1">
      <c r="A22" s="575"/>
      <c r="B22" s="576"/>
      <c r="C22" s="1137"/>
      <c r="D22" s="1200"/>
      <c r="E22" s="507" t="s">
        <v>2</v>
      </c>
      <c r="F22" s="578">
        <f>F20+F21</f>
        <v>1315695</v>
      </c>
      <c r="G22" s="578">
        <f>G20+G21</f>
        <v>1315695</v>
      </c>
      <c r="H22" s="580"/>
    </row>
    <row r="23" spans="1:8" s="581" customFormat="1" ht="23.1" hidden="1" customHeight="1">
      <c r="A23" s="575"/>
      <c r="B23" s="576"/>
      <c r="C23" s="1231" t="s">
        <v>1206</v>
      </c>
      <c r="D23" s="1232" t="s">
        <v>980</v>
      </c>
      <c r="E23" s="577" t="s">
        <v>0</v>
      </c>
      <c r="F23" s="578">
        <v>248710</v>
      </c>
      <c r="G23" s="579">
        <v>248710</v>
      </c>
      <c r="H23" s="580"/>
    </row>
    <row r="24" spans="1:8" s="581" customFormat="1" ht="23.1" hidden="1" customHeight="1">
      <c r="A24" s="575"/>
      <c r="B24" s="576"/>
      <c r="C24" s="1136"/>
      <c r="D24" s="1199"/>
      <c r="E24" s="507" t="s">
        <v>1</v>
      </c>
      <c r="F24" s="578">
        <v>0</v>
      </c>
      <c r="G24" s="579">
        <v>0</v>
      </c>
      <c r="H24" s="580"/>
    </row>
    <row r="25" spans="1:8" s="581" customFormat="1" ht="23.1" hidden="1" customHeight="1">
      <c r="A25" s="575"/>
      <c r="B25" s="576"/>
      <c r="C25" s="1137"/>
      <c r="D25" s="1200"/>
      <c r="E25" s="507" t="s">
        <v>2</v>
      </c>
      <c r="F25" s="578">
        <f>F23+F24</f>
        <v>248710</v>
      </c>
      <c r="G25" s="578">
        <f>G23+G24</f>
        <v>248710</v>
      </c>
      <c r="H25" s="580"/>
    </row>
    <row r="26" spans="1:8" s="581" customFormat="1" ht="18" customHeight="1">
      <c r="A26" s="575">
        <v>600</v>
      </c>
      <c r="B26" s="582">
        <v>60013</v>
      </c>
      <c r="C26" s="1231" t="s">
        <v>1207</v>
      </c>
      <c r="D26" s="1232" t="s">
        <v>1208</v>
      </c>
      <c r="E26" s="583" t="s">
        <v>0</v>
      </c>
      <c r="F26" s="578">
        <v>807485</v>
      </c>
      <c r="G26" s="579">
        <v>13707485</v>
      </c>
      <c r="H26" s="580"/>
    </row>
    <row r="27" spans="1:8" s="581" customFormat="1" ht="18" customHeight="1">
      <c r="A27" s="575"/>
      <c r="B27" s="576"/>
      <c r="C27" s="1234"/>
      <c r="D27" s="1236"/>
      <c r="E27" s="507" t="s">
        <v>1</v>
      </c>
      <c r="F27" s="578">
        <v>21545</v>
      </c>
      <c r="G27" s="579">
        <v>-1678455</v>
      </c>
      <c r="H27" s="580"/>
    </row>
    <row r="28" spans="1:8" s="581" customFormat="1" ht="18" customHeight="1">
      <c r="A28" s="575"/>
      <c r="B28" s="576"/>
      <c r="C28" s="1235"/>
      <c r="D28" s="1237"/>
      <c r="E28" s="507" t="s">
        <v>2</v>
      </c>
      <c r="F28" s="578">
        <f>F26+F27</f>
        <v>829030</v>
      </c>
      <c r="G28" s="578">
        <f>G26+G27</f>
        <v>12029030</v>
      </c>
      <c r="H28" s="580"/>
    </row>
    <row r="29" spans="1:8" s="581" customFormat="1" ht="15" customHeight="1">
      <c r="A29" s="584"/>
      <c r="B29" s="576"/>
      <c r="C29" s="1231" t="s">
        <v>1209</v>
      </c>
      <c r="D29" s="1232" t="s">
        <v>554</v>
      </c>
      <c r="E29" s="583" t="s">
        <v>0</v>
      </c>
      <c r="F29" s="578">
        <v>2818750</v>
      </c>
      <c r="G29" s="579">
        <v>11538750</v>
      </c>
      <c r="H29" s="580"/>
    </row>
    <row r="30" spans="1:8" s="581" customFormat="1" ht="15" customHeight="1">
      <c r="A30" s="584"/>
      <c r="B30" s="576"/>
      <c r="C30" s="1136"/>
      <c r="D30" s="1199"/>
      <c r="E30" s="507" t="s">
        <v>1</v>
      </c>
      <c r="F30" s="578">
        <v>0</v>
      </c>
      <c r="G30" s="579">
        <v>-8720000</v>
      </c>
      <c r="H30" s="580"/>
    </row>
    <row r="31" spans="1:8" s="581" customFormat="1" ht="15" customHeight="1">
      <c r="A31" s="584"/>
      <c r="B31" s="576"/>
      <c r="C31" s="1137"/>
      <c r="D31" s="1200"/>
      <c r="E31" s="507" t="s">
        <v>2</v>
      </c>
      <c r="F31" s="578">
        <f>F29+F30</f>
        <v>2818750</v>
      </c>
      <c r="G31" s="578">
        <f>G29+G30</f>
        <v>2818750</v>
      </c>
      <c r="H31" s="580"/>
    </row>
    <row r="32" spans="1:8" s="581" customFormat="1" ht="20.100000000000001" customHeight="1">
      <c r="A32" s="575"/>
      <c r="B32" s="576"/>
      <c r="C32" s="1231" t="s">
        <v>1210</v>
      </c>
      <c r="D32" s="1232" t="s">
        <v>565</v>
      </c>
      <c r="E32" s="583" t="s">
        <v>0</v>
      </c>
      <c r="F32" s="578">
        <v>316417</v>
      </c>
      <c r="G32" s="579">
        <v>421889</v>
      </c>
      <c r="H32" s="580"/>
    </row>
    <row r="33" spans="1:10" s="581" customFormat="1" ht="20.100000000000001" customHeight="1">
      <c r="A33" s="575"/>
      <c r="B33" s="576"/>
      <c r="C33" s="1136"/>
      <c r="D33" s="1199"/>
      <c r="E33" s="507" t="s">
        <v>1</v>
      </c>
      <c r="F33" s="578">
        <v>216788</v>
      </c>
      <c r="G33" s="579">
        <v>111316</v>
      </c>
      <c r="H33" s="580"/>
    </row>
    <row r="34" spans="1:10" s="581" customFormat="1" ht="20.100000000000001" customHeight="1">
      <c r="A34" s="575"/>
      <c r="B34" s="576"/>
      <c r="C34" s="1137"/>
      <c r="D34" s="1200"/>
      <c r="E34" s="507" t="s">
        <v>2</v>
      </c>
      <c r="F34" s="578">
        <f>F32+F33</f>
        <v>533205</v>
      </c>
      <c r="G34" s="578">
        <f>G32+G33</f>
        <v>533205</v>
      </c>
      <c r="H34" s="580"/>
    </row>
    <row r="35" spans="1:10" s="581" customFormat="1" ht="15" customHeight="1">
      <c r="A35" s="584"/>
      <c r="B35" s="576"/>
      <c r="C35" s="1231" t="s">
        <v>1211</v>
      </c>
      <c r="D35" s="1232" t="s">
        <v>1212</v>
      </c>
      <c r="E35" s="583" t="s">
        <v>0</v>
      </c>
      <c r="F35" s="578">
        <v>2000000</v>
      </c>
      <c r="G35" s="579">
        <v>5000000</v>
      </c>
      <c r="H35" s="580"/>
    </row>
    <row r="36" spans="1:10" s="581" customFormat="1" ht="15" customHeight="1">
      <c r="A36" s="584"/>
      <c r="B36" s="576"/>
      <c r="C36" s="1136"/>
      <c r="D36" s="1199"/>
      <c r="E36" s="507" t="s">
        <v>1</v>
      </c>
      <c r="F36" s="578">
        <v>0</v>
      </c>
      <c r="G36" s="579">
        <v>550000</v>
      </c>
      <c r="H36" s="580"/>
    </row>
    <row r="37" spans="1:10" s="581" customFormat="1" ht="15" customHeight="1">
      <c r="A37" s="584"/>
      <c r="B37" s="576"/>
      <c r="C37" s="1137"/>
      <c r="D37" s="1200"/>
      <c r="E37" s="507" t="s">
        <v>2</v>
      </c>
      <c r="F37" s="578">
        <f>F35+F36</f>
        <v>2000000</v>
      </c>
      <c r="G37" s="578">
        <f>G35+G36</f>
        <v>5550000</v>
      </c>
      <c r="H37" s="580"/>
    </row>
    <row r="38" spans="1:10" s="480" customFormat="1" ht="18.95" hidden="1" customHeight="1">
      <c r="A38" s="1233"/>
      <c r="B38" s="1233"/>
      <c r="C38" s="1231" t="s">
        <v>1213</v>
      </c>
      <c r="D38" s="1198" t="s">
        <v>1214</v>
      </c>
      <c r="E38" s="585" t="s">
        <v>0</v>
      </c>
      <c r="F38" s="586">
        <v>60000</v>
      </c>
      <c r="G38" s="587">
        <v>60000</v>
      </c>
      <c r="H38" s="559"/>
    </row>
    <row r="39" spans="1:10" s="480" customFormat="1" ht="18.95" hidden="1" customHeight="1">
      <c r="A39" s="1233"/>
      <c r="B39" s="1233"/>
      <c r="C39" s="1136"/>
      <c r="D39" s="1222"/>
      <c r="E39" s="585" t="s">
        <v>1</v>
      </c>
      <c r="F39" s="586">
        <v>0</v>
      </c>
      <c r="G39" s="587">
        <v>0</v>
      </c>
      <c r="H39" s="559"/>
      <c r="J39" s="588"/>
    </row>
    <row r="40" spans="1:10" s="480" customFormat="1" ht="18.95" hidden="1" customHeight="1">
      <c r="A40" s="1233"/>
      <c r="B40" s="1233"/>
      <c r="C40" s="1137"/>
      <c r="D40" s="1223"/>
      <c r="E40" s="585" t="s">
        <v>2</v>
      </c>
      <c r="F40" s="586">
        <f>F38+F39</f>
        <v>60000</v>
      </c>
      <c r="G40" s="587">
        <f>G38+G39</f>
        <v>60000</v>
      </c>
      <c r="H40" s="559"/>
    </row>
    <row r="41" spans="1:10" s="480" customFormat="1" ht="18.95" hidden="1" customHeight="1">
      <c r="A41" s="1233"/>
      <c r="B41" s="1233"/>
      <c r="C41" s="1231" t="s">
        <v>1215</v>
      </c>
      <c r="D41" s="1198" t="s">
        <v>1216</v>
      </c>
      <c r="E41" s="585" t="s">
        <v>0</v>
      </c>
      <c r="F41" s="586">
        <v>462629</v>
      </c>
      <c r="G41" s="587">
        <v>462629</v>
      </c>
      <c r="H41" s="559"/>
    </row>
    <row r="42" spans="1:10" s="480" customFormat="1" ht="18.95" hidden="1" customHeight="1">
      <c r="A42" s="1233"/>
      <c r="B42" s="1233"/>
      <c r="C42" s="1136"/>
      <c r="D42" s="1222"/>
      <c r="E42" s="585" t="s">
        <v>1</v>
      </c>
      <c r="F42" s="586">
        <v>0</v>
      </c>
      <c r="G42" s="587">
        <v>0</v>
      </c>
      <c r="H42" s="559"/>
      <c r="J42" s="588"/>
    </row>
    <row r="43" spans="1:10" s="480" customFormat="1" ht="18.95" hidden="1" customHeight="1">
      <c r="A43" s="1233"/>
      <c r="B43" s="1233"/>
      <c r="C43" s="1137"/>
      <c r="D43" s="1223"/>
      <c r="E43" s="585" t="s">
        <v>2</v>
      </c>
      <c r="F43" s="586">
        <f>F41+F42</f>
        <v>462629</v>
      </c>
      <c r="G43" s="587">
        <f>G41+G42</f>
        <v>462629</v>
      </c>
      <c r="H43" s="559"/>
    </row>
    <row r="44" spans="1:10" s="480" customFormat="1" ht="18.95" hidden="1" customHeight="1">
      <c r="A44" s="1233"/>
      <c r="B44" s="1233"/>
      <c r="C44" s="1231" t="s">
        <v>1217</v>
      </c>
      <c r="D44" s="1198" t="s">
        <v>1218</v>
      </c>
      <c r="E44" s="585" t="s">
        <v>0</v>
      </c>
      <c r="F44" s="586">
        <v>30295</v>
      </c>
      <c r="G44" s="587">
        <v>30295</v>
      </c>
      <c r="H44" s="559"/>
    </row>
    <row r="45" spans="1:10" s="480" customFormat="1" ht="18.95" hidden="1" customHeight="1">
      <c r="A45" s="1233"/>
      <c r="B45" s="1233"/>
      <c r="C45" s="1136"/>
      <c r="D45" s="1222"/>
      <c r="E45" s="585" t="s">
        <v>1</v>
      </c>
      <c r="F45" s="586">
        <v>0</v>
      </c>
      <c r="G45" s="587">
        <v>0</v>
      </c>
      <c r="H45" s="559"/>
      <c r="J45" s="588"/>
    </row>
    <row r="46" spans="1:10" s="480" customFormat="1" ht="18.95" hidden="1" customHeight="1">
      <c r="A46" s="1233"/>
      <c r="B46" s="1233"/>
      <c r="C46" s="1137"/>
      <c r="D46" s="1223"/>
      <c r="E46" s="585" t="s">
        <v>2</v>
      </c>
      <c r="F46" s="586">
        <f>F44+F45</f>
        <v>30295</v>
      </c>
      <c r="G46" s="587">
        <f>G44+G45</f>
        <v>30295</v>
      </c>
      <c r="H46" s="559"/>
    </row>
    <row r="47" spans="1:10" s="480" customFormat="1" ht="18.95" hidden="1" customHeight="1">
      <c r="A47" s="1233"/>
      <c r="B47" s="1233"/>
      <c r="C47" s="1231" t="s">
        <v>1219</v>
      </c>
      <c r="D47" s="1198" t="s">
        <v>1220</v>
      </c>
      <c r="E47" s="585" t="s">
        <v>0</v>
      </c>
      <c r="F47" s="586">
        <v>2500</v>
      </c>
      <c r="G47" s="587">
        <v>2500</v>
      </c>
      <c r="H47" s="559"/>
    </row>
    <row r="48" spans="1:10" s="480" customFormat="1" ht="18.95" hidden="1" customHeight="1">
      <c r="A48" s="1233"/>
      <c r="B48" s="1233"/>
      <c r="C48" s="1136"/>
      <c r="D48" s="1222"/>
      <c r="E48" s="585" t="s">
        <v>1</v>
      </c>
      <c r="F48" s="586">
        <v>0</v>
      </c>
      <c r="G48" s="587">
        <v>0</v>
      </c>
      <c r="H48" s="559"/>
      <c r="J48" s="588"/>
    </row>
    <row r="49" spans="1:10" s="480" customFormat="1" ht="18.95" hidden="1" customHeight="1">
      <c r="A49" s="1233"/>
      <c r="B49" s="1233"/>
      <c r="C49" s="1137"/>
      <c r="D49" s="1223"/>
      <c r="E49" s="585" t="s">
        <v>2</v>
      </c>
      <c r="F49" s="586">
        <f>F47+F48</f>
        <v>2500</v>
      </c>
      <c r="G49" s="587">
        <f>G47+G48</f>
        <v>2500</v>
      </c>
      <c r="H49" s="559"/>
    </row>
    <row r="50" spans="1:10" s="480" customFormat="1" ht="18.95" hidden="1" customHeight="1">
      <c r="A50" s="1233"/>
      <c r="B50" s="1233"/>
      <c r="C50" s="1231" t="s">
        <v>1219</v>
      </c>
      <c r="D50" s="1198" t="s">
        <v>1221</v>
      </c>
      <c r="E50" s="585" t="s">
        <v>0</v>
      </c>
      <c r="F50" s="586">
        <v>300000</v>
      </c>
      <c r="G50" s="587">
        <v>300000</v>
      </c>
      <c r="H50" s="559"/>
    </row>
    <row r="51" spans="1:10" s="480" customFormat="1" ht="18.95" hidden="1" customHeight="1">
      <c r="A51" s="1233"/>
      <c r="B51" s="1233"/>
      <c r="C51" s="1136"/>
      <c r="D51" s="1222"/>
      <c r="E51" s="585" t="s">
        <v>1</v>
      </c>
      <c r="F51" s="586">
        <v>0</v>
      </c>
      <c r="G51" s="587">
        <v>0</v>
      </c>
      <c r="H51" s="559"/>
      <c r="J51" s="588"/>
    </row>
    <row r="52" spans="1:10" s="480" customFormat="1" ht="18.95" hidden="1" customHeight="1">
      <c r="A52" s="1233"/>
      <c r="B52" s="1233"/>
      <c r="C52" s="1137"/>
      <c r="D52" s="1223"/>
      <c r="E52" s="585" t="s">
        <v>2</v>
      </c>
      <c r="F52" s="586">
        <f>F50+F51</f>
        <v>300000</v>
      </c>
      <c r="G52" s="587">
        <f>G50+G51</f>
        <v>300000</v>
      </c>
      <c r="H52" s="559"/>
    </row>
    <row r="53" spans="1:10" s="480" customFormat="1" ht="15" hidden="1" customHeight="1">
      <c r="A53" s="1233"/>
      <c r="B53" s="1233"/>
      <c r="C53" s="1231" t="s">
        <v>1222</v>
      </c>
      <c r="D53" s="1198" t="s">
        <v>1223</v>
      </c>
      <c r="E53" s="585" t="s">
        <v>0</v>
      </c>
      <c r="F53" s="586">
        <v>75400</v>
      </c>
      <c r="G53" s="587">
        <v>75400</v>
      </c>
      <c r="H53" s="559"/>
    </row>
    <row r="54" spans="1:10" s="480" customFormat="1" ht="15" hidden="1" customHeight="1">
      <c r="A54" s="1233"/>
      <c r="B54" s="1233"/>
      <c r="C54" s="1136"/>
      <c r="D54" s="1222"/>
      <c r="E54" s="585" t="s">
        <v>1</v>
      </c>
      <c r="F54" s="586">
        <v>0</v>
      </c>
      <c r="G54" s="587">
        <v>0</v>
      </c>
      <c r="H54" s="559"/>
      <c r="J54" s="588"/>
    </row>
    <row r="55" spans="1:10" s="480" customFormat="1" ht="15" hidden="1" customHeight="1">
      <c r="A55" s="1233"/>
      <c r="B55" s="1233"/>
      <c r="C55" s="1137"/>
      <c r="D55" s="1223"/>
      <c r="E55" s="585" t="s">
        <v>2</v>
      </c>
      <c r="F55" s="586">
        <f>F53+F54</f>
        <v>75400</v>
      </c>
      <c r="G55" s="587">
        <f>G53+G54</f>
        <v>75400</v>
      </c>
      <c r="H55" s="559"/>
    </row>
    <row r="56" spans="1:10" s="480" customFormat="1" ht="15" hidden="1" customHeight="1">
      <c r="A56" s="1233"/>
      <c r="B56" s="1233"/>
      <c r="C56" s="1231" t="s">
        <v>1224</v>
      </c>
      <c r="D56" s="1198" t="s">
        <v>1225</v>
      </c>
      <c r="E56" s="585" t="s">
        <v>0</v>
      </c>
      <c r="F56" s="586">
        <v>20000</v>
      </c>
      <c r="G56" s="587">
        <v>20000</v>
      </c>
      <c r="H56" s="559"/>
    </row>
    <row r="57" spans="1:10" s="480" customFormat="1" ht="15" hidden="1" customHeight="1">
      <c r="A57" s="1233"/>
      <c r="B57" s="1233"/>
      <c r="C57" s="1136"/>
      <c r="D57" s="1222"/>
      <c r="E57" s="585" t="s">
        <v>1</v>
      </c>
      <c r="F57" s="586">
        <v>0</v>
      </c>
      <c r="G57" s="587">
        <v>0</v>
      </c>
      <c r="H57" s="559"/>
      <c r="J57" s="588"/>
    </row>
    <row r="58" spans="1:10" s="480" customFormat="1" ht="15" hidden="1" customHeight="1">
      <c r="A58" s="1233"/>
      <c r="B58" s="1233"/>
      <c r="C58" s="1137"/>
      <c r="D58" s="1223"/>
      <c r="E58" s="585" t="s">
        <v>2</v>
      </c>
      <c r="F58" s="586">
        <f>F56+F57</f>
        <v>20000</v>
      </c>
      <c r="G58" s="587">
        <f>G56+G57</f>
        <v>20000</v>
      </c>
      <c r="H58" s="559"/>
    </row>
    <row r="59" spans="1:10" s="480" customFormat="1" ht="15" hidden="1" customHeight="1">
      <c r="A59" s="1233"/>
      <c r="B59" s="1233"/>
      <c r="C59" s="1231" t="s">
        <v>1224</v>
      </c>
      <c r="D59" s="1198" t="s">
        <v>1226</v>
      </c>
      <c r="E59" s="585" t="s">
        <v>0</v>
      </c>
      <c r="F59" s="586">
        <v>20000</v>
      </c>
      <c r="G59" s="587">
        <v>20000</v>
      </c>
      <c r="H59" s="559"/>
    </row>
    <row r="60" spans="1:10" s="480" customFormat="1" ht="15" hidden="1" customHeight="1">
      <c r="A60" s="1233"/>
      <c r="B60" s="1233"/>
      <c r="C60" s="1136"/>
      <c r="D60" s="1222"/>
      <c r="E60" s="585" t="s">
        <v>1</v>
      </c>
      <c r="F60" s="586">
        <v>0</v>
      </c>
      <c r="G60" s="587">
        <v>0</v>
      </c>
      <c r="H60" s="559"/>
      <c r="J60" s="588"/>
    </row>
    <row r="61" spans="1:10" s="480" customFormat="1" ht="15" hidden="1" customHeight="1">
      <c r="A61" s="1233"/>
      <c r="B61" s="1233"/>
      <c r="C61" s="1137"/>
      <c r="D61" s="1223"/>
      <c r="E61" s="585" t="s">
        <v>2</v>
      </c>
      <c r="F61" s="586">
        <f>F59+F60</f>
        <v>20000</v>
      </c>
      <c r="G61" s="587">
        <f>G59+G60</f>
        <v>20000</v>
      </c>
      <c r="H61" s="559"/>
    </row>
    <row r="62" spans="1:10" s="480" customFormat="1" ht="21.95" hidden="1" customHeight="1">
      <c r="A62" s="1233"/>
      <c r="B62" s="1233"/>
      <c r="C62" s="1231" t="s">
        <v>1227</v>
      </c>
      <c r="D62" s="1198" t="s">
        <v>1228</v>
      </c>
      <c r="E62" s="585" t="s">
        <v>0</v>
      </c>
      <c r="F62" s="586">
        <v>175595</v>
      </c>
      <c r="G62" s="587">
        <v>175595</v>
      </c>
      <c r="H62" s="559"/>
    </row>
    <row r="63" spans="1:10" s="480" customFormat="1" ht="21.95" hidden="1" customHeight="1">
      <c r="A63" s="1233"/>
      <c r="B63" s="1233"/>
      <c r="C63" s="1136"/>
      <c r="D63" s="1222"/>
      <c r="E63" s="585" t="s">
        <v>1</v>
      </c>
      <c r="F63" s="586">
        <v>0</v>
      </c>
      <c r="G63" s="587">
        <v>0</v>
      </c>
      <c r="H63" s="559"/>
      <c r="J63" s="588"/>
    </row>
    <row r="64" spans="1:10" s="480" customFormat="1" ht="21.95" hidden="1" customHeight="1">
      <c r="A64" s="1233"/>
      <c r="B64" s="1233"/>
      <c r="C64" s="1137"/>
      <c r="D64" s="1223"/>
      <c r="E64" s="585" t="s">
        <v>2</v>
      </c>
      <c r="F64" s="586">
        <f>F62+F63</f>
        <v>175595</v>
      </c>
      <c r="G64" s="587">
        <f>G62+G63</f>
        <v>175595</v>
      </c>
      <c r="H64" s="559"/>
    </row>
    <row r="65" spans="1:10" s="480" customFormat="1" ht="18.95" customHeight="1">
      <c r="A65" s="1233"/>
      <c r="B65" s="1233"/>
      <c r="C65" s="1231" t="s">
        <v>1229</v>
      </c>
      <c r="D65" s="1198" t="s">
        <v>1230</v>
      </c>
      <c r="E65" s="585" t="s">
        <v>0</v>
      </c>
      <c r="F65" s="586">
        <v>0</v>
      </c>
      <c r="G65" s="587">
        <v>0</v>
      </c>
      <c r="H65" s="559"/>
    </row>
    <row r="66" spans="1:10" s="480" customFormat="1" ht="18.95" customHeight="1">
      <c r="A66" s="1233"/>
      <c r="B66" s="1233"/>
      <c r="C66" s="1136"/>
      <c r="D66" s="1222"/>
      <c r="E66" s="585" t="s">
        <v>1</v>
      </c>
      <c r="F66" s="586">
        <v>230513</v>
      </c>
      <c r="G66" s="587">
        <v>230513</v>
      </c>
      <c r="H66" s="559"/>
      <c r="J66" s="588"/>
    </row>
    <row r="67" spans="1:10" s="480" customFormat="1" ht="18.95" customHeight="1">
      <c r="A67" s="1233"/>
      <c r="B67" s="1233"/>
      <c r="C67" s="1137"/>
      <c r="D67" s="1223"/>
      <c r="E67" s="585" t="s">
        <v>2</v>
      </c>
      <c r="F67" s="586">
        <f>F65+F66</f>
        <v>230513</v>
      </c>
      <c r="G67" s="587">
        <f>G65+G66</f>
        <v>230513</v>
      </c>
      <c r="H67" s="559"/>
    </row>
    <row r="68" spans="1:10" s="581" customFormat="1" ht="18.95" customHeight="1">
      <c r="A68" s="584"/>
      <c r="B68" s="576"/>
      <c r="C68" s="1231" t="s">
        <v>1209</v>
      </c>
      <c r="D68" s="1232" t="s">
        <v>1231</v>
      </c>
      <c r="E68" s="583" t="s">
        <v>0</v>
      </c>
      <c r="F68" s="578">
        <v>0</v>
      </c>
      <c r="G68" s="579">
        <v>0</v>
      </c>
      <c r="H68" s="580"/>
    </row>
    <row r="69" spans="1:10" s="581" customFormat="1" ht="18.95" customHeight="1">
      <c r="A69" s="584"/>
      <c r="B69" s="576"/>
      <c r="C69" s="1227"/>
      <c r="D69" s="1222"/>
      <c r="E69" s="583" t="s">
        <v>1</v>
      </c>
      <c r="F69" s="578">
        <v>201215</v>
      </c>
      <c r="G69" s="579">
        <v>201215</v>
      </c>
      <c r="H69" s="580"/>
    </row>
    <row r="70" spans="1:10" s="581" customFormat="1" ht="18.95" customHeight="1">
      <c r="A70" s="584"/>
      <c r="B70" s="576"/>
      <c r="C70" s="1228"/>
      <c r="D70" s="1223"/>
      <c r="E70" s="583" t="s">
        <v>2</v>
      </c>
      <c r="F70" s="578">
        <f>F68+F69</f>
        <v>201215</v>
      </c>
      <c r="G70" s="578">
        <f>G68+G69</f>
        <v>201215</v>
      </c>
      <c r="H70" s="580"/>
    </row>
    <row r="71" spans="1:10" s="581" customFormat="1" ht="18" customHeight="1">
      <c r="A71" s="584"/>
      <c r="B71" s="584"/>
      <c r="C71" s="1231" t="s">
        <v>1229</v>
      </c>
      <c r="D71" s="1232" t="s">
        <v>1232</v>
      </c>
      <c r="E71" s="583" t="s">
        <v>0</v>
      </c>
      <c r="F71" s="578">
        <v>0</v>
      </c>
      <c r="G71" s="579">
        <v>0</v>
      </c>
      <c r="H71" s="580"/>
    </row>
    <row r="72" spans="1:10" s="581" customFormat="1" ht="18" customHeight="1">
      <c r="A72" s="584"/>
      <c r="B72" s="584"/>
      <c r="C72" s="1136"/>
      <c r="D72" s="1199"/>
      <c r="E72" s="507" t="s">
        <v>1</v>
      </c>
      <c r="F72" s="578">
        <v>76729</v>
      </c>
      <c r="G72" s="579">
        <v>9631826</v>
      </c>
      <c r="H72" s="580"/>
    </row>
    <row r="73" spans="1:10" s="581" customFormat="1" ht="18" customHeight="1">
      <c r="A73" s="584"/>
      <c r="B73" s="584"/>
      <c r="C73" s="1137"/>
      <c r="D73" s="1200"/>
      <c r="E73" s="507" t="s">
        <v>2</v>
      </c>
      <c r="F73" s="578">
        <f>F71+F72</f>
        <v>76729</v>
      </c>
      <c r="G73" s="578">
        <f>G71+G72</f>
        <v>9631826</v>
      </c>
      <c r="H73" s="580"/>
    </row>
    <row r="74" spans="1:10" s="581" customFormat="1" ht="21.95" hidden="1" customHeight="1">
      <c r="A74" s="584"/>
      <c r="B74" s="584"/>
      <c r="C74" s="1231" t="s">
        <v>1215</v>
      </c>
      <c r="D74" s="1232" t="s">
        <v>1233</v>
      </c>
      <c r="E74" s="583" t="s">
        <v>0</v>
      </c>
      <c r="F74" s="578">
        <v>1887997</v>
      </c>
      <c r="G74" s="579">
        <v>35034670</v>
      </c>
      <c r="H74" s="580"/>
    </row>
    <row r="75" spans="1:10" s="581" customFormat="1" ht="21.95" hidden="1" customHeight="1">
      <c r="A75" s="584"/>
      <c r="B75" s="584"/>
      <c r="C75" s="1136"/>
      <c r="D75" s="1199"/>
      <c r="E75" s="507" t="s">
        <v>1</v>
      </c>
      <c r="F75" s="578">
        <v>0</v>
      </c>
      <c r="G75" s="579">
        <v>0</v>
      </c>
      <c r="H75" s="580"/>
    </row>
    <row r="76" spans="1:10" s="581" customFormat="1" ht="21.95" hidden="1" customHeight="1">
      <c r="A76" s="584"/>
      <c r="B76" s="584"/>
      <c r="C76" s="1137"/>
      <c r="D76" s="1200"/>
      <c r="E76" s="507" t="s">
        <v>2</v>
      </c>
      <c r="F76" s="578">
        <f>F74+F75</f>
        <v>1887997</v>
      </c>
      <c r="G76" s="578">
        <f>G74+G75</f>
        <v>35034670</v>
      </c>
      <c r="H76" s="580"/>
    </row>
    <row r="77" spans="1:10" s="581" customFormat="1" ht="18" customHeight="1">
      <c r="A77" s="575"/>
      <c r="B77" s="576"/>
      <c r="C77" s="1231" t="s">
        <v>1234</v>
      </c>
      <c r="D77" s="1232" t="s">
        <v>576</v>
      </c>
      <c r="E77" s="583" t="s">
        <v>0</v>
      </c>
      <c r="F77" s="578">
        <v>0</v>
      </c>
      <c r="G77" s="579">
        <v>0</v>
      </c>
      <c r="H77" s="580"/>
    </row>
    <row r="78" spans="1:10" s="581" customFormat="1" ht="18" customHeight="1">
      <c r="A78" s="584"/>
      <c r="B78" s="576"/>
      <c r="C78" s="1136"/>
      <c r="D78" s="1199"/>
      <c r="E78" s="507" t="s">
        <v>1</v>
      </c>
      <c r="F78" s="578">
        <v>276750</v>
      </c>
      <c r="G78" s="579">
        <v>487080</v>
      </c>
      <c r="H78" s="580"/>
    </row>
    <row r="79" spans="1:10" s="581" customFormat="1" ht="18" customHeight="1">
      <c r="A79" s="584"/>
      <c r="B79" s="576"/>
      <c r="C79" s="1137"/>
      <c r="D79" s="1200"/>
      <c r="E79" s="507" t="s">
        <v>2</v>
      </c>
      <c r="F79" s="578">
        <f>F77+F78</f>
        <v>276750</v>
      </c>
      <c r="G79" s="578">
        <f>G77+G78</f>
        <v>487080</v>
      </c>
      <c r="H79" s="580"/>
    </row>
    <row r="80" spans="1:10" s="581" customFormat="1" ht="18" customHeight="1">
      <c r="A80" s="575"/>
      <c r="B80" s="576"/>
      <c r="C80" s="1231" t="s">
        <v>1235</v>
      </c>
      <c r="D80" s="1232" t="s">
        <v>574</v>
      </c>
      <c r="E80" s="583" t="s">
        <v>0</v>
      </c>
      <c r="F80" s="578">
        <v>288893</v>
      </c>
      <c r="G80" s="579">
        <v>1788893</v>
      </c>
      <c r="H80" s="580"/>
    </row>
    <row r="81" spans="1:8" s="581" customFormat="1" ht="18" customHeight="1">
      <c r="A81" s="584"/>
      <c r="B81" s="576"/>
      <c r="C81" s="1136"/>
      <c r="D81" s="1199"/>
      <c r="E81" s="507" t="s">
        <v>1</v>
      </c>
      <c r="F81" s="578">
        <v>96293</v>
      </c>
      <c r="G81" s="579">
        <v>-1211114</v>
      </c>
      <c r="H81" s="580"/>
    </row>
    <row r="82" spans="1:8" s="581" customFormat="1" ht="18" customHeight="1">
      <c r="A82" s="584"/>
      <c r="B82" s="576"/>
      <c r="C82" s="1137"/>
      <c r="D82" s="1200"/>
      <c r="E82" s="507" t="s">
        <v>2</v>
      </c>
      <c r="F82" s="578">
        <f>F80+F81</f>
        <v>385186</v>
      </c>
      <c r="G82" s="578">
        <f>G80+G81</f>
        <v>577779</v>
      </c>
      <c r="H82" s="580"/>
    </row>
    <row r="83" spans="1:8" s="581" customFormat="1" ht="18" customHeight="1">
      <c r="A83" s="575"/>
      <c r="B83" s="576"/>
      <c r="C83" s="1231" t="s">
        <v>1236</v>
      </c>
      <c r="D83" s="1232" t="s">
        <v>579</v>
      </c>
      <c r="E83" s="583" t="s">
        <v>0</v>
      </c>
      <c r="F83" s="578">
        <v>0</v>
      </c>
      <c r="G83" s="579">
        <v>0</v>
      </c>
      <c r="H83" s="580"/>
    </row>
    <row r="84" spans="1:8" s="581" customFormat="1" ht="18" customHeight="1">
      <c r="A84" s="584"/>
      <c r="B84" s="576"/>
      <c r="C84" s="1136"/>
      <c r="D84" s="1199"/>
      <c r="E84" s="507" t="s">
        <v>1</v>
      </c>
      <c r="F84" s="578">
        <v>164000</v>
      </c>
      <c r="G84" s="579">
        <v>409180</v>
      </c>
      <c r="H84" s="580"/>
    </row>
    <row r="85" spans="1:8" s="581" customFormat="1" ht="18" customHeight="1">
      <c r="A85" s="584"/>
      <c r="B85" s="576"/>
      <c r="C85" s="1137"/>
      <c r="D85" s="1200"/>
      <c r="E85" s="507" t="s">
        <v>2</v>
      </c>
      <c r="F85" s="578">
        <f>F83+F84</f>
        <v>164000</v>
      </c>
      <c r="G85" s="578">
        <f>G83+G84</f>
        <v>409180</v>
      </c>
      <c r="H85" s="580"/>
    </row>
    <row r="86" spans="1:8" s="581" customFormat="1" ht="18" customHeight="1">
      <c r="A86" s="575"/>
      <c r="B86" s="576"/>
      <c r="C86" s="1231" t="s">
        <v>1237</v>
      </c>
      <c r="D86" s="1232" t="s">
        <v>578</v>
      </c>
      <c r="E86" s="583" t="s">
        <v>0</v>
      </c>
      <c r="F86" s="578">
        <v>0</v>
      </c>
      <c r="G86" s="579">
        <v>0</v>
      </c>
      <c r="H86" s="580"/>
    </row>
    <row r="87" spans="1:8" s="581" customFormat="1" ht="18" customHeight="1">
      <c r="A87" s="584"/>
      <c r="B87" s="576"/>
      <c r="C87" s="1136"/>
      <c r="D87" s="1199"/>
      <c r="E87" s="507" t="s">
        <v>1</v>
      </c>
      <c r="F87" s="578">
        <v>284130</v>
      </c>
      <c r="G87" s="579">
        <v>482567</v>
      </c>
      <c r="H87" s="580"/>
    </row>
    <row r="88" spans="1:8" s="581" customFormat="1" ht="18" customHeight="1">
      <c r="A88" s="584"/>
      <c r="B88" s="576"/>
      <c r="C88" s="1137"/>
      <c r="D88" s="1200"/>
      <c r="E88" s="507" t="s">
        <v>2</v>
      </c>
      <c r="F88" s="578">
        <f>F86+F87</f>
        <v>284130</v>
      </c>
      <c r="G88" s="578">
        <f>G86+G87</f>
        <v>482567</v>
      </c>
      <c r="H88" s="580"/>
    </row>
    <row r="89" spans="1:8" s="581" customFormat="1" ht="18" customHeight="1">
      <c r="A89" s="575"/>
      <c r="B89" s="576"/>
      <c r="C89" s="1231" t="s">
        <v>1238</v>
      </c>
      <c r="D89" s="1232" t="s">
        <v>575</v>
      </c>
      <c r="E89" s="583" t="s">
        <v>0</v>
      </c>
      <c r="F89" s="578">
        <v>0</v>
      </c>
      <c r="G89" s="579">
        <v>0</v>
      </c>
      <c r="H89" s="580"/>
    </row>
    <row r="90" spans="1:8" s="581" customFormat="1" ht="18" customHeight="1">
      <c r="A90" s="584"/>
      <c r="B90" s="576"/>
      <c r="C90" s="1136"/>
      <c r="D90" s="1199"/>
      <c r="E90" s="507" t="s">
        <v>1</v>
      </c>
      <c r="F90" s="578">
        <v>209100</v>
      </c>
      <c r="G90" s="579">
        <v>313650</v>
      </c>
      <c r="H90" s="580"/>
    </row>
    <row r="91" spans="1:8" s="581" customFormat="1" ht="18" customHeight="1">
      <c r="A91" s="584"/>
      <c r="B91" s="576"/>
      <c r="C91" s="1137"/>
      <c r="D91" s="1200"/>
      <c r="E91" s="507" t="s">
        <v>2</v>
      </c>
      <c r="F91" s="578">
        <f>F89+F90</f>
        <v>209100</v>
      </c>
      <c r="G91" s="578">
        <f>G89+G90</f>
        <v>313650</v>
      </c>
      <c r="H91" s="580"/>
    </row>
    <row r="92" spans="1:8" s="581" customFormat="1" ht="18" customHeight="1">
      <c r="A92" s="584"/>
      <c r="B92" s="576"/>
      <c r="C92" s="1231" t="s">
        <v>1239</v>
      </c>
      <c r="D92" s="1232" t="s">
        <v>581</v>
      </c>
      <c r="E92" s="583" t="s">
        <v>0</v>
      </c>
      <c r="F92" s="578">
        <v>0</v>
      </c>
      <c r="G92" s="579">
        <v>0</v>
      </c>
      <c r="H92" s="580"/>
    </row>
    <row r="93" spans="1:8" s="581" customFormat="1" ht="18" customHeight="1">
      <c r="A93" s="584"/>
      <c r="B93" s="576"/>
      <c r="C93" s="1136"/>
      <c r="D93" s="1199"/>
      <c r="E93" s="507" t="s">
        <v>1</v>
      </c>
      <c r="F93" s="578">
        <v>369923</v>
      </c>
      <c r="G93" s="579">
        <v>493231</v>
      </c>
      <c r="H93" s="580"/>
    </row>
    <row r="94" spans="1:8" s="581" customFormat="1" ht="18" customHeight="1">
      <c r="A94" s="584"/>
      <c r="B94" s="576"/>
      <c r="C94" s="1137"/>
      <c r="D94" s="1200"/>
      <c r="E94" s="507" t="s">
        <v>2</v>
      </c>
      <c r="F94" s="578">
        <f>F92+F93</f>
        <v>369923</v>
      </c>
      <c r="G94" s="578">
        <f>G92+G93</f>
        <v>493231</v>
      </c>
      <c r="H94" s="580"/>
    </row>
    <row r="95" spans="1:8" s="581" customFormat="1" ht="18" customHeight="1">
      <c r="A95" s="575"/>
      <c r="B95" s="576"/>
      <c r="C95" s="1231" t="s">
        <v>1240</v>
      </c>
      <c r="D95" s="1232" t="s">
        <v>580</v>
      </c>
      <c r="E95" s="583" t="s">
        <v>0</v>
      </c>
      <c r="F95" s="578">
        <v>0</v>
      </c>
      <c r="G95" s="579">
        <v>0</v>
      </c>
      <c r="H95" s="580"/>
    </row>
    <row r="96" spans="1:8" s="581" customFormat="1" ht="18" customHeight="1">
      <c r="A96" s="584"/>
      <c r="B96" s="576"/>
      <c r="C96" s="1136"/>
      <c r="D96" s="1199"/>
      <c r="E96" s="507" t="s">
        <v>1</v>
      </c>
      <c r="F96" s="578">
        <v>499689</v>
      </c>
      <c r="G96" s="579">
        <v>528902</v>
      </c>
      <c r="H96" s="580"/>
    </row>
    <row r="97" spans="1:8" s="581" customFormat="1" ht="18" customHeight="1">
      <c r="A97" s="589"/>
      <c r="B97" s="590"/>
      <c r="C97" s="1137"/>
      <c r="D97" s="1200"/>
      <c r="E97" s="507" t="s">
        <v>2</v>
      </c>
      <c r="F97" s="578">
        <f>F95+F96</f>
        <v>499689</v>
      </c>
      <c r="G97" s="578">
        <f>G95+G96</f>
        <v>528902</v>
      </c>
      <c r="H97" s="580"/>
    </row>
    <row r="98" spans="1:8" s="581" customFormat="1" ht="18" customHeight="1">
      <c r="A98" s="591"/>
      <c r="B98" s="582"/>
      <c r="C98" s="1231" t="s">
        <v>1241</v>
      </c>
      <c r="D98" s="1232" t="s">
        <v>1242</v>
      </c>
      <c r="E98" s="583" t="s">
        <v>0</v>
      </c>
      <c r="F98" s="578">
        <v>0</v>
      </c>
      <c r="G98" s="579">
        <v>0</v>
      </c>
      <c r="H98" s="580"/>
    </row>
    <row r="99" spans="1:8" s="581" customFormat="1" ht="18" customHeight="1">
      <c r="A99" s="584"/>
      <c r="B99" s="576"/>
      <c r="C99" s="1136"/>
      <c r="D99" s="1199"/>
      <c r="E99" s="507" t="s">
        <v>1</v>
      </c>
      <c r="F99" s="578">
        <v>600000</v>
      </c>
      <c r="G99" s="579">
        <v>1805820</v>
      </c>
      <c r="H99" s="580"/>
    </row>
    <row r="100" spans="1:8" s="581" customFormat="1" ht="18" customHeight="1">
      <c r="A100" s="584"/>
      <c r="B100" s="576"/>
      <c r="C100" s="1137"/>
      <c r="D100" s="1200"/>
      <c r="E100" s="507" t="s">
        <v>2</v>
      </c>
      <c r="F100" s="578">
        <f>F98+F99</f>
        <v>600000</v>
      </c>
      <c r="G100" s="578">
        <f>G98+G99</f>
        <v>1805820</v>
      </c>
      <c r="H100" s="580"/>
    </row>
    <row r="101" spans="1:8" s="581" customFormat="1" ht="40.5" customHeight="1">
      <c r="A101" s="584"/>
      <c r="B101" s="576"/>
      <c r="C101" s="1231" t="s">
        <v>1243</v>
      </c>
      <c r="D101" s="1232" t="s">
        <v>562</v>
      </c>
      <c r="E101" s="583" t="s">
        <v>0</v>
      </c>
      <c r="F101" s="578">
        <v>724880</v>
      </c>
      <c r="G101" s="579">
        <v>3807050</v>
      </c>
      <c r="H101" s="580"/>
    </row>
    <row r="102" spans="1:8" s="581" customFormat="1" ht="40.5" customHeight="1">
      <c r="A102" s="584"/>
      <c r="B102" s="576"/>
      <c r="C102" s="1136"/>
      <c r="D102" s="1199"/>
      <c r="E102" s="507" t="s">
        <v>1</v>
      </c>
      <c r="F102" s="578">
        <v>-608645</v>
      </c>
      <c r="G102" s="579">
        <v>-2823785</v>
      </c>
      <c r="H102" s="580"/>
    </row>
    <row r="103" spans="1:8" s="581" customFormat="1" ht="40.5" customHeight="1">
      <c r="A103" s="589"/>
      <c r="B103" s="590"/>
      <c r="C103" s="1137"/>
      <c r="D103" s="1200"/>
      <c r="E103" s="507" t="s">
        <v>2</v>
      </c>
      <c r="F103" s="578">
        <f>F101+F102</f>
        <v>116235</v>
      </c>
      <c r="G103" s="578">
        <f>G101+G102</f>
        <v>983265</v>
      </c>
      <c r="H103" s="580"/>
    </row>
    <row r="104" spans="1:8" s="480" customFormat="1" ht="15" hidden="1" customHeight="1">
      <c r="A104" s="555" t="s">
        <v>59</v>
      </c>
      <c r="B104" s="555" t="s">
        <v>267</v>
      </c>
      <c r="C104" s="1195" t="s">
        <v>1244</v>
      </c>
      <c r="D104" s="1198" t="s">
        <v>1245</v>
      </c>
      <c r="E104" s="556" t="s">
        <v>0</v>
      </c>
      <c r="F104" s="557">
        <v>850000</v>
      </c>
      <c r="G104" s="558">
        <v>850000</v>
      </c>
      <c r="H104" s="559"/>
    </row>
    <row r="105" spans="1:8" s="480" customFormat="1" ht="15" hidden="1" customHeight="1">
      <c r="A105" s="560"/>
      <c r="B105" s="560"/>
      <c r="C105" s="1136"/>
      <c r="D105" s="1199"/>
      <c r="E105" s="507" t="s">
        <v>1</v>
      </c>
      <c r="F105" s="557">
        <v>0</v>
      </c>
      <c r="G105" s="558">
        <v>0</v>
      </c>
      <c r="H105" s="559"/>
    </row>
    <row r="106" spans="1:8" s="480" customFormat="1" ht="15" hidden="1" customHeight="1">
      <c r="A106" s="561"/>
      <c r="B106" s="561"/>
      <c r="C106" s="1137"/>
      <c r="D106" s="1200"/>
      <c r="E106" s="507" t="s">
        <v>2</v>
      </c>
      <c r="F106" s="578">
        <f>F104+F105</f>
        <v>850000</v>
      </c>
      <c r="G106" s="578">
        <f>G104+G105</f>
        <v>850000</v>
      </c>
      <c r="H106" s="559"/>
    </row>
    <row r="107" spans="1:8" s="480" customFormat="1" ht="15" hidden="1" customHeight="1">
      <c r="A107" s="555" t="s">
        <v>25</v>
      </c>
      <c r="B107" s="555" t="s">
        <v>1082</v>
      </c>
      <c r="C107" s="1195" t="s">
        <v>1244</v>
      </c>
      <c r="D107" s="1198" t="s">
        <v>1246</v>
      </c>
      <c r="E107" s="556" t="s">
        <v>0</v>
      </c>
      <c r="F107" s="557">
        <v>77000</v>
      </c>
      <c r="G107" s="558">
        <v>455000</v>
      </c>
      <c r="H107" s="559"/>
    </row>
    <row r="108" spans="1:8" s="480" customFormat="1" ht="15" hidden="1" customHeight="1">
      <c r="A108" s="560"/>
      <c r="B108" s="560"/>
      <c r="C108" s="1136"/>
      <c r="D108" s="1199"/>
      <c r="E108" s="507" t="s">
        <v>1</v>
      </c>
      <c r="F108" s="557">
        <v>0</v>
      </c>
      <c r="G108" s="558">
        <v>0</v>
      </c>
      <c r="H108" s="559"/>
    </row>
    <row r="109" spans="1:8" s="480" customFormat="1" ht="15" hidden="1" customHeight="1">
      <c r="A109" s="560"/>
      <c r="B109" s="561"/>
      <c r="C109" s="1137"/>
      <c r="D109" s="1200"/>
      <c r="E109" s="507" t="s">
        <v>2</v>
      </c>
      <c r="F109" s="578">
        <f>F107+F108</f>
        <v>77000</v>
      </c>
      <c r="G109" s="578">
        <f>G107+G108</f>
        <v>455000</v>
      </c>
      <c r="H109" s="559"/>
    </row>
    <row r="110" spans="1:8" s="480" customFormat="1" ht="15" hidden="1" customHeight="1">
      <c r="A110" s="555" t="s">
        <v>67</v>
      </c>
      <c r="B110" s="1229" t="s">
        <v>1247</v>
      </c>
      <c r="C110" s="1195" t="s">
        <v>1248</v>
      </c>
      <c r="D110" s="1198" t="s">
        <v>1249</v>
      </c>
      <c r="E110" s="556" t="s">
        <v>0</v>
      </c>
      <c r="F110" s="557">
        <v>240000</v>
      </c>
      <c r="G110" s="558">
        <v>1090000</v>
      </c>
      <c r="H110" s="559"/>
    </row>
    <row r="111" spans="1:8" s="480" customFormat="1" ht="15" hidden="1" customHeight="1">
      <c r="A111" s="560"/>
      <c r="B111" s="1230"/>
      <c r="C111" s="1136"/>
      <c r="D111" s="1199"/>
      <c r="E111" s="507" t="s">
        <v>1</v>
      </c>
      <c r="F111" s="557">
        <v>0</v>
      </c>
      <c r="G111" s="558">
        <v>0</v>
      </c>
      <c r="H111" s="559"/>
    </row>
    <row r="112" spans="1:8" s="480" customFormat="1" ht="15" hidden="1" customHeight="1">
      <c r="A112" s="560"/>
      <c r="B112" s="1218"/>
      <c r="C112" s="1137"/>
      <c r="D112" s="1200"/>
      <c r="E112" s="507" t="s">
        <v>2</v>
      </c>
      <c r="F112" s="578">
        <f>F110+F111</f>
        <v>240000</v>
      </c>
      <c r="G112" s="578">
        <f>G110+G111</f>
        <v>1090000</v>
      </c>
      <c r="H112" s="559"/>
    </row>
    <row r="113" spans="1:8" s="480" customFormat="1" ht="15" hidden="1" customHeight="1">
      <c r="A113" s="560"/>
      <c r="B113" s="1229" t="s">
        <v>1247</v>
      </c>
      <c r="C113" s="1195" t="s">
        <v>1248</v>
      </c>
      <c r="D113" s="1198" t="s">
        <v>1250</v>
      </c>
      <c r="E113" s="556" t="s">
        <v>0</v>
      </c>
      <c r="F113" s="557">
        <v>200000</v>
      </c>
      <c r="G113" s="558">
        <v>800000</v>
      </c>
      <c r="H113" s="559"/>
    </row>
    <row r="114" spans="1:8" s="480" customFormat="1" ht="15" hidden="1" customHeight="1">
      <c r="A114" s="560"/>
      <c r="B114" s="1230"/>
      <c r="C114" s="1136"/>
      <c r="D114" s="1199"/>
      <c r="E114" s="507" t="s">
        <v>1</v>
      </c>
      <c r="F114" s="557">
        <v>0</v>
      </c>
      <c r="G114" s="558">
        <v>0</v>
      </c>
      <c r="H114" s="559"/>
    </row>
    <row r="115" spans="1:8" s="480" customFormat="1" ht="15" hidden="1" customHeight="1">
      <c r="A115" s="560"/>
      <c r="B115" s="1218"/>
      <c r="C115" s="1137"/>
      <c r="D115" s="1200"/>
      <c r="E115" s="507" t="s">
        <v>2</v>
      </c>
      <c r="F115" s="578">
        <f>F113+F114</f>
        <v>200000</v>
      </c>
      <c r="G115" s="578">
        <f>G113+G114</f>
        <v>800000</v>
      </c>
      <c r="H115" s="559"/>
    </row>
    <row r="116" spans="1:8" s="480" customFormat="1" ht="15" hidden="1" customHeight="1">
      <c r="A116" s="560"/>
      <c r="B116" s="1229" t="s">
        <v>1251</v>
      </c>
      <c r="C116" s="1195" t="s">
        <v>1248</v>
      </c>
      <c r="D116" s="1198" t="s">
        <v>1252</v>
      </c>
      <c r="E116" s="556" t="s">
        <v>0</v>
      </c>
      <c r="F116" s="557">
        <v>30000</v>
      </c>
      <c r="G116" s="558">
        <v>60000</v>
      </c>
      <c r="H116" s="559"/>
    </row>
    <row r="117" spans="1:8" s="480" customFormat="1" ht="15" hidden="1" customHeight="1">
      <c r="A117" s="560"/>
      <c r="B117" s="1230"/>
      <c r="C117" s="1136"/>
      <c r="D117" s="1199"/>
      <c r="E117" s="507" t="s">
        <v>1</v>
      </c>
      <c r="F117" s="557">
        <v>0</v>
      </c>
      <c r="G117" s="558">
        <v>0</v>
      </c>
      <c r="H117" s="559"/>
    </row>
    <row r="118" spans="1:8" s="480" customFormat="1" ht="15" hidden="1" customHeight="1">
      <c r="A118" s="560"/>
      <c r="B118" s="1218"/>
      <c r="C118" s="1137"/>
      <c r="D118" s="1200"/>
      <c r="E118" s="507" t="s">
        <v>2</v>
      </c>
      <c r="F118" s="578">
        <f>F116+F117</f>
        <v>30000</v>
      </c>
      <c r="G118" s="578">
        <f>G116+G117</f>
        <v>60000</v>
      </c>
      <c r="H118" s="559"/>
    </row>
    <row r="119" spans="1:8" s="480" customFormat="1" ht="15" hidden="1" customHeight="1">
      <c r="A119" s="560"/>
      <c r="B119" s="555" t="s">
        <v>475</v>
      </c>
      <c r="C119" s="1195" t="s">
        <v>1248</v>
      </c>
      <c r="D119" s="1198" t="s">
        <v>609</v>
      </c>
      <c r="E119" s="556" t="s">
        <v>0</v>
      </c>
      <c r="F119" s="557">
        <v>27877203</v>
      </c>
      <c r="G119" s="558">
        <v>55754406</v>
      </c>
      <c r="H119" s="559"/>
    </row>
    <row r="120" spans="1:8" s="480" customFormat="1" ht="15" hidden="1" customHeight="1">
      <c r="A120" s="560"/>
      <c r="B120" s="560"/>
      <c r="C120" s="1136"/>
      <c r="D120" s="1199"/>
      <c r="E120" s="507" t="s">
        <v>1</v>
      </c>
      <c r="F120" s="557">
        <v>0</v>
      </c>
      <c r="G120" s="558">
        <v>0</v>
      </c>
      <c r="H120" s="559"/>
    </row>
    <row r="121" spans="1:8" s="480" customFormat="1" ht="15" hidden="1" customHeight="1">
      <c r="A121" s="560"/>
      <c r="B121" s="561"/>
      <c r="C121" s="1137"/>
      <c r="D121" s="1200"/>
      <c r="E121" s="507" t="s">
        <v>2</v>
      </c>
      <c r="F121" s="578">
        <f>F119+F120</f>
        <v>27877203</v>
      </c>
      <c r="G121" s="578">
        <f>G119+G120</f>
        <v>55754406</v>
      </c>
      <c r="H121" s="559"/>
    </row>
    <row r="122" spans="1:8" s="480" customFormat="1" ht="15" customHeight="1">
      <c r="A122" s="560" t="s">
        <v>67</v>
      </c>
      <c r="B122" s="555" t="s">
        <v>483</v>
      </c>
      <c r="C122" s="1195" t="s">
        <v>1253</v>
      </c>
      <c r="D122" s="1198" t="s">
        <v>1254</v>
      </c>
      <c r="E122" s="556" t="s">
        <v>0</v>
      </c>
      <c r="F122" s="557">
        <v>85993</v>
      </c>
      <c r="G122" s="558">
        <v>1401000</v>
      </c>
      <c r="H122" s="559"/>
    </row>
    <row r="123" spans="1:8" s="480" customFormat="1" ht="15" customHeight="1">
      <c r="A123" s="560"/>
      <c r="B123" s="560"/>
      <c r="C123" s="1136"/>
      <c r="D123" s="1199"/>
      <c r="E123" s="507" t="s">
        <v>1</v>
      </c>
      <c r="F123" s="557">
        <v>0</v>
      </c>
      <c r="G123" s="558">
        <v>15979</v>
      </c>
      <c r="H123" s="559"/>
    </row>
    <row r="124" spans="1:8" s="480" customFormat="1" ht="15" customHeight="1">
      <c r="A124" s="560"/>
      <c r="B124" s="560"/>
      <c r="C124" s="1137"/>
      <c r="D124" s="1200"/>
      <c r="E124" s="507" t="s">
        <v>2</v>
      </c>
      <c r="F124" s="578">
        <f>F122+F123</f>
        <v>85993</v>
      </c>
      <c r="G124" s="578">
        <f>G122+G123</f>
        <v>1416979</v>
      </c>
      <c r="H124" s="559"/>
    </row>
    <row r="125" spans="1:8" s="480" customFormat="1" ht="15" customHeight="1">
      <c r="A125" s="560"/>
      <c r="B125" s="555" t="s">
        <v>499</v>
      </c>
      <c r="C125" s="1195" t="s">
        <v>1248</v>
      </c>
      <c r="D125" s="1198" t="s">
        <v>1255</v>
      </c>
      <c r="E125" s="556" t="s">
        <v>0</v>
      </c>
      <c r="F125" s="557">
        <v>2662953</v>
      </c>
      <c r="G125" s="558">
        <v>17061953</v>
      </c>
      <c r="H125" s="559"/>
    </row>
    <row r="126" spans="1:8" s="480" customFormat="1" ht="15" customHeight="1">
      <c r="A126" s="560"/>
      <c r="B126" s="560"/>
      <c r="C126" s="1136"/>
      <c r="D126" s="1199"/>
      <c r="E126" s="507" t="s">
        <v>1</v>
      </c>
      <c r="F126" s="557">
        <v>0</v>
      </c>
      <c r="G126" s="558">
        <v>74940</v>
      </c>
      <c r="H126" s="559"/>
    </row>
    <row r="127" spans="1:8" s="480" customFormat="1" ht="15" customHeight="1">
      <c r="A127" s="560"/>
      <c r="B127" s="560"/>
      <c r="C127" s="1137"/>
      <c r="D127" s="1200"/>
      <c r="E127" s="507" t="s">
        <v>2</v>
      </c>
      <c r="F127" s="578">
        <f>F125+F126</f>
        <v>2662953</v>
      </c>
      <c r="G127" s="578">
        <f>G125+G126</f>
        <v>17136893</v>
      </c>
      <c r="H127" s="559"/>
    </row>
    <row r="128" spans="1:8" s="480" customFormat="1" ht="15" hidden="1" customHeight="1">
      <c r="A128" s="560"/>
      <c r="B128" s="560"/>
      <c r="C128" s="1195" t="s">
        <v>1248</v>
      </c>
      <c r="D128" s="1198" t="s">
        <v>1256</v>
      </c>
      <c r="E128" s="556" t="s">
        <v>0</v>
      </c>
      <c r="F128" s="557">
        <v>10000</v>
      </c>
      <c r="G128" s="558">
        <v>10000</v>
      </c>
      <c r="H128" s="559"/>
    </row>
    <row r="129" spans="1:8" s="480" customFormat="1" ht="15" hidden="1" customHeight="1">
      <c r="A129" s="592"/>
      <c r="B129" s="592"/>
      <c r="C129" s="1136"/>
      <c r="D129" s="1222"/>
      <c r="E129" s="507" t="s">
        <v>1</v>
      </c>
      <c r="F129" s="557">
        <v>0</v>
      </c>
      <c r="G129" s="558">
        <v>0</v>
      </c>
      <c r="H129" s="559"/>
    </row>
    <row r="130" spans="1:8" s="480" customFormat="1" ht="15" hidden="1" customHeight="1">
      <c r="A130" s="592"/>
      <c r="B130" s="592"/>
      <c r="C130" s="1137"/>
      <c r="D130" s="1223"/>
      <c r="E130" s="507" t="s">
        <v>2</v>
      </c>
      <c r="F130" s="558">
        <f>F128+F129</f>
        <v>10000</v>
      </c>
      <c r="G130" s="558">
        <f>G128+G129</f>
        <v>10000</v>
      </c>
      <c r="H130" s="559"/>
    </row>
    <row r="131" spans="1:8" s="480" customFormat="1" ht="15" customHeight="1">
      <c r="A131" s="560"/>
      <c r="B131" s="560"/>
      <c r="C131" s="1224" t="s">
        <v>1257</v>
      </c>
      <c r="D131" s="1226" t="s">
        <v>1258</v>
      </c>
      <c r="E131" s="593" t="s">
        <v>0</v>
      </c>
      <c r="F131" s="594">
        <v>1700000</v>
      </c>
      <c r="G131" s="595">
        <v>16498000</v>
      </c>
      <c r="H131" s="559"/>
    </row>
    <row r="132" spans="1:8" s="480" customFormat="1" ht="15" customHeight="1">
      <c r="A132" s="560"/>
      <c r="B132" s="560"/>
      <c r="C132" s="1225"/>
      <c r="D132" s="1197"/>
      <c r="E132" s="507" t="s">
        <v>1</v>
      </c>
      <c r="F132" s="557">
        <v>0</v>
      </c>
      <c r="G132" s="558">
        <v>82979</v>
      </c>
      <c r="H132" s="559"/>
    </row>
    <row r="133" spans="1:8" s="480" customFormat="1" ht="15" customHeight="1">
      <c r="A133" s="561"/>
      <c r="B133" s="561"/>
      <c r="C133" s="1225"/>
      <c r="D133" s="1197"/>
      <c r="E133" s="507" t="s">
        <v>2</v>
      </c>
      <c r="F133" s="578">
        <f>F131+F132</f>
        <v>1700000</v>
      </c>
      <c r="G133" s="578">
        <f>G131+G132</f>
        <v>16580979</v>
      </c>
      <c r="H133" s="559"/>
    </row>
    <row r="134" spans="1:8" s="480" customFormat="1" ht="15" hidden="1" customHeight="1">
      <c r="A134" s="560"/>
      <c r="B134" s="560" t="s">
        <v>510</v>
      </c>
      <c r="C134" s="1195" t="s">
        <v>1257</v>
      </c>
      <c r="D134" s="1198" t="s">
        <v>1259</v>
      </c>
      <c r="E134" s="556" t="s">
        <v>0</v>
      </c>
      <c r="F134" s="557">
        <v>400000</v>
      </c>
      <c r="G134" s="558">
        <v>1600000</v>
      </c>
      <c r="H134" s="559"/>
    </row>
    <row r="135" spans="1:8" s="480" customFormat="1" ht="15" hidden="1" customHeight="1">
      <c r="A135" s="592"/>
      <c r="B135" s="592"/>
      <c r="C135" s="1227"/>
      <c r="D135" s="1222"/>
      <c r="E135" s="507" t="s">
        <v>1</v>
      </c>
      <c r="F135" s="557">
        <v>0</v>
      </c>
      <c r="G135" s="558">
        <v>0</v>
      </c>
      <c r="H135" s="559"/>
    </row>
    <row r="136" spans="1:8" s="480" customFormat="1" ht="15" hidden="1" customHeight="1">
      <c r="A136" s="592"/>
      <c r="B136" s="592"/>
      <c r="C136" s="1228"/>
      <c r="D136" s="1223"/>
      <c r="E136" s="507" t="s">
        <v>2</v>
      </c>
      <c r="F136" s="558">
        <f>F134+F135</f>
        <v>400000</v>
      </c>
      <c r="G136" s="558">
        <f>G134+G135</f>
        <v>1600000</v>
      </c>
      <c r="H136" s="559"/>
    </row>
    <row r="137" spans="1:8" s="480" customFormat="1" ht="15" hidden="1" customHeight="1">
      <c r="A137" s="560"/>
      <c r="B137" s="560"/>
      <c r="C137" s="1195" t="s">
        <v>1248</v>
      </c>
      <c r="D137" s="1198" t="s">
        <v>1260</v>
      </c>
      <c r="E137" s="556" t="s">
        <v>0</v>
      </c>
      <c r="F137" s="557">
        <v>10000</v>
      </c>
      <c r="G137" s="558">
        <v>10000</v>
      </c>
      <c r="H137" s="559"/>
    </row>
    <row r="138" spans="1:8" s="480" customFormat="1" ht="15" hidden="1" customHeight="1">
      <c r="A138" s="592"/>
      <c r="B138" s="592"/>
      <c r="C138" s="1136"/>
      <c r="D138" s="1222"/>
      <c r="E138" s="507" t="s">
        <v>1</v>
      </c>
      <c r="F138" s="557">
        <v>0</v>
      </c>
      <c r="G138" s="558">
        <v>0</v>
      </c>
      <c r="H138" s="559"/>
    </row>
    <row r="139" spans="1:8" s="480" customFormat="1" ht="15" hidden="1" customHeight="1">
      <c r="A139" s="592"/>
      <c r="B139" s="592"/>
      <c r="C139" s="1137"/>
      <c r="D139" s="1223"/>
      <c r="E139" s="507" t="s">
        <v>2</v>
      </c>
      <c r="F139" s="558">
        <f>F137+F138</f>
        <v>10000</v>
      </c>
      <c r="G139" s="558">
        <f>G137+G138</f>
        <v>10000</v>
      </c>
      <c r="H139" s="559"/>
    </row>
    <row r="140" spans="1:8" s="480" customFormat="1" ht="15" hidden="1" customHeight="1">
      <c r="A140" s="560"/>
      <c r="B140" s="560"/>
      <c r="C140" s="1195" t="s">
        <v>1248</v>
      </c>
      <c r="D140" s="1198" t="s">
        <v>1261</v>
      </c>
      <c r="E140" s="556" t="s">
        <v>0</v>
      </c>
      <c r="F140" s="557">
        <v>6000</v>
      </c>
      <c r="G140" s="558">
        <v>6000</v>
      </c>
      <c r="H140" s="559"/>
    </row>
    <row r="141" spans="1:8" s="480" customFormat="1" ht="15" hidden="1" customHeight="1">
      <c r="A141" s="592"/>
      <c r="B141" s="592"/>
      <c r="C141" s="1136"/>
      <c r="D141" s="1222"/>
      <c r="E141" s="507" t="s">
        <v>1</v>
      </c>
      <c r="F141" s="557">
        <v>0</v>
      </c>
      <c r="G141" s="558">
        <v>0</v>
      </c>
      <c r="H141" s="559"/>
    </row>
    <row r="142" spans="1:8" s="480" customFormat="1" ht="15" hidden="1" customHeight="1">
      <c r="A142" s="592"/>
      <c r="B142" s="592"/>
      <c r="C142" s="1137"/>
      <c r="D142" s="1223"/>
      <c r="E142" s="507" t="s">
        <v>2</v>
      </c>
      <c r="F142" s="558">
        <f>F140+F141</f>
        <v>6000</v>
      </c>
      <c r="G142" s="558">
        <f>G140+G141</f>
        <v>6000</v>
      </c>
      <c r="H142" s="559"/>
    </row>
    <row r="143" spans="1:8" s="480" customFormat="1" ht="15" hidden="1" customHeight="1">
      <c r="A143" s="560"/>
      <c r="B143" s="560"/>
      <c r="C143" s="1195" t="s">
        <v>1248</v>
      </c>
      <c r="D143" s="1198" t="s">
        <v>1262</v>
      </c>
      <c r="E143" s="556" t="s">
        <v>0</v>
      </c>
      <c r="F143" s="557">
        <v>10000</v>
      </c>
      <c r="G143" s="558">
        <v>10000</v>
      </c>
      <c r="H143" s="559"/>
    </row>
    <row r="144" spans="1:8" s="480" customFormat="1" ht="15" hidden="1" customHeight="1">
      <c r="A144" s="592"/>
      <c r="B144" s="592"/>
      <c r="C144" s="1136"/>
      <c r="D144" s="1222"/>
      <c r="E144" s="507" t="s">
        <v>1</v>
      </c>
      <c r="F144" s="557">
        <v>0</v>
      </c>
      <c r="G144" s="558">
        <v>0</v>
      </c>
      <c r="H144" s="559"/>
    </row>
    <row r="145" spans="1:14" s="480" customFormat="1" ht="15" hidden="1" customHeight="1">
      <c r="A145" s="592"/>
      <c r="B145" s="592"/>
      <c r="C145" s="1137"/>
      <c r="D145" s="1223"/>
      <c r="E145" s="507" t="s">
        <v>2</v>
      </c>
      <c r="F145" s="558">
        <f>F143+F144</f>
        <v>10000</v>
      </c>
      <c r="G145" s="558">
        <f>G143+G144</f>
        <v>10000</v>
      </c>
      <c r="H145" s="559"/>
    </row>
    <row r="146" spans="1:14" s="480" customFormat="1" ht="15" hidden="1" customHeight="1">
      <c r="A146" s="560"/>
      <c r="B146" s="560"/>
      <c r="C146" s="1195" t="s">
        <v>1248</v>
      </c>
      <c r="D146" s="1198" t="s">
        <v>1263</v>
      </c>
      <c r="E146" s="556" t="s">
        <v>0</v>
      </c>
      <c r="F146" s="557">
        <v>38600</v>
      </c>
      <c r="G146" s="558">
        <v>38600</v>
      </c>
      <c r="H146" s="559"/>
    </row>
    <row r="147" spans="1:14" s="480" customFormat="1" ht="15" hidden="1" customHeight="1">
      <c r="A147" s="592"/>
      <c r="B147" s="592"/>
      <c r="C147" s="1136"/>
      <c r="D147" s="1222"/>
      <c r="E147" s="507" t="s">
        <v>1</v>
      </c>
      <c r="F147" s="557">
        <v>0</v>
      </c>
      <c r="G147" s="558">
        <v>0</v>
      </c>
      <c r="H147" s="559"/>
    </row>
    <row r="148" spans="1:14" s="480" customFormat="1" ht="15" hidden="1" customHeight="1">
      <c r="A148" s="592"/>
      <c r="B148" s="592"/>
      <c r="C148" s="1137"/>
      <c r="D148" s="1223"/>
      <c r="E148" s="507" t="s">
        <v>2</v>
      </c>
      <c r="F148" s="558">
        <f>F146+F147</f>
        <v>38600</v>
      </c>
      <c r="G148" s="558">
        <f>G146+G147</f>
        <v>38600</v>
      </c>
      <c r="H148" s="559"/>
    </row>
    <row r="149" spans="1:14" s="480" customFormat="1" ht="15" hidden="1" customHeight="1">
      <c r="A149" s="560"/>
      <c r="B149" s="560"/>
      <c r="C149" s="1195" t="s">
        <v>1248</v>
      </c>
      <c r="D149" s="1198" t="s">
        <v>1264</v>
      </c>
      <c r="E149" s="556" t="s">
        <v>0</v>
      </c>
      <c r="F149" s="557">
        <v>380934</v>
      </c>
      <c r="G149" s="558">
        <v>380934</v>
      </c>
      <c r="H149" s="559"/>
    </row>
    <row r="150" spans="1:14" s="480" customFormat="1" ht="15" hidden="1" customHeight="1">
      <c r="A150" s="592"/>
      <c r="B150" s="592"/>
      <c r="C150" s="1136"/>
      <c r="D150" s="1222"/>
      <c r="E150" s="507" t="s">
        <v>1</v>
      </c>
      <c r="F150" s="557">
        <v>0</v>
      </c>
      <c r="G150" s="558">
        <v>0</v>
      </c>
      <c r="H150" s="559"/>
    </row>
    <row r="151" spans="1:14" s="480" customFormat="1" ht="15" hidden="1" customHeight="1">
      <c r="A151" s="596"/>
      <c r="B151" s="596"/>
      <c r="C151" s="1137"/>
      <c r="D151" s="1223"/>
      <c r="E151" s="507" t="s">
        <v>2</v>
      </c>
      <c r="F151" s="558">
        <f>F149+F150</f>
        <v>380934</v>
      </c>
      <c r="G151" s="558">
        <f>G149+G150</f>
        <v>380934</v>
      </c>
      <c r="H151" s="559"/>
    </row>
    <row r="152" spans="1:14" ht="12" customHeight="1">
      <c r="A152" s="532" t="s">
        <v>1174</v>
      </c>
      <c r="B152" s="533"/>
      <c r="C152" s="534"/>
      <c r="D152" s="533"/>
      <c r="E152" s="533"/>
      <c r="F152" s="534"/>
      <c r="H152" s="534"/>
      <c r="I152" s="536"/>
      <c r="J152" s="536"/>
      <c r="K152" s="536"/>
      <c r="L152" s="536"/>
      <c r="M152" s="536"/>
      <c r="N152" s="536"/>
    </row>
    <row r="153" spans="1:14" ht="12" customHeight="1">
      <c r="A153" s="541" t="s">
        <v>1196</v>
      </c>
    </row>
    <row r="154" spans="1:14" s="567" customFormat="1" ht="12" customHeight="1">
      <c r="A154" s="541" t="s">
        <v>1197</v>
      </c>
      <c r="B154" s="540"/>
      <c r="C154" s="535"/>
      <c r="D154" s="535"/>
      <c r="E154" s="542"/>
      <c r="F154" s="536"/>
      <c r="G154" s="534"/>
      <c r="H154" s="534"/>
    </row>
    <row r="155" spans="1:14" ht="12" customHeight="1">
      <c r="A155" s="541" t="s">
        <v>1198</v>
      </c>
    </row>
    <row r="156" spans="1:14" ht="24.75" customHeight="1"/>
    <row r="157" spans="1:14" s="567" customFormat="1" ht="21" customHeight="1">
      <c r="A157" s="540"/>
      <c r="B157" s="540"/>
      <c r="C157" s="535"/>
      <c r="D157" s="535"/>
      <c r="E157" s="542"/>
      <c r="F157" s="536"/>
      <c r="G157" s="534"/>
      <c r="H157" s="534"/>
    </row>
    <row r="159" spans="1:14" ht="9" customHeight="1"/>
    <row r="160" spans="1:14" s="479" customFormat="1" ht="35.25" customHeight="1">
      <c r="A160" s="540"/>
      <c r="B160" s="540"/>
      <c r="C160" s="535"/>
      <c r="D160" s="535"/>
      <c r="E160" s="542"/>
      <c r="F160" s="536"/>
    </row>
    <row r="161" spans="1:8" s="562" customFormat="1" ht="22.5" customHeight="1">
      <c r="A161" s="540"/>
      <c r="B161" s="540"/>
      <c r="C161" s="535"/>
      <c r="D161" s="535"/>
      <c r="E161" s="542"/>
      <c r="F161" s="536"/>
      <c r="G161" s="417"/>
      <c r="H161" s="417"/>
    </row>
    <row r="162" spans="1:8" ht="41.25" customHeight="1"/>
    <row r="163" spans="1:8" s="479" customFormat="1" ht="21.75" customHeight="1">
      <c r="A163" s="540"/>
      <c r="B163" s="540"/>
      <c r="C163" s="535"/>
      <c r="D163" s="535"/>
      <c r="E163" s="542"/>
      <c r="F163" s="536"/>
    </row>
    <row r="164" spans="1:8" ht="21.75" customHeight="1">
      <c r="G164" s="537"/>
      <c r="H164" s="537"/>
    </row>
    <row r="165" spans="1:8" ht="24.75" customHeight="1">
      <c r="G165" s="537"/>
      <c r="H165" s="537"/>
    </row>
    <row r="166" spans="1:8" ht="12" customHeight="1">
      <c r="G166" s="537"/>
      <c r="H166" s="537"/>
    </row>
    <row r="167" spans="1:8" s="569" customFormat="1" ht="30.75" customHeight="1">
      <c r="A167" s="540"/>
      <c r="B167" s="540"/>
      <c r="C167" s="535"/>
      <c r="D167" s="535"/>
      <c r="E167" s="542"/>
      <c r="F167" s="536"/>
    </row>
    <row r="168" spans="1:8" s="479" customFormat="1" ht="21.75" customHeight="1">
      <c r="A168" s="540"/>
      <c r="B168" s="540"/>
      <c r="C168" s="535"/>
      <c r="D168" s="535"/>
      <c r="E168" s="542"/>
      <c r="F168" s="536"/>
    </row>
    <row r="169" spans="1:8" s="570" customFormat="1" ht="21.75" customHeight="1">
      <c r="A169" s="540"/>
      <c r="B169" s="540"/>
      <c r="C169" s="535"/>
      <c r="D169" s="535"/>
      <c r="E169" s="542"/>
      <c r="F169" s="536"/>
    </row>
    <row r="170" spans="1:8" s="570" customFormat="1" ht="21.75" customHeight="1">
      <c r="A170" s="540"/>
      <c r="B170" s="540"/>
      <c r="C170" s="535"/>
      <c r="D170" s="535"/>
      <c r="E170" s="542"/>
      <c r="F170" s="536"/>
    </row>
    <row r="172" spans="1:8" s="420" customFormat="1" ht="24" customHeight="1">
      <c r="A172" s="540"/>
      <c r="B172" s="540"/>
      <c r="C172" s="535"/>
      <c r="D172" s="535"/>
      <c r="E172" s="542"/>
      <c r="F172" s="536"/>
      <c r="G172" s="547"/>
      <c r="H172" s="547"/>
    </row>
    <row r="173" spans="1:8" s="420" customFormat="1" ht="24" customHeight="1">
      <c r="A173" s="540"/>
      <c r="B173" s="540"/>
      <c r="C173" s="535"/>
      <c r="D173" s="535"/>
      <c r="E173" s="542"/>
      <c r="F173" s="536"/>
      <c r="G173" s="547"/>
      <c r="H173" s="547"/>
    </row>
    <row r="174" spans="1:8" s="407" customFormat="1" ht="24" customHeight="1">
      <c r="A174" s="540"/>
      <c r="B174" s="540"/>
      <c r="C174" s="535"/>
      <c r="D174" s="535"/>
      <c r="E174" s="542"/>
      <c r="F174" s="536"/>
      <c r="G174" s="414"/>
      <c r="H174" s="414"/>
    </row>
    <row r="175" spans="1:8" s="407" customFormat="1" ht="24" customHeight="1">
      <c r="A175" s="540"/>
      <c r="B175" s="540"/>
      <c r="C175" s="535"/>
      <c r="D175" s="535"/>
      <c r="E175" s="542"/>
      <c r="F175" s="536"/>
      <c r="G175" s="414"/>
      <c r="H175" s="414"/>
    </row>
    <row r="176" spans="1:8" s="420" customFormat="1" ht="21" customHeight="1">
      <c r="A176" s="540"/>
      <c r="B176" s="540"/>
      <c r="C176" s="535"/>
      <c r="D176" s="535"/>
      <c r="E176" s="542"/>
      <c r="F176" s="536"/>
      <c r="G176" s="547"/>
      <c r="H176" s="547"/>
    </row>
    <row r="177" ht="19.5" customHeight="1"/>
    <row r="178" ht="21.75" customHeight="1"/>
  </sheetData>
  <sheetProtection algorithmName="SHA-512" hashValue="vhQt54fU2WVvJi6IyymQq2C6oyohyTQv3IZjsPQr+26UvTaaetJ8QtLpK5mT8m6sNCz4iWYVB0WDS+WuFckwwA==" saltValue="5pyqBq3ZKIF6xDsr0RUFwQ==" spinCount="100000" sheet="1" objects="1" scenarios="1"/>
  <mergeCells count="127"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  <mergeCell ref="C20:C22"/>
    <mergeCell ref="D20:D22"/>
    <mergeCell ref="C23:C25"/>
    <mergeCell ref="D23:D25"/>
    <mergeCell ref="C26:C28"/>
    <mergeCell ref="D26:D28"/>
    <mergeCell ref="A10:D12"/>
    <mergeCell ref="A13:G13"/>
    <mergeCell ref="C14:C16"/>
    <mergeCell ref="D14:D16"/>
    <mergeCell ref="C17:C19"/>
    <mergeCell ref="D17:D19"/>
    <mergeCell ref="A38:A40"/>
    <mergeCell ref="B38:B40"/>
    <mergeCell ref="C38:C40"/>
    <mergeCell ref="D38:D40"/>
    <mergeCell ref="A41:A43"/>
    <mergeCell ref="B41:B43"/>
    <mergeCell ref="C41:C43"/>
    <mergeCell ref="D41:D43"/>
    <mergeCell ref="C29:C31"/>
    <mergeCell ref="D29:D31"/>
    <mergeCell ref="C32:C34"/>
    <mergeCell ref="D32:D34"/>
    <mergeCell ref="C35:C37"/>
    <mergeCell ref="D35:D37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C77:C79"/>
    <mergeCell ref="D77:D79"/>
    <mergeCell ref="C80:C82"/>
    <mergeCell ref="D80:D82"/>
    <mergeCell ref="C83:C85"/>
    <mergeCell ref="D83:D85"/>
    <mergeCell ref="C68:C70"/>
    <mergeCell ref="D68:D70"/>
    <mergeCell ref="C71:C73"/>
    <mergeCell ref="D71:D73"/>
    <mergeCell ref="C74:C76"/>
    <mergeCell ref="D74:D76"/>
    <mergeCell ref="C95:C97"/>
    <mergeCell ref="D95:D97"/>
    <mergeCell ref="C98:C100"/>
    <mergeCell ref="D98:D100"/>
    <mergeCell ref="C101:C103"/>
    <mergeCell ref="D101:D103"/>
    <mergeCell ref="C86:C88"/>
    <mergeCell ref="D86:D88"/>
    <mergeCell ref="C89:C91"/>
    <mergeCell ref="D89:D91"/>
    <mergeCell ref="C92:C94"/>
    <mergeCell ref="D92:D94"/>
    <mergeCell ref="B113:B115"/>
    <mergeCell ref="C113:C115"/>
    <mergeCell ref="D113:D115"/>
    <mergeCell ref="B116:B118"/>
    <mergeCell ref="C116:C118"/>
    <mergeCell ref="D116:D118"/>
    <mergeCell ref="C104:C106"/>
    <mergeCell ref="D104:D106"/>
    <mergeCell ref="C107:C109"/>
    <mergeCell ref="D107:D109"/>
    <mergeCell ref="B110:B112"/>
    <mergeCell ref="C110:C112"/>
    <mergeCell ref="D110:D112"/>
    <mergeCell ref="C128:C130"/>
    <mergeCell ref="D128:D130"/>
    <mergeCell ref="C131:C133"/>
    <mergeCell ref="D131:D133"/>
    <mergeCell ref="C134:C136"/>
    <mergeCell ref="D134:D136"/>
    <mergeCell ref="C119:C121"/>
    <mergeCell ref="D119:D121"/>
    <mergeCell ref="C122:C124"/>
    <mergeCell ref="D122:D124"/>
    <mergeCell ref="C125:C127"/>
    <mergeCell ref="D125:D127"/>
    <mergeCell ref="C146:C148"/>
    <mergeCell ref="D146:D148"/>
    <mergeCell ref="C149:C151"/>
    <mergeCell ref="D149:D151"/>
    <mergeCell ref="C137:C139"/>
    <mergeCell ref="D137:D139"/>
    <mergeCell ref="C140:C142"/>
    <mergeCell ref="D140:D142"/>
    <mergeCell ref="C143:C145"/>
    <mergeCell ref="D143:D145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BD74-EF0B-493F-967C-4FD3BDF15A1E}">
  <sheetPr>
    <pageSetUpPr fitToPage="1"/>
  </sheetPr>
  <dimension ref="A1:H71"/>
  <sheetViews>
    <sheetView tabSelected="1" view="pageBreakPreview" zoomScaleNormal="100" zoomScaleSheetLayoutView="100" workbookViewId="0">
      <selection activeCell="J69" sqref="J69"/>
    </sheetView>
  </sheetViews>
  <sheetFormatPr defaultRowHeight="12.75"/>
  <cols>
    <col min="1" max="1" width="3.625" style="754" customWidth="1"/>
    <col min="2" max="2" width="44.75" style="755" customWidth="1"/>
    <col min="3" max="3" width="6.875" style="756" customWidth="1"/>
    <col min="4" max="4" width="2" style="756" customWidth="1"/>
    <col min="5" max="5" width="11.125" style="757" customWidth="1"/>
    <col min="6" max="6" width="10.5" style="757" customWidth="1"/>
    <col min="7" max="7" width="10.625" style="757" customWidth="1"/>
    <col min="8" max="8" width="13.125" style="757" customWidth="1"/>
    <col min="9" max="256" width="9" style="757"/>
    <col min="257" max="257" width="3.625" style="757" customWidth="1"/>
    <col min="258" max="258" width="44.75" style="757" customWidth="1"/>
    <col min="259" max="259" width="6.875" style="757" customWidth="1"/>
    <col min="260" max="260" width="2" style="757" customWidth="1"/>
    <col min="261" max="261" width="11.125" style="757" customWidth="1"/>
    <col min="262" max="262" width="10.5" style="757" customWidth="1"/>
    <col min="263" max="263" width="10.625" style="757" customWidth="1"/>
    <col min="264" max="264" width="13.125" style="757" customWidth="1"/>
    <col min="265" max="512" width="9" style="757"/>
    <col min="513" max="513" width="3.625" style="757" customWidth="1"/>
    <col min="514" max="514" width="44.75" style="757" customWidth="1"/>
    <col min="515" max="515" width="6.875" style="757" customWidth="1"/>
    <col min="516" max="516" width="2" style="757" customWidth="1"/>
    <col min="517" max="517" width="11.125" style="757" customWidth="1"/>
    <col min="518" max="518" width="10.5" style="757" customWidth="1"/>
    <col min="519" max="519" width="10.625" style="757" customWidth="1"/>
    <col min="520" max="520" width="13.125" style="757" customWidth="1"/>
    <col min="521" max="768" width="9" style="757"/>
    <col min="769" max="769" width="3.625" style="757" customWidth="1"/>
    <col min="770" max="770" width="44.75" style="757" customWidth="1"/>
    <col min="771" max="771" width="6.875" style="757" customWidth="1"/>
    <col min="772" max="772" width="2" style="757" customWidth="1"/>
    <col min="773" max="773" width="11.125" style="757" customWidth="1"/>
    <col min="774" max="774" width="10.5" style="757" customWidth="1"/>
    <col min="775" max="775" width="10.625" style="757" customWidth="1"/>
    <col min="776" max="776" width="13.125" style="757" customWidth="1"/>
    <col min="777" max="1024" width="9" style="757"/>
    <col min="1025" max="1025" width="3.625" style="757" customWidth="1"/>
    <col min="1026" max="1026" width="44.75" style="757" customWidth="1"/>
    <col min="1027" max="1027" width="6.875" style="757" customWidth="1"/>
    <col min="1028" max="1028" width="2" style="757" customWidth="1"/>
    <col min="1029" max="1029" width="11.125" style="757" customWidth="1"/>
    <col min="1030" max="1030" width="10.5" style="757" customWidth="1"/>
    <col min="1031" max="1031" width="10.625" style="757" customWidth="1"/>
    <col min="1032" max="1032" width="13.125" style="757" customWidth="1"/>
    <col min="1033" max="1280" width="9" style="757"/>
    <col min="1281" max="1281" width="3.625" style="757" customWidth="1"/>
    <col min="1282" max="1282" width="44.75" style="757" customWidth="1"/>
    <col min="1283" max="1283" width="6.875" style="757" customWidth="1"/>
    <col min="1284" max="1284" width="2" style="757" customWidth="1"/>
    <col min="1285" max="1285" width="11.125" style="757" customWidth="1"/>
    <col min="1286" max="1286" width="10.5" style="757" customWidth="1"/>
    <col min="1287" max="1287" width="10.625" style="757" customWidth="1"/>
    <col min="1288" max="1288" width="13.125" style="757" customWidth="1"/>
    <col min="1289" max="1536" width="9" style="757"/>
    <col min="1537" max="1537" width="3.625" style="757" customWidth="1"/>
    <col min="1538" max="1538" width="44.75" style="757" customWidth="1"/>
    <col min="1539" max="1539" width="6.875" style="757" customWidth="1"/>
    <col min="1540" max="1540" width="2" style="757" customWidth="1"/>
    <col min="1541" max="1541" width="11.125" style="757" customWidth="1"/>
    <col min="1542" max="1542" width="10.5" style="757" customWidth="1"/>
    <col min="1543" max="1543" width="10.625" style="757" customWidth="1"/>
    <col min="1544" max="1544" width="13.125" style="757" customWidth="1"/>
    <col min="1545" max="1792" width="9" style="757"/>
    <col min="1793" max="1793" width="3.625" style="757" customWidth="1"/>
    <col min="1794" max="1794" width="44.75" style="757" customWidth="1"/>
    <col min="1795" max="1795" width="6.875" style="757" customWidth="1"/>
    <col min="1796" max="1796" width="2" style="757" customWidth="1"/>
    <col min="1797" max="1797" width="11.125" style="757" customWidth="1"/>
    <col min="1798" max="1798" width="10.5" style="757" customWidth="1"/>
    <col min="1799" max="1799" width="10.625" style="757" customWidth="1"/>
    <col min="1800" max="1800" width="13.125" style="757" customWidth="1"/>
    <col min="1801" max="2048" width="9" style="757"/>
    <col min="2049" max="2049" width="3.625" style="757" customWidth="1"/>
    <col min="2050" max="2050" width="44.75" style="757" customWidth="1"/>
    <col min="2051" max="2051" width="6.875" style="757" customWidth="1"/>
    <col min="2052" max="2052" width="2" style="757" customWidth="1"/>
    <col min="2053" max="2053" width="11.125" style="757" customWidth="1"/>
    <col min="2054" max="2054" width="10.5" style="757" customWidth="1"/>
    <col min="2055" max="2055" width="10.625" style="757" customWidth="1"/>
    <col min="2056" max="2056" width="13.125" style="757" customWidth="1"/>
    <col min="2057" max="2304" width="9" style="757"/>
    <col min="2305" max="2305" width="3.625" style="757" customWidth="1"/>
    <col min="2306" max="2306" width="44.75" style="757" customWidth="1"/>
    <col min="2307" max="2307" width="6.875" style="757" customWidth="1"/>
    <col min="2308" max="2308" width="2" style="757" customWidth="1"/>
    <col min="2309" max="2309" width="11.125" style="757" customWidth="1"/>
    <col min="2310" max="2310" width="10.5" style="757" customWidth="1"/>
    <col min="2311" max="2311" width="10.625" style="757" customWidth="1"/>
    <col min="2312" max="2312" width="13.125" style="757" customWidth="1"/>
    <col min="2313" max="2560" width="9" style="757"/>
    <col min="2561" max="2561" width="3.625" style="757" customWidth="1"/>
    <col min="2562" max="2562" width="44.75" style="757" customWidth="1"/>
    <col min="2563" max="2563" width="6.875" style="757" customWidth="1"/>
    <col min="2564" max="2564" width="2" style="757" customWidth="1"/>
    <col min="2565" max="2565" width="11.125" style="757" customWidth="1"/>
    <col min="2566" max="2566" width="10.5" style="757" customWidth="1"/>
    <col min="2567" max="2567" width="10.625" style="757" customWidth="1"/>
    <col min="2568" max="2568" width="13.125" style="757" customWidth="1"/>
    <col min="2569" max="2816" width="9" style="757"/>
    <col min="2817" max="2817" width="3.625" style="757" customWidth="1"/>
    <col min="2818" max="2818" width="44.75" style="757" customWidth="1"/>
    <col min="2819" max="2819" width="6.875" style="757" customWidth="1"/>
    <col min="2820" max="2820" width="2" style="757" customWidth="1"/>
    <col min="2821" max="2821" width="11.125" style="757" customWidth="1"/>
    <col min="2822" max="2822" width="10.5" style="757" customWidth="1"/>
    <col min="2823" max="2823" width="10.625" style="757" customWidth="1"/>
    <col min="2824" max="2824" width="13.125" style="757" customWidth="1"/>
    <col min="2825" max="3072" width="9" style="757"/>
    <col min="3073" max="3073" width="3.625" style="757" customWidth="1"/>
    <col min="3074" max="3074" width="44.75" style="757" customWidth="1"/>
    <col min="3075" max="3075" width="6.875" style="757" customWidth="1"/>
    <col min="3076" max="3076" width="2" style="757" customWidth="1"/>
    <col min="3077" max="3077" width="11.125" style="757" customWidth="1"/>
    <col min="3078" max="3078" width="10.5" style="757" customWidth="1"/>
    <col min="3079" max="3079" width="10.625" style="757" customWidth="1"/>
    <col min="3080" max="3080" width="13.125" style="757" customWidth="1"/>
    <col min="3081" max="3328" width="9" style="757"/>
    <col min="3329" max="3329" width="3.625" style="757" customWidth="1"/>
    <col min="3330" max="3330" width="44.75" style="757" customWidth="1"/>
    <col min="3331" max="3331" width="6.875" style="757" customWidth="1"/>
    <col min="3332" max="3332" width="2" style="757" customWidth="1"/>
    <col min="3333" max="3333" width="11.125" style="757" customWidth="1"/>
    <col min="3334" max="3334" width="10.5" style="757" customWidth="1"/>
    <col min="3335" max="3335" width="10.625" style="757" customWidth="1"/>
    <col min="3336" max="3336" width="13.125" style="757" customWidth="1"/>
    <col min="3337" max="3584" width="9" style="757"/>
    <col min="3585" max="3585" width="3.625" style="757" customWidth="1"/>
    <col min="3586" max="3586" width="44.75" style="757" customWidth="1"/>
    <col min="3587" max="3587" width="6.875" style="757" customWidth="1"/>
    <col min="3588" max="3588" width="2" style="757" customWidth="1"/>
    <col min="3589" max="3589" width="11.125" style="757" customWidth="1"/>
    <col min="3590" max="3590" width="10.5" style="757" customWidth="1"/>
    <col min="3591" max="3591" width="10.625" style="757" customWidth="1"/>
    <col min="3592" max="3592" width="13.125" style="757" customWidth="1"/>
    <col min="3593" max="3840" width="9" style="757"/>
    <col min="3841" max="3841" width="3.625" style="757" customWidth="1"/>
    <col min="3842" max="3842" width="44.75" style="757" customWidth="1"/>
    <col min="3843" max="3843" width="6.875" style="757" customWidth="1"/>
    <col min="3844" max="3844" width="2" style="757" customWidth="1"/>
    <col min="3845" max="3845" width="11.125" style="757" customWidth="1"/>
    <col min="3846" max="3846" width="10.5" style="757" customWidth="1"/>
    <col min="3847" max="3847" width="10.625" style="757" customWidth="1"/>
    <col min="3848" max="3848" width="13.125" style="757" customWidth="1"/>
    <col min="3849" max="4096" width="9" style="757"/>
    <col min="4097" max="4097" width="3.625" style="757" customWidth="1"/>
    <col min="4098" max="4098" width="44.75" style="757" customWidth="1"/>
    <col min="4099" max="4099" width="6.875" style="757" customWidth="1"/>
    <col min="4100" max="4100" width="2" style="757" customWidth="1"/>
    <col min="4101" max="4101" width="11.125" style="757" customWidth="1"/>
    <col min="4102" max="4102" width="10.5" style="757" customWidth="1"/>
    <col min="4103" max="4103" width="10.625" style="757" customWidth="1"/>
    <col min="4104" max="4104" width="13.125" style="757" customWidth="1"/>
    <col min="4105" max="4352" width="9" style="757"/>
    <col min="4353" max="4353" width="3.625" style="757" customWidth="1"/>
    <col min="4354" max="4354" width="44.75" style="757" customWidth="1"/>
    <col min="4355" max="4355" width="6.875" style="757" customWidth="1"/>
    <col min="4356" max="4356" width="2" style="757" customWidth="1"/>
    <col min="4357" max="4357" width="11.125" style="757" customWidth="1"/>
    <col min="4358" max="4358" width="10.5" style="757" customWidth="1"/>
    <col min="4359" max="4359" width="10.625" style="757" customWidth="1"/>
    <col min="4360" max="4360" width="13.125" style="757" customWidth="1"/>
    <col min="4361" max="4608" width="9" style="757"/>
    <col min="4609" max="4609" width="3.625" style="757" customWidth="1"/>
    <col min="4610" max="4610" width="44.75" style="757" customWidth="1"/>
    <col min="4611" max="4611" width="6.875" style="757" customWidth="1"/>
    <col min="4612" max="4612" width="2" style="757" customWidth="1"/>
    <col min="4613" max="4613" width="11.125" style="757" customWidth="1"/>
    <col min="4614" max="4614" width="10.5" style="757" customWidth="1"/>
    <col min="4615" max="4615" width="10.625" style="757" customWidth="1"/>
    <col min="4616" max="4616" width="13.125" style="757" customWidth="1"/>
    <col min="4617" max="4864" width="9" style="757"/>
    <col min="4865" max="4865" width="3.625" style="757" customWidth="1"/>
    <col min="4866" max="4866" width="44.75" style="757" customWidth="1"/>
    <col min="4867" max="4867" width="6.875" style="757" customWidth="1"/>
    <col min="4868" max="4868" width="2" style="757" customWidth="1"/>
    <col min="4869" max="4869" width="11.125" style="757" customWidth="1"/>
    <col min="4870" max="4870" width="10.5" style="757" customWidth="1"/>
    <col min="4871" max="4871" width="10.625" style="757" customWidth="1"/>
    <col min="4872" max="4872" width="13.125" style="757" customWidth="1"/>
    <col min="4873" max="5120" width="9" style="757"/>
    <col min="5121" max="5121" width="3.625" style="757" customWidth="1"/>
    <col min="5122" max="5122" width="44.75" style="757" customWidth="1"/>
    <col min="5123" max="5123" width="6.875" style="757" customWidth="1"/>
    <col min="5124" max="5124" width="2" style="757" customWidth="1"/>
    <col min="5125" max="5125" width="11.125" style="757" customWidth="1"/>
    <col min="5126" max="5126" width="10.5" style="757" customWidth="1"/>
    <col min="5127" max="5127" width="10.625" style="757" customWidth="1"/>
    <col min="5128" max="5128" width="13.125" style="757" customWidth="1"/>
    <col min="5129" max="5376" width="9" style="757"/>
    <col min="5377" max="5377" width="3.625" style="757" customWidth="1"/>
    <col min="5378" max="5378" width="44.75" style="757" customWidth="1"/>
    <col min="5379" max="5379" width="6.875" style="757" customWidth="1"/>
    <col min="5380" max="5380" width="2" style="757" customWidth="1"/>
    <col min="5381" max="5381" width="11.125" style="757" customWidth="1"/>
    <col min="5382" max="5382" width="10.5" style="757" customWidth="1"/>
    <col min="5383" max="5383" width="10.625" style="757" customWidth="1"/>
    <col min="5384" max="5384" width="13.125" style="757" customWidth="1"/>
    <col min="5385" max="5632" width="9" style="757"/>
    <col min="5633" max="5633" width="3.625" style="757" customWidth="1"/>
    <col min="5634" max="5634" width="44.75" style="757" customWidth="1"/>
    <col min="5635" max="5635" width="6.875" style="757" customWidth="1"/>
    <col min="5636" max="5636" width="2" style="757" customWidth="1"/>
    <col min="5637" max="5637" width="11.125" style="757" customWidth="1"/>
    <col min="5638" max="5638" width="10.5" style="757" customWidth="1"/>
    <col min="5639" max="5639" width="10.625" style="757" customWidth="1"/>
    <col min="5640" max="5640" width="13.125" style="757" customWidth="1"/>
    <col min="5641" max="5888" width="9" style="757"/>
    <col min="5889" max="5889" width="3.625" style="757" customWidth="1"/>
    <col min="5890" max="5890" width="44.75" style="757" customWidth="1"/>
    <col min="5891" max="5891" width="6.875" style="757" customWidth="1"/>
    <col min="5892" max="5892" width="2" style="757" customWidth="1"/>
    <col min="5893" max="5893" width="11.125" style="757" customWidth="1"/>
    <col min="5894" max="5894" width="10.5" style="757" customWidth="1"/>
    <col min="5895" max="5895" width="10.625" style="757" customWidth="1"/>
    <col min="5896" max="5896" width="13.125" style="757" customWidth="1"/>
    <col min="5897" max="6144" width="9" style="757"/>
    <col min="6145" max="6145" width="3.625" style="757" customWidth="1"/>
    <col min="6146" max="6146" width="44.75" style="757" customWidth="1"/>
    <col min="6147" max="6147" width="6.875" style="757" customWidth="1"/>
    <col min="6148" max="6148" width="2" style="757" customWidth="1"/>
    <col min="6149" max="6149" width="11.125" style="757" customWidth="1"/>
    <col min="6150" max="6150" width="10.5" style="757" customWidth="1"/>
    <col min="6151" max="6151" width="10.625" style="757" customWidth="1"/>
    <col min="6152" max="6152" width="13.125" style="757" customWidth="1"/>
    <col min="6153" max="6400" width="9" style="757"/>
    <col min="6401" max="6401" width="3.625" style="757" customWidth="1"/>
    <col min="6402" max="6402" width="44.75" style="757" customWidth="1"/>
    <col min="6403" max="6403" width="6.875" style="757" customWidth="1"/>
    <col min="6404" max="6404" width="2" style="757" customWidth="1"/>
    <col min="6405" max="6405" width="11.125" style="757" customWidth="1"/>
    <col min="6406" max="6406" width="10.5" style="757" customWidth="1"/>
    <col min="6407" max="6407" width="10.625" style="757" customWidth="1"/>
    <col min="6408" max="6408" width="13.125" style="757" customWidth="1"/>
    <col min="6409" max="6656" width="9" style="757"/>
    <col min="6657" max="6657" width="3.625" style="757" customWidth="1"/>
    <col min="6658" max="6658" width="44.75" style="757" customWidth="1"/>
    <col min="6659" max="6659" width="6.875" style="757" customWidth="1"/>
    <col min="6660" max="6660" width="2" style="757" customWidth="1"/>
    <col min="6661" max="6661" width="11.125" style="757" customWidth="1"/>
    <col min="6662" max="6662" width="10.5" style="757" customWidth="1"/>
    <col min="6663" max="6663" width="10.625" style="757" customWidth="1"/>
    <col min="6664" max="6664" width="13.125" style="757" customWidth="1"/>
    <col min="6665" max="6912" width="9" style="757"/>
    <col min="6913" max="6913" width="3.625" style="757" customWidth="1"/>
    <col min="6914" max="6914" width="44.75" style="757" customWidth="1"/>
    <col min="6915" max="6915" width="6.875" style="757" customWidth="1"/>
    <col min="6916" max="6916" width="2" style="757" customWidth="1"/>
    <col min="6917" max="6917" width="11.125" style="757" customWidth="1"/>
    <col min="6918" max="6918" width="10.5" style="757" customWidth="1"/>
    <col min="6919" max="6919" width="10.625" style="757" customWidth="1"/>
    <col min="6920" max="6920" width="13.125" style="757" customWidth="1"/>
    <col min="6921" max="7168" width="9" style="757"/>
    <col min="7169" max="7169" width="3.625" style="757" customWidth="1"/>
    <col min="7170" max="7170" width="44.75" style="757" customWidth="1"/>
    <col min="7171" max="7171" width="6.875" style="757" customWidth="1"/>
    <col min="7172" max="7172" width="2" style="757" customWidth="1"/>
    <col min="7173" max="7173" width="11.125" style="757" customWidth="1"/>
    <col min="7174" max="7174" width="10.5" style="757" customWidth="1"/>
    <col min="7175" max="7175" width="10.625" style="757" customWidth="1"/>
    <col min="7176" max="7176" width="13.125" style="757" customWidth="1"/>
    <col min="7177" max="7424" width="9" style="757"/>
    <col min="7425" max="7425" width="3.625" style="757" customWidth="1"/>
    <col min="7426" max="7426" width="44.75" style="757" customWidth="1"/>
    <col min="7427" max="7427" width="6.875" style="757" customWidth="1"/>
    <col min="7428" max="7428" width="2" style="757" customWidth="1"/>
    <col min="7429" max="7429" width="11.125" style="757" customWidth="1"/>
    <col min="7430" max="7430" width="10.5" style="757" customWidth="1"/>
    <col min="7431" max="7431" width="10.625" style="757" customWidth="1"/>
    <col min="7432" max="7432" width="13.125" style="757" customWidth="1"/>
    <col min="7433" max="7680" width="9" style="757"/>
    <col min="7681" max="7681" width="3.625" style="757" customWidth="1"/>
    <col min="7682" max="7682" width="44.75" style="757" customWidth="1"/>
    <col min="7683" max="7683" width="6.875" style="757" customWidth="1"/>
    <col min="7684" max="7684" width="2" style="757" customWidth="1"/>
    <col min="7685" max="7685" width="11.125" style="757" customWidth="1"/>
    <col min="7686" max="7686" width="10.5" style="757" customWidth="1"/>
    <col min="7687" max="7687" width="10.625" style="757" customWidth="1"/>
    <col min="7688" max="7688" width="13.125" style="757" customWidth="1"/>
    <col min="7689" max="7936" width="9" style="757"/>
    <col min="7937" max="7937" width="3.625" style="757" customWidth="1"/>
    <col min="7938" max="7938" width="44.75" style="757" customWidth="1"/>
    <col min="7939" max="7939" width="6.875" style="757" customWidth="1"/>
    <col min="7940" max="7940" width="2" style="757" customWidth="1"/>
    <col min="7941" max="7941" width="11.125" style="757" customWidth="1"/>
    <col min="7942" max="7942" width="10.5" style="757" customWidth="1"/>
    <col min="7943" max="7943" width="10.625" style="757" customWidth="1"/>
    <col min="7944" max="7944" width="13.125" style="757" customWidth="1"/>
    <col min="7945" max="8192" width="9" style="757"/>
    <col min="8193" max="8193" width="3.625" style="757" customWidth="1"/>
    <col min="8194" max="8194" width="44.75" style="757" customWidth="1"/>
    <col min="8195" max="8195" width="6.875" style="757" customWidth="1"/>
    <col min="8196" max="8196" width="2" style="757" customWidth="1"/>
    <col min="8197" max="8197" width="11.125" style="757" customWidth="1"/>
    <col min="8198" max="8198" width="10.5" style="757" customWidth="1"/>
    <col min="8199" max="8199" width="10.625" style="757" customWidth="1"/>
    <col min="8200" max="8200" width="13.125" style="757" customWidth="1"/>
    <col min="8201" max="8448" width="9" style="757"/>
    <col min="8449" max="8449" width="3.625" style="757" customWidth="1"/>
    <col min="8450" max="8450" width="44.75" style="757" customWidth="1"/>
    <col min="8451" max="8451" width="6.875" style="757" customWidth="1"/>
    <col min="8452" max="8452" width="2" style="757" customWidth="1"/>
    <col min="8453" max="8453" width="11.125" style="757" customWidth="1"/>
    <col min="8454" max="8454" width="10.5" style="757" customWidth="1"/>
    <col min="8455" max="8455" width="10.625" style="757" customWidth="1"/>
    <col min="8456" max="8456" width="13.125" style="757" customWidth="1"/>
    <col min="8457" max="8704" width="9" style="757"/>
    <col min="8705" max="8705" width="3.625" style="757" customWidth="1"/>
    <col min="8706" max="8706" width="44.75" style="757" customWidth="1"/>
    <col min="8707" max="8707" width="6.875" style="757" customWidth="1"/>
    <col min="8708" max="8708" width="2" style="757" customWidth="1"/>
    <col min="8709" max="8709" width="11.125" style="757" customWidth="1"/>
    <col min="8710" max="8710" width="10.5" style="757" customWidth="1"/>
    <col min="8711" max="8711" width="10.625" style="757" customWidth="1"/>
    <col min="8712" max="8712" width="13.125" style="757" customWidth="1"/>
    <col min="8713" max="8960" width="9" style="757"/>
    <col min="8961" max="8961" width="3.625" style="757" customWidth="1"/>
    <col min="8962" max="8962" width="44.75" style="757" customWidth="1"/>
    <col min="8963" max="8963" width="6.875" style="757" customWidth="1"/>
    <col min="8964" max="8964" width="2" style="757" customWidth="1"/>
    <col min="8965" max="8965" width="11.125" style="757" customWidth="1"/>
    <col min="8966" max="8966" width="10.5" style="757" customWidth="1"/>
    <col min="8967" max="8967" width="10.625" style="757" customWidth="1"/>
    <col min="8968" max="8968" width="13.125" style="757" customWidth="1"/>
    <col min="8969" max="9216" width="9" style="757"/>
    <col min="9217" max="9217" width="3.625" style="757" customWidth="1"/>
    <col min="9218" max="9218" width="44.75" style="757" customWidth="1"/>
    <col min="9219" max="9219" width="6.875" style="757" customWidth="1"/>
    <col min="9220" max="9220" width="2" style="757" customWidth="1"/>
    <col min="9221" max="9221" width="11.125" style="757" customWidth="1"/>
    <col min="9222" max="9222" width="10.5" style="757" customWidth="1"/>
    <col min="9223" max="9223" width="10.625" style="757" customWidth="1"/>
    <col min="9224" max="9224" width="13.125" style="757" customWidth="1"/>
    <col min="9225" max="9472" width="9" style="757"/>
    <col min="9473" max="9473" width="3.625" style="757" customWidth="1"/>
    <col min="9474" max="9474" width="44.75" style="757" customWidth="1"/>
    <col min="9475" max="9475" width="6.875" style="757" customWidth="1"/>
    <col min="9476" max="9476" width="2" style="757" customWidth="1"/>
    <col min="9477" max="9477" width="11.125" style="757" customWidth="1"/>
    <col min="9478" max="9478" width="10.5" style="757" customWidth="1"/>
    <col min="9479" max="9479" width="10.625" style="757" customWidth="1"/>
    <col min="9480" max="9480" width="13.125" style="757" customWidth="1"/>
    <col min="9481" max="9728" width="9" style="757"/>
    <col min="9729" max="9729" width="3.625" style="757" customWidth="1"/>
    <col min="9730" max="9730" width="44.75" style="757" customWidth="1"/>
    <col min="9731" max="9731" width="6.875" style="757" customWidth="1"/>
    <col min="9732" max="9732" width="2" style="757" customWidth="1"/>
    <col min="9733" max="9733" width="11.125" style="757" customWidth="1"/>
    <col min="9734" max="9734" width="10.5" style="757" customWidth="1"/>
    <col min="9735" max="9735" width="10.625" style="757" customWidth="1"/>
    <col min="9736" max="9736" width="13.125" style="757" customWidth="1"/>
    <col min="9737" max="9984" width="9" style="757"/>
    <col min="9985" max="9985" width="3.625" style="757" customWidth="1"/>
    <col min="9986" max="9986" width="44.75" style="757" customWidth="1"/>
    <col min="9987" max="9987" width="6.875" style="757" customWidth="1"/>
    <col min="9988" max="9988" width="2" style="757" customWidth="1"/>
    <col min="9989" max="9989" width="11.125" style="757" customWidth="1"/>
    <col min="9990" max="9990" width="10.5" style="757" customWidth="1"/>
    <col min="9991" max="9991" width="10.625" style="757" customWidth="1"/>
    <col min="9992" max="9992" width="13.125" style="757" customWidth="1"/>
    <col min="9993" max="10240" width="9" style="757"/>
    <col min="10241" max="10241" width="3.625" style="757" customWidth="1"/>
    <col min="10242" max="10242" width="44.75" style="757" customWidth="1"/>
    <col min="10243" max="10243" width="6.875" style="757" customWidth="1"/>
    <col min="10244" max="10244" width="2" style="757" customWidth="1"/>
    <col min="10245" max="10245" width="11.125" style="757" customWidth="1"/>
    <col min="10246" max="10246" width="10.5" style="757" customWidth="1"/>
    <col min="10247" max="10247" width="10.625" style="757" customWidth="1"/>
    <col min="10248" max="10248" width="13.125" style="757" customWidth="1"/>
    <col min="10249" max="10496" width="9" style="757"/>
    <col min="10497" max="10497" width="3.625" style="757" customWidth="1"/>
    <col min="10498" max="10498" width="44.75" style="757" customWidth="1"/>
    <col min="10499" max="10499" width="6.875" style="757" customWidth="1"/>
    <col min="10500" max="10500" width="2" style="757" customWidth="1"/>
    <col min="10501" max="10501" width="11.125" style="757" customWidth="1"/>
    <col min="10502" max="10502" width="10.5" style="757" customWidth="1"/>
    <col min="10503" max="10503" width="10.625" style="757" customWidth="1"/>
    <col min="10504" max="10504" width="13.125" style="757" customWidth="1"/>
    <col min="10505" max="10752" width="9" style="757"/>
    <col min="10753" max="10753" width="3.625" style="757" customWidth="1"/>
    <col min="10754" max="10754" width="44.75" style="757" customWidth="1"/>
    <col min="10755" max="10755" width="6.875" style="757" customWidth="1"/>
    <col min="10756" max="10756" width="2" style="757" customWidth="1"/>
    <col min="10757" max="10757" width="11.125" style="757" customWidth="1"/>
    <col min="10758" max="10758" width="10.5" style="757" customWidth="1"/>
    <col min="10759" max="10759" width="10.625" style="757" customWidth="1"/>
    <col min="10760" max="10760" width="13.125" style="757" customWidth="1"/>
    <col min="10761" max="11008" width="9" style="757"/>
    <col min="11009" max="11009" width="3.625" style="757" customWidth="1"/>
    <col min="11010" max="11010" width="44.75" style="757" customWidth="1"/>
    <col min="11011" max="11011" width="6.875" style="757" customWidth="1"/>
    <col min="11012" max="11012" width="2" style="757" customWidth="1"/>
    <col min="11013" max="11013" width="11.125" style="757" customWidth="1"/>
    <col min="11014" max="11014" width="10.5" style="757" customWidth="1"/>
    <col min="11015" max="11015" width="10.625" style="757" customWidth="1"/>
    <col min="11016" max="11016" width="13.125" style="757" customWidth="1"/>
    <col min="11017" max="11264" width="9" style="757"/>
    <col min="11265" max="11265" width="3.625" style="757" customWidth="1"/>
    <col min="11266" max="11266" width="44.75" style="757" customWidth="1"/>
    <col min="11267" max="11267" width="6.875" style="757" customWidth="1"/>
    <col min="11268" max="11268" width="2" style="757" customWidth="1"/>
    <col min="11269" max="11269" width="11.125" style="757" customWidth="1"/>
    <col min="11270" max="11270" width="10.5" style="757" customWidth="1"/>
    <col min="11271" max="11271" width="10.625" style="757" customWidth="1"/>
    <col min="11272" max="11272" width="13.125" style="757" customWidth="1"/>
    <col min="11273" max="11520" width="9" style="757"/>
    <col min="11521" max="11521" width="3.625" style="757" customWidth="1"/>
    <col min="11522" max="11522" width="44.75" style="757" customWidth="1"/>
    <col min="11523" max="11523" width="6.875" style="757" customWidth="1"/>
    <col min="11524" max="11524" width="2" style="757" customWidth="1"/>
    <col min="11525" max="11525" width="11.125" style="757" customWidth="1"/>
    <col min="11526" max="11526" width="10.5" style="757" customWidth="1"/>
    <col min="11527" max="11527" width="10.625" style="757" customWidth="1"/>
    <col min="11528" max="11528" width="13.125" style="757" customWidth="1"/>
    <col min="11529" max="11776" width="9" style="757"/>
    <col min="11777" max="11777" width="3.625" style="757" customWidth="1"/>
    <col min="11778" max="11778" width="44.75" style="757" customWidth="1"/>
    <col min="11779" max="11779" width="6.875" style="757" customWidth="1"/>
    <col min="11780" max="11780" width="2" style="757" customWidth="1"/>
    <col min="11781" max="11781" width="11.125" style="757" customWidth="1"/>
    <col min="11782" max="11782" width="10.5" style="757" customWidth="1"/>
    <col min="11783" max="11783" width="10.625" style="757" customWidth="1"/>
    <col min="11784" max="11784" width="13.125" style="757" customWidth="1"/>
    <col min="11785" max="12032" width="9" style="757"/>
    <col min="12033" max="12033" width="3.625" style="757" customWidth="1"/>
    <col min="12034" max="12034" width="44.75" style="757" customWidth="1"/>
    <col min="12035" max="12035" width="6.875" style="757" customWidth="1"/>
    <col min="12036" max="12036" width="2" style="757" customWidth="1"/>
    <col min="12037" max="12037" width="11.125" style="757" customWidth="1"/>
    <col min="12038" max="12038" width="10.5" style="757" customWidth="1"/>
    <col min="12039" max="12039" width="10.625" style="757" customWidth="1"/>
    <col min="12040" max="12040" width="13.125" style="757" customWidth="1"/>
    <col min="12041" max="12288" width="9" style="757"/>
    <col min="12289" max="12289" width="3.625" style="757" customWidth="1"/>
    <col min="12290" max="12290" width="44.75" style="757" customWidth="1"/>
    <col min="12291" max="12291" width="6.875" style="757" customWidth="1"/>
    <col min="12292" max="12292" width="2" style="757" customWidth="1"/>
    <col min="12293" max="12293" width="11.125" style="757" customWidth="1"/>
    <col min="12294" max="12294" width="10.5" style="757" customWidth="1"/>
    <col min="12295" max="12295" width="10.625" style="757" customWidth="1"/>
    <col min="12296" max="12296" width="13.125" style="757" customWidth="1"/>
    <col min="12297" max="12544" width="9" style="757"/>
    <col min="12545" max="12545" width="3.625" style="757" customWidth="1"/>
    <col min="12546" max="12546" width="44.75" style="757" customWidth="1"/>
    <col min="12547" max="12547" width="6.875" style="757" customWidth="1"/>
    <col min="12548" max="12548" width="2" style="757" customWidth="1"/>
    <col min="12549" max="12549" width="11.125" style="757" customWidth="1"/>
    <col min="12550" max="12550" width="10.5" style="757" customWidth="1"/>
    <col min="12551" max="12551" width="10.625" style="757" customWidth="1"/>
    <col min="12552" max="12552" width="13.125" style="757" customWidth="1"/>
    <col min="12553" max="12800" width="9" style="757"/>
    <col min="12801" max="12801" width="3.625" style="757" customWidth="1"/>
    <col min="12802" max="12802" width="44.75" style="757" customWidth="1"/>
    <col min="12803" max="12803" width="6.875" style="757" customWidth="1"/>
    <col min="12804" max="12804" width="2" style="757" customWidth="1"/>
    <col min="12805" max="12805" width="11.125" style="757" customWidth="1"/>
    <col min="12806" max="12806" width="10.5" style="757" customWidth="1"/>
    <col min="12807" max="12807" width="10.625" style="757" customWidth="1"/>
    <col min="12808" max="12808" width="13.125" style="757" customWidth="1"/>
    <col min="12809" max="13056" width="9" style="757"/>
    <col min="13057" max="13057" width="3.625" style="757" customWidth="1"/>
    <col min="13058" max="13058" width="44.75" style="757" customWidth="1"/>
    <col min="13059" max="13059" width="6.875" style="757" customWidth="1"/>
    <col min="13060" max="13060" width="2" style="757" customWidth="1"/>
    <col min="13061" max="13061" width="11.125" style="757" customWidth="1"/>
    <col min="13062" max="13062" width="10.5" style="757" customWidth="1"/>
    <col min="13063" max="13063" width="10.625" style="757" customWidth="1"/>
    <col min="13064" max="13064" width="13.125" style="757" customWidth="1"/>
    <col min="13065" max="13312" width="9" style="757"/>
    <col min="13313" max="13313" width="3.625" style="757" customWidth="1"/>
    <col min="13314" max="13314" width="44.75" style="757" customWidth="1"/>
    <col min="13315" max="13315" width="6.875" style="757" customWidth="1"/>
    <col min="13316" max="13316" width="2" style="757" customWidth="1"/>
    <col min="13317" max="13317" width="11.125" style="757" customWidth="1"/>
    <col min="13318" max="13318" width="10.5" style="757" customWidth="1"/>
    <col min="13319" max="13319" width="10.625" style="757" customWidth="1"/>
    <col min="13320" max="13320" width="13.125" style="757" customWidth="1"/>
    <col min="13321" max="13568" width="9" style="757"/>
    <col min="13569" max="13569" width="3.625" style="757" customWidth="1"/>
    <col min="13570" max="13570" width="44.75" style="757" customWidth="1"/>
    <col min="13571" max="13571" width="6.875" style="757" customWidth="1"/>
    <col min="13572" max="13572" width="2" style="757" customWidth="1"/>
    <col min="13573" max="13573" width="11.125" style="757" customWidth="1"/>
    <col min="13574" max="13574" width="10.5" style="757" customWidth="1"/>
    <col min="13575" max="13575" width="10.625" style="757" customWidth="1"/>
    <col min="13576" max="13576" width="13.125" style="757" customWidth="1"/>
    <col min="13577" max="13824" width="9" style="757"/>
    <col min="13825" max="13825" width="3.625" style="757" customWidth="1"/>
    <col min="13826" max="13826" width="44.75" style="757" customWidth="1"/>
    <col min="13827" max="13827" width="6.875" style="757" customWidth="1"/>
    <col min="13828" max="13828" width="2" style="757" customWidth="1"/>
    <col min="13829" max="13829" width="11.125" style="757" customWidth="1"/>
    <col min="13830" max="13830" width="10.5" style="757" customWidth="1"/>
    <col min="13831" max="13831" width="10.625" style="757" customWidth="1"/>
    <col min="13832" max="13832" width="13.125" style="757" customWidth="1"/>
    <col min="13833" max="14080" width="9" style="757"/>
    <col min="14081" max="14081" width="3.625" style="757" customWidth="1"/>
    <col min="14082" max="14082" width="44.75" style="757" customWidth="1"/>
    <col min="14083" max="14083" width="6.875" style="757" customWidth="1"/>
    <col min="14084" max="14084" width="2" style="757" customWidth="1"/>
    <col min="14085" max="14085" width="11.125" style="757" customWidth="1"/>
    <col min="14086" max="14086" width="10.5" style="757" customWidth="1"/>
    <col min="14087" max="14087" width="10.625" style="757" customWidth="1"/>
    <col min="14088" max="14088" width="13.125" style="757" customWidth="1"/>
    <col min="14089" max="14336" width="9" style="757"/>
    <col min="14337" max="14337" width="3.625" style="757" customWidth="1"/>
    <col min="14338" max="14338" width="44.75" style="757" customWidth="1"/>
    <col min="14339" max="14339" width="6.875" style="757" customWidth="1"/>
    <col min="14340" max="14340" width="2" style="757" customWidth="1"/>
    <col min="14341" max="14341" width="11.125" style="757" customWidth="1"/>
    <col min="14342" max="14342" width="10.5" style="757" customWidth="1"/>
    <col min="14343" max="14343" width="10.625" style="757" customWidth="1"/>
    <col min="14344" max="14344" width="13.125" style="757" customWidth="1"/>
    <col min="14345" max="14592" width="9" style="757"/>
    <col min="14593" max="14593" width="3.625" style="757" customWidth="1"/>
    <col min="14594" max="14594" width="44.75" style="757" customWidth="1"/>
    <col min="14595" max="14595" width="6.875" style="757" customWidth="1"/>
    <col min="14596" max="14596" width="2" style="757" customWidth="1"/>
    <col min="14597" max="14597" width="11.125" style="757" customWidth="1"/>
    <col min="14598" max="14598" width="10.5" style="757" customWidth="1"/>
    <col min="14599" max="14599" width="10.625" style="757" customWidth="1"/>
    <col min="14600" max="14600" width="13.125" style="757" customWidth="1"/>
    <col min="14601" max="14848" width="9" style="757"/>
    <col min="14849" max="14849" width="3.625" style="757" customWidth="1"/>
    <col min="14850" max="14850" width="44.75" style="757" customWidth="1"/>
    <col min="14851" max="14851" width="6.875" style="757" customWidth="1"/>
    <col min="14852" max="14852" width="2" style="757" customWidth="1"/>
    <col min="14853" max="14853" width="11.125" style="757" customWidth="1"/>
    <col min="14854" max="14854" width="10.5" style="757" customWidth="1"/>
    <col min="14855" max="14855" width="10.625" style="757" customWidth="1"/>
    <col min="14856" max="14856" width="13.125" style="757" customWidth="1"/>
    <col min="14857" max="15104" width="9" style="757"/>
    <col min="15105" max="15105" width="3.625" style="757" customWidth="1"/>
    <col min="15106" max="15106" width="44.75" style="757" customWidth="1"/>
    <col min="15107" max="15107" width="6.875" style="757" customWidth="1"/>
    <col min="15108" max="15108" width="2" style="757" customWidth="1"/>
    <col min="15109" max="15109" width="11.125" style="757" customWidth="1"/>
    <col min="15110" max="15110" width="10.5" style="757" customWidth="1"/>
    <col min="15111" max="15111" width="10.625" style="757" customWidth="1"/>
    <col min="15112" max="15112" width="13.125" style="757" customWidth="1"/>
    <col min="15113" max="15360" width="9" style="757"/>
    <col min="15361" max="15361" width="3.625" style="757" customWidth="1"/>
    <col min="15362" max="15362" width="44.75" style="757" customWidth="1"/>
    <col min="15363" max="15363" width="6.875" style="757" customWidth="1"/>
    <col min="15364" max="15364" width="2" style="757" customWidth="1"/>
    <col min="15365" max="15365" width="11.125" style="757" customWidth="1"/>
    <col min="15366" max="15366" width="10.5" style="757" customWidth="1"/>
    <col min="15367" max="15367" width="10.625" style="757" customWidth="1"/>
    <col min="15368" max="15368" width="13.125" style="757" customWidth="1"/>
    <col min="15369" max="15616" width="9" style="757"/>
    <col min="15617" max="15617" width="3.625" style="757" customWidth="1"/>
    <col min="15618" max="15618" width="44.75" style="757" customWidth="1"/>
    <col min="15619" max="15619" width="6.875" style="757" customWidth="1"/>
    <col min="15620" max="15620" width="2" style="757" customWidth="1"/>
    <col min="15621" max="15621" width="11.125" style="757" customWidth="1"/>
    <col min="15622" max="15622" width="10.5" style="757" customWidth="1"/>
    <col min="15623" max="15623" width="10.625" style="757" customWidth="1"/>
    <col min="15624" max="15624" width="13.125" style="757" customWidth="1"/>
    <col min="15625" max="15872" width="9" style="757"/>
    <col min="15873" max="15873" width="3.625" style="757" customWidth="1"/>
    <col min="15874" max="15874" width="44.75" style="757" customWidth="1"/>
    <col min="15875" max="15875" width="6.875" style="757" customWidth="1"/>
    <col min="15876" max="15876" width="2" style="757" customWidth="1"/>
    <col min="15877" max="15877" width="11.125" style="757" customWidth="1"/>
    <col min="15878" max="15878" width="10.5" style="757" customWidth="1"/>
    <col min="15879" max="15879" width="10.625" style="757" customWidth="1"/>
    <col min="15880" max="15880" width="13.125" style="757" customWidth="1"/>
    <col min="15881" max="16128" width="9" style="757"/>
    <col min="16129" max="16129" width="3.625" style="757" customWidth="1"/>
    <col min="16130" max="16130" width="44.75" style="757" customWidth="1"/>
    <col min="16131" max="16131" width="6.875" style="757" customWidth="1"/>
    <col min="16132" max="16132" width="2" style="757" customWidth="1"/>
    <col min="16133" max="16133" width="11.125" style="757" customWidth="1"/>
    <col min="16134" max="16134" width="10.5" style="757" customWidth="1"/>
    <col min="16135" max="16135" width="10.625" style="757" customWidth="1"/>
    <col min="16136" max="16136" width="13.125" style="757" customWidth="1"/>
    <col min="16137" max="16384" width="9" style="757"/>
  </cols>
  <sheetData>
    <row r="1" spans="1:8" s="752" customFormat="1" ht="15">
      <c r="A1" s="748"/>
      <c r="B1" s="749"/>
      <c r="C1" s="750"/>
      <c r="D1" s="750"/>
      <c r="E1" s="751"/>
      <c r="F1" s="751" t="s">
        <v>1370</v>
      </c>
      <c r="G1" s="751"/>
    </row>
    <row r="2" spans="1:8" s="752" customFormat="1" ht="15">
      <c r="A2" s="748"/>
      <c r="B2" s="749"/>
      <c r="C2" s="750"/>
      <c r="D2" s="750"/>
      <c r="E2" s="753"/>
      <c r="F2" s="753" t="s">
        <v>1348</v>
      </c>
      <c r="G2" s="753"/>
    </row>
    <row r="3" spans="1:8" s="752" customFormat="1" ht="15">
      <c r="A3" s="748"/>
      <c r="B3" s="749"/>
      <c r="C3" s="750"/>
      <c r="D3" s="750"/>
      <c r="E3" s="751"/>
      <c r="F3" s="751" t="s">
        <v>157</v>
      </c>
      <c r="G3" s="751"/>
    </row>
    <row r="4" spans="1:8" s="752" customFormat="1" ht="18.75" customHeight="1">
      <c r="A4" s="748"/>
      <c r="B4" s="749"/>
      <c r="C4" s="751"/>
      <c r="D4" s="751"/>
      <c r="E4" s="751"/>
      <c r="F4" s="751"/>
      <c r="G4" s="751"/>
      <c r="H4" s="751"/>
    </row>
    <row r="5" spans="1:8" s="752" customFormat="1" ht="39" customHeight="1">
      <c r="A5" s="1263" t="s">
        <v>1349</v>
      </c>
      <c r="B5" s="1263"/>
      <c r="C5" s="1263"/>
      <c r="D5" s="1263"/>
      <c r="E5" s="1263"/>
      <c r="F5" s="1263"/>
      <c r="G5" s="1263"/>
      <c r="H5" s="1263"/>
    </row>
    <row r="6" spans="1:8" ht="17.25" customHeight="1"/>
    <row r="7" spans="1:8" ht="15.75" customHeight="1">
      <c r="H7" s="754" t="s">
        <v>35</v>
      </c>
    </row>
    <row r="8" spans="1:8" s="759" customFormat="1" ht="56.25" customHeight="1">
      <c r="A8" s="758" t="s">
        <v>902</v>
      </c>
      <c r="B8" s="758" t="s">
        <v>1350</v>
      </c>
      <c r="C8" s="758" t="s">
        <v>337</v>
      </c>
      <c r="D8" s="758" t="s">
        <v>99</v>
      </c>
      <c r="E8" s="758" t="s">
        <v>1351</v>
      </c>
      <c r="F8" s="758" t="s">
        <v>904</v>
      </c>
      <c r="G8" s="758" t="s">
        <v>928</v>
      </c>
      <c r="H8" s="758" t="s">
        <v>1352</v>
      </c>
    </row>
    <row r="9" spans="1:8" s="761" customFormat="1">
      <c r="A9" s="760" t="s">
        <v>72</v>
      </c>
      <c r="B9" s="760" t="s">
        <v>73</v>
      </c>
      <c r="C9" s="760" t="s">
        <v>74</v>
      </c>
      <c r="D9" s="760"/>
      <c r="E9" s="760" t="s">
        <v>80</v>
      </c>
      <c r="F9" s="760" t="s">
        <v>81</v>
      </c>
      <c r="G9" s="760" t="s">
        <v>82</v>
      </c>
      <c r="H9" s="760" t="s">
        <v>83</v>
      </c>
    </row>
    <row r="10" spans="1:8" s="764" customFormat="1" ht="15" hidden="1" customHeight="1">
      <c r="A10" s="1248" t="s">
        <v>72</v>
      </c>
      <c r="B10" s="1251" t="s">
        <v>1353</v>
      </c>
      <c r="C10" s="1254">
        <v>80147</v>
      </c>
      <c r="D10" s="762" t="s">
        <v>0</v>
      </c>
      <c r="E10" s="763">
        <v>0</v>
      </c>
      <c r="F10" s="763">
        <v>26000</v>
      </c>
      <c r="G10" s="763">
        <v>26000</v>
      </c>
      <c r="H10" s="763">
        <v>0</v>
      </c>
    </row>
    <row r="11" spans="1:8" s="764" customFormat="1" ht="15" hidden="1" customHeight="1">
      <c r="A11" s="1249"/>
      <c r="B11" s="1252"/>
      <c r="C11" s="1255"/>
      <c r="D11" s="762" t="s">
        <v>1</v>
      </c>
      <c r="E11" s="763">
        <v>0</v>
      </c>
      <c r="F11" s="763">
        <v>0</v>
      </c>
      <c r="G11" s="763">
        <v>0</v>
      </c>
      <c r="H11" s="763">
        <v>0</v>
      </c>
    </row>
    <row r="12" spans="1:8" s="764" customFormat="1" ht="15" hidden="1" customHeight="1">
      <c r="A12" s="1250"/>
      <c r="B12" s="1253"/>
      <c r="C12" s="1256"/>
      <c r="D12" s="762" t="s">
        <v>2</v>
      </c>
      <c r="E12" s="763">
        <f>E10+E11</f>
        <v>0</v>
      </c>
      <c r="F12" s="763">
        <f>F10+F11</f>
        <v>26000</v>
      </c>
      <c r="G12" s="763">
        <f>G10+G11</f>
        <v>26000</v>
      </c>
      <c r="H12" s="763">
        <f>H10+H11</f>
        <v>0</v>
      </c>
    </row>
    <row r="13" spans="1:8" s="764" customFormat="1" ht="15" hidden="1" customHeight="1">
      <c r="A13" s="1248" t="s">
        <v>73</v>
      </c>
      <c r="B13" s="1251" t="s">
        <v>438</v>
      </c>
      <c r="C13" s="1254">
        <v>80146</v>
      </c>
      <c r="D13" s="762" t="s">
        <v>0</v>
      </c>
      <c r="E13" s="763">
        <v>0</v>
      </c>
      <c r="F13" s="763">
        <v>400000</v>
      </c>
      <c r="G13" s="763">
        <v>400000</v>
      </c>
      <c r="H13" s="763">
        <v>0</v>
      </c>
    </row>
    <row r="14" spans="1:8" s="764" customFormat="1" ht="15" hidden="1" customHeight="1">
      <c r="A14" s="1249"/>
      <c r="B14" s="1252"/>
      <c r="C14" s="1255"/>
      <c r="D14" s="762" t="s">
        <v>1</v>
      </c>
      <c r="E14" s="763">
        <v>0</v>
      </c>
      <c r="F14" s="763">
        <v>0</v>
      </c>
      <c r="G14" s="763">
        <v>0</v>
      </c>
      <c r="H14" s="763">
        <v>0</v>
      </c>
    </row>
    <row r="15" spans="1:8" s="764" customFormat="1" ht="15" hidden="1" customHeight="1">
      <c r="A15" s="1250"/>
      <c r="B15" s="1253"/>
      <c r="C15" s="1256"/>
      <c r="D15" s="762" t="s">
        <v>2</v>
      </c>
      <c r="E15" s="763">
        <f>E13+E14</f>
        <v>0</v>
      </c>
      <c r="F15" s="763">
        <f>F13+F14</f>
        <v>400000</v>
      </c>
      <c r="G15" s="763">
        <f>G13+G14</f>
        <v>400000</v>
      </c>
      <c r="H15" s="763">
        <f>H13+H14</f>
        <v>0</v>
      </c>
    </row>
    <row r="16" spans="1:8" s="764" customFormat="1" ht="15" hidden="1" customHeight="1">
      <c r="A16" s="1248" t="s">
        <v>74</v>
      </c>
      <c r="B16" s="1251" t="s">
        <v>1354</v>
      </c>
      <c r="C16" s="1254">
        <v>80146</v>
      </c>
      <c r="D16" s="762" t="s">
        <v>0</v>
      </c>
      <c r="E16" s="763">
        <v>0</v>
      </c>
      <c r="F16" s="763">
        <v>300000</v>
      </c>
      <c r="G16" s="763">
        <v>300000</v>
      </c>
      <c r="H16" s="763">
        <v>0</v>
      </c>
    </row>
    <row r="17" spans="1:8" s="764" customFormat="1" ht="15" hidden="1" customHeight="1">
      <c r="A17" s="1249"/>
      <c r="B17" s="1252"/>
      <c r="C17" s="1255"/>
      <c r="D17" s="762" t="s">
        <v>1</v>
      </c>
      <c r="E17" s="763">
        <v>0</v>
      </c>
      <c r="F17" s="763"/>
      <c r="G17" s="763"/>
      <c r="H17" s="763">
        <v>0</v>
      </c>
    </row>
    <row r="18" spans="1:8" s="764" customFormat="1" ht="15" hidden="1" customHeight="1">
      <c r="A18" s="1250"/>
      <c r="B18" s="1253"/>
      <c r="C18" s="1256"/>
      <c r="D18" s="762" t="s">
        <v>2</v>
      </c>
      <c r="E18" s="763">
        <f>E16+E17</f>
        <v>0</v>
      </c>
      <c r="F18" s="763">
        <f>F16+F17</f>
        <v>300000</v>
      </c>
      <c r="G18" s="763">
        <f>G16+G17</f>
        <v>300000</v>
      </c>
      <c r="H18" s="763">
        <f>H16+H17</f>
        <v>0</v>
      </c>
    </row>
    <row r="19" spans="1:8" s="764" customFormat="1" ht="15" hidden="1" customHeight="1">
      <c r="A19" s="1248" t="s">
        <v>80</v>
      </c>
      <c r="B19" s="1251" t="s">
        <v>1355</v>
      </c>
      <c r="C19" s="1254" t="s">
        <v>408</v>
      </c>
      <c r="D19" s="762" t="s">
        <v>0</v>
      </c>
      <c r="E19" s="763">
        <v>0</v>
      </c>
      <c r="F19" s="763">
        <f t="shared" ref="F19:G21" si="0">F22+F25</f>
        <v>130300</v>
      </c>
      <c r="G19" s="763">
        <f t="shared" si="0"/>
        <v>130300</v>
      </c>
      <c r="H19" s="763">
        <v>0</v>
      </c>
    </row>
    <row r="20" spans="1:8" s="764" customFormat="1" ht="15" hidden="1" customHeight="1">
      <c r="A20" s="1249"/>
      <c r="B20" s="1252"/>
      <c r="C20" s="1255"/>
      <c r="D20" s="762" t="s">
        <v>1</v>
      </c>
      <c r="E20" s="763">
        <v>0</v>
      </c>
      <c r="F20" s="763">
        <f t="shared" si="0"/>
        <v>0</v>
      </c>
      <c r="G20" s="763">
        <f t="shared" si="0"/>
        <v>0</v>
      </c>
      <c r="H20" s="763">
        <v>0</v>
      </c>
    </row>
    <row r="21" spans="1:8" s="764" customFormat="1" ht="15" hidden="1" customHeight="1">
      <c r="A21" s="1249"/>
      <c r="B21" s="1252"/>
      <c r="C21" s="1256"/>
      <c r="D21" s="762" t="s">
        <v>2</v>
      </c>
      <c r="E21" s="763">
        <v>0</v>
      </c>
      <c r="F21" s="763">
        <f t="shared" si="0"/>
        <v>130300</v>
      </c>
      <c r="G21" s="763">
        <f t="shared" si="0"/>
        <v>130300</v>
      </c>
      <c r="H21" s="763">
        <v>0</v>
      </c>
    </row>
    <row r="22" spans="1:8" s="770" customFormat="1" ht="15" hidden="1" customHeight="1">
      <c r="A22" s="1259"/>
      <c r="B22" s="1260"/>
      <c r="C22" s="1245">
        <v>80146</v>
      </c>
      <c r="D22" s="768" t="s">
        <v>0</v>
      </c>
      <c r="E22" s="769">
        <v>0</v>
      </c>
      <c r="F22" s="769">
        <v>123800</v>
      </c>
      <c r="G22" s="769">
        <v>123800</v>
      </c>
      <c r="H22" s="769">
        <v>0</v>
      </c>
    </row>
    <row r="23" spans="1:8" s="770" customFormat="1" ht="15" hidden="1" customHeight="1">
      <c r="A23" s="1259"/>
      <c r="B23" s="1260"/>
      <c r="C23" s="1246"/>
      <c r="D23" s="768" t="s">
        <v>1</v>
      </c>
      <c r="E23" s="769">
        <v>0</v>
      </c>
      <c r="F23" s="769"/>
      <c r="G23" s="769"/>
      <c r="H23" s="769">
        <v>0</v>
      </c>
    </row>
    <row r="24" spans="1:8" s="770" customFormat="1" ht="15" hidden="1" customHeight="1">
      <c r="A24" s="1259"/>
      <c r="B24" s="1260"/>
      <c r="C24" s="1247"/>
      <c r="D24" s="768" t="s">
        <v>2</v>
      </c>
      <c r="E24" s="769">
        <v>0</v>
      </c>
      <c r="F24" s="769">
        <f>F22+F23</f>
        <v>123800</v>
      </c>
      <c r="G24" s="769">
        <f>G22+G23</f>
        <v>123800</v>
      </c>
      <c r="H24" s="769">
        <v>0</v>
      </c>
    </row>
    <row r="25" spans="1:8" s="770" customFormat="1" ht="15" hidden="1" customHeight="1">
      <c r="A25" s="1259"/>
      <c r="B25" s="1260"/>
      <c r="C25" s="1245">
        <v>80147</v>
      </c>
      <c r="D25" s="768" t="s">
        <v>0</v>
      </c>
      <c r="E25" s="769">
        <v>0</v>
      </c>
      <c r="F25" s="769">
        <v>6500</v>
      </c>
      <c r="G25" s="769">
        <v>6500</v>
      </c>
      <c r="H25" s="769">
        <v>0</v>
      </c>
    </row>
    <row r="26" spans="1:8" s="770" customFormat="1" ht="15" hidden="1" customHeight="1">
      <c r="A26" s="1259"/>
      <c r="B26" s="1260"/>
      <c r="C26" s="1246"/>
      <c r="D26" s="768" t="s">
        <v>1</v>
      </c>
      <c r="E26" s="769">
        <v>0</v>
      </c>
      <c r="F26" s="769"/>
      <c r="G26" s="769"/>
      <c r="H26" s="769">
        <v>0</v>
      </c>
    </row>
    <row r="27" spans="1:8" s="770" customFormat="1" ht="15" hidden="1" customHeight="1">
      <c r="A27" s="1261"/>
      <c r="B27" s="1262"/>
      <c r="C27" s="1247"/>
      <c r="D27" s="768" t="s">
        <v>2</v>
      </c>
      <c r="E27" s="769">
        <v>0</v>
      </c>
      <c r="F27" s="769">
        <f>F25+F26</f>
        <v>6500</v>
      </c>
      <c r="G27" s="769">
        <f>G25+G26</f>
        <v>6500</v>
      </c>
      <c r="H27" s="769">
        <v>0</v>
      </c>
    </row>
    <row r="28" spans="1:8" s="764" customFormat="1" ht="15" hidden="1" customHeight="1">
      <c r="A28" s="1248" t="s">
        <v>81</v>
      </c>
      <c r="B28" s="1251" t="s">
        <v>436</v>
      </c>
      <c r="C28" s="1254">
        <v>85410</v>
      </c>
      <c r="D28" s="762" t="s">
        <v>0</v>
      </c>
      <c r="E28" s="763">
        <v>0</v>
      </c>
      <c r="F28" s="763">
        <v>675500</v>
      </c>
      <c r="G28" s="763">
        <v>675500</v>
      </c>
      <c r="H28" s="763">
        <v>0</v>
      </c>
    </row>
    <row r="29" spans="1:8" s="764" customFormat="1" ht="15" hidden="1" customHeight="1">
      <c r="A29" s="1249"/>
      <c r="B29" s="1252"/>
      <c r="C29" s="1255"/>
      <c r="D29" s="762" t="s">
        <v>1</v>
      </c>
      <c r="E29" s="763">
        <v>0</v>
      </c>
      <c r="F29" s="763"/>
      <c r="G29" s="763"/>
      <c r="H29" s="763">
        <v>0</v>
      </c>
    </row>
    <row r="30" spans="1:8" s="764" customFormat="1" ht="15" hidden="1" customHeight="1">
      <c r="A30" s="1250"/>
      <c r="B30" s="1253"/>
      <c r="C30" s="1256"/>
      <c r="D30" s="762" t="s">
        <v>2</v>
      </c>
      <c r="E30" s="763">
        <f>E28+E29</f>
        <v>0</v>
      </c>
      <c r="F30" s="763">
        <f>F28+F29</f>
        <v>675500</v>
      </c>
      <c r="G30" s="763">
        <f>G28+G29</f>
        <v>675500</v>
      </c>
      <c r="H30" s="763">
        <f>H28+H29</f>
        <v>0</v>
      </c>
    </row>
    <row r="31" spans="1:8" s="764" customFormat="1" ht="15" customHeight="1">
      <c r="A31" s="1248" t="s">
        <v>82</v>
      </c>
      <c r="B31" s="1251" t="s">
        <v>1356</v>
      </c>
      <c r="C31" s="1254">
        <v>85403</v>
      </c>
      <c r="D31" s="762" t="s">
        <v>0</v>
      </c>
      <c r="E31" s="763">
        <v>0</v>
      </c>
      <c r="F31" s="763">
        <v>264000</v>
      </c>
      <c r="G31" s="763">
        <v>264000</v>
      </c>
      <c r="H31" s="763">
        <v>0</v>
      </c>
    </row>
    <row r="32" spans="1:8" s="764" customFormat="1" ht="15" customHeight="1">
      <c r="A32" s="1249"/>
      <c r="B32" s="1252"/>
      <c r="C32" s="1255"/>
      <c r="D32" s="762" t="s">
        <v>1</v>
      </c>
      <c r="E32" s="763">
        <v>0</v>
      </c>
      <c r="F32" s="763">
        <v>35444</v>
      </c>
      <c r="G32" s="763">
        <v>35444</v>
      </c>
      <c r="H32" s="763">
        <v>0</v>
      </c>
    </row>
    <row r="33" spans="1:8" s="764" customFormat="1" ht="15" customHeight="1">
      <c r="A33" s="1249"/>
      <c r="B33" s="1252"/>
      <c r="C33" s="1256"/>
      <c r="D33" s="762" t="s">
        <v>2</v>
      </c>
      <c r="E33" s="763">
        <f>E31+E32</f>
        <v>0</v>
      </c>
      <c r="F33" s="763">
        <f>F31+F32</f>
        <v>299444</v>
      </c>
      <c r="G33" s="763">
        <f>G31+G32</f>
        <v>299444</v>
      </c>
      <c r="H33" s="763">
        <f>H31+H32</f>
        <v>0</v>
      </c>
    </row>
    <row r="34" spans="1:8" s="771" customFormat="1" ht="15" hidden="1" customHeight="1">
      <c r="A34" s="1248" t="s">
        <v>83</v>
      </c>
      <c r="B34" s="1251" t="s">
        <v>1357</v>
      </c>
      <c r="C34" s="1254">
        <v>85403</v>
      </c>
      <c r="D34" s="762" t="s">
        <v>0</v>
      </c>
      <c r="E34" s="763">
        <v>0</v>
      </c>
      <c r="F34" s="763">
        <v>616000</v>
      </c>
      <c r="G34" s="763">
        <v>616000</v>
      </c>
      <c r="H34" s="763">
        <v>0</v>
      </c>
    </row>
    <row r="35" spans="1:8" s="771" customFormat="1" ht="15" hidden="1" customHeight="1">
      <c r="A35" s="1249"/>
      <c r="B35" s="1252"/>
      <c r="C35" s="1255"/>
      <c r="D35" s="762" t="s">
        <v>1</v>
      </c>
      <c r="E35" s="763">
        <v>0</v>
      </c>
      <c r="F35" s="763"/>
      <c r="G35" s="763"/>
      <c r="H35" s="763">
        <v>0</v>
      </c>
    </row>
    <row r="36" spans="1:8" s="771" customFormat="1" ht="15" hidden="1" customHeight="1">
      <c r="A36" s="1250"/>
      <c r="B36" s="1253"/>
      <c r="C36" s="1256"/>
      <c r="D36" s="762" t="s">
        <v>2</v>
      </c>
      <c r="E36" s="763">
        <f>E34+E35</f>
        <v>0</v>
      </c>
      <c r="F36" s="763">
        <f>F34+F35</f>
        <v>616000</v>
      </c>
      <c r="G36" s="763">
        <f>G34+G35</f>
        <v>616000</v>
      </c>
      <c r="H36" s="763">
        <f>H34+H35</f>
        <v>0</v>
      </c>
    </row>
    <row r="37" spans="1:8" s="771" customFormat="1" ht="15" hidden="1" customHeight="1">
      <c r="A37" s="1248" t="s">
        <v>1358</v>
      </c>
      <c r="B37" s="1251" t="s">
        <v>1359</v>
      </c>
      <c r="C37" s="1254">
        <v>85403</v>
      </c>
      <c r="D37" s="762" t="s">
        <v>0</v>
      </c>
      <c r="E37" s="763">
        <v>0</v>
      </c>
      <c r="F37" s="763">
        <v>255000</v>
      </c>
      <c r="G37" s="763">
        <v>255000</v>
      </c>
      <c r="H37" s="763">
        <v>0</v>
      </c>
    </row>
    <row r="38" spans="1:8" s="771" customFormat="1" ht="15" hidden="1" customHeight="1">
      <c r="A38" s="1249"/>
      <c r="B38" s="1252"/>
      <c r="C38" s="1255"/>
      <c r="D38" s="762" t="s">
        <v>1</v>
      </c>
      <c r="E38" s="763">
        <v>0</v>
      </c>
      <c r="F38" s="763"/>
      <c r="G38" s="763"/>
      <c r="H38" s="763">
        <v>0</v>
      </c>
    </row>
    <row r="39" spans="1:8" s="771" customFormat="1" ht="15" hidden="1" customHeight="1">
      <c r="A39" s="1250"/>
      <c r="B39" s="1253"/>
      <c r="C39" s="1256"/>
      <c r="D39" s="762" t="s">
        <v>2</v>
      </c>
      <c r="E39" s="763">
        <f>E37+E38</f>
        <v>0</v>
      </c>
      <c r="F39" s="763">
        <f>F37+F38</f>
        <v>255000</v>
      </c>
      <c r="G39" s="763">
        <f>G37+G38</f>
        <v>255000</v>
      </c>
      <c r="H39" s="763">
        <f>H37+H38</f>
        <v>0</v>
      </c>
    </row>
    <row r="40" spans="1:8" s="764" customFormat="1" ht="15" hidden="1" customHeight="1">
      <c r="A40" s="1248" t="s">
        <v>1360</v>
      </c>
      <c r="B40" s="1251" t="s">
        <v>1361</v>
      </c>
      <c r="C40" s="1254" t="s">
        <v>408</v>
      </c>
      <c r="D40" s="772" t="s">
        <v>0</v>
      </c>
      <c r="E40" s="763">
        <f t="shared" ref="E40:H42" si="1">E43+E46</f>
        <v>0</v>
      </c>
      <c r="F40" s="763">
        <f t="shared" si="1"/>
        <v>23473</v>
      </c>
      <c r="G40" s="763">
        <f t="shared" si="1"/>
        <v>23473</v>
      </c>
      <c r="H40" s="763">
        <f t="shared" si="1"/>
        <v>0</v>
      </c>
    </row>
    <row r="41" spans="1:8" s="764" customFormat="1" ht="15" hidden="1" customHeight="1">
      <c r="A41" s="1249"/>
      <c r="B41" s="1252"/>
      <c r="C41" s="1255"/>
      <c r="D41" s="772" t="s">
        <v>1</v>
      </c>
      <c r="E41" s="763">
        <f t="shared" si="1"/>
        <v>0</v>
      </c>
      <c r="F41" s="763">
        <f t="shared" si="1"/>
        <v>0</v>
      </c>
      <c r="G41" s="763">
        <f t="shared" si="1"/>
        <v>0</v>
      </c>
      <c r="H41" s="763">
        <f t="shared" si="1"/>
        <v>0</v>
      </c>
    </row>
    <row r="42" spans="1:8" s="764" customFormat="1" ht="15" hidden="1" customHeight="1">
      <c r="A42" s="1249"/>
      <c r="B42" s="1252"/>
      <c r="C42" s="1256"/>
      <c r="D42" s="772" t="s">
        <v>2</v>
      </c>
      <c r="E42" s="763">
        <f t="shared" si="1"/>
        <v>0</v>
      </c>
      <c r="F42" s="763">
        <f t="shared" si="1"/>
        <v>23473</v>
      </c>
      <c r="G42" s="763">
        <f t="shared" si="1"/>
        <v>23473</v>
      </c>
      <c r="H42" s="763">
        <f t="shared" si="1"/>
        <v>0</v>
      </c>
    </row>
    <row r="43" spans="1:8" s="764" customFormat="1" ht="15" hidden="1" customHeight="1">
      <c r="A43" s="765"/>
      <c r="B43" s="773"/>
      <c r="C43" s="1245">
        <v>80116</v>
      </c>
      <c r="D43" s="768" t="s">
        <v>0</v>
      </c>
      <c r="E43" s="769">
        <v>0</v>
      </c>
      <c r="F43" s="769">
        <v>5473</v>
      </c>
      <c r="G43" s="769">
        <v>5473</v>
      </c>
      <c r="H43" s="769">
        <v>0</v>
      </c>
    </row>
    <row r="44" spans="1:8" s="764" customFormat="1" ht="15" hidden="1" customHeight="1">
      <c r="A44" s="765"/>
      <c r="B44" s="774"/>
      <c r="C44" s="1246"/>
      <c r="D44" s="768" t="s">
        <v>1</v>
      </c>
      <c r="E44" s="769">
        <v>0</v>
      </c>
      <c r="F44" s="769"/>
      <c r="G44" s="769"/>
      <c r="H44" s="769">
        <v>0</v>
      </c>
    </row>
    <row r="45" spans="1:8" s="764" customFormat="1" ht="15" hidden="1" customHeight="1">
      <c r="A45" s="765"/>
      <c r="B45" s="774"/>
      <c r="C45" s="1247"/>
      <c r="D45" s="768" t="s">
        <v>2</v>
      </c>
      <c r="E45" s="769">
        <f>E43+E44</f>
        <v>0</v>
      </c>
      <c r="F45" s="769">
        <f>F43+F44</f>
        <v>5473</v>
      </c>
      <c r="G45" s="769">
        <f>G43+G44</f>
        <v>5473</v>
      </c>
      <c r="H45" s="769">
        <f>H43+H44</f>
        <v>0</v>
      </c>
    </row>
    <row r="46" spans="1:8" s="764" customFormat="1" ht="15" hidden="1" customHeight="1">
      <c r="A46" s="765"/>
      <c r="B46" s="766"/>
      <c r="C46" s="1245">
        <v>80140</v>
      </c>
      <c r="D46" s="775" t="s">
        <v>0</v>
      </c>
      <c r="E46" s="769">
        <v>0</v>
      </c>
      <c r="F46" s="769">
        <v>18000</v>
      </c>
      <c r="G46" s="769">
        <v>18000</v>
      </c>
      <c r="H46" s="769">
        <v>0</v>
      </c>
    </row>
    <row r="47" spans="1:8" s="764" customFormat="1" ht="15" hidden="1" customHeight="1">
      <c r="A47" s="765"/>
      <c r="B47" s="766"/>
      <c r="C47" s="1246"/>
      <c r="D47" s="775" t="s">
        <v>1</v>
      </c>
      <c r="E47" s="769">
        <v>0</v>
      </c>
      <c r="F47" s="769"/>
      <c r="G47" s="769"/>
      <c r="H47" s="769">
        <v>0</v>
      </c>
    </row>
    <row r="48" spans="1:8" s="764" customFormat="1" ht="15" hidden="1" customHeight="1">
      <c r="A48" s="767"/>
      <c r="B48" s="766"/>
      <c r="C48" s="1247"/>
      <c r="D48" s="775" t="s">
        <v>2</v>
      </c>
      <c r="E48" s="769">
        <f>E46+E47</f>
        <v>0</v>
      </c>
      <c r="F48" s="769">
        <f>F46+F47</f>
        <v>18000</v>
      </c>
      <c r="G48" s="769">
        <f>G46+G47</f>
        <v>18000</v>
      </c>
      <c r="H48" s="769">
        <f>H46+H47</f>
        <v>0</v>
      </c>
    </row>
    <row r="49" spans="1:8" s="764" customFormat="1" ht="15" hidden="1" customHeight="1">
      <c r="A49" s="1248" t="s">
        <v>1362</v>
      </c>
      <c r="B49" s="1257" t="s">
        <v>1363</v>
      </c>
      <c r="C49" s="1254" t="s">
        <v>408</v>
      </c>
      <c r="D49" s="762" t="s">
        <v>0</v>
      </c>
      <c r="E49" s="763">
        <f t="shared" ref="E49:H51" si="2">E52+E55</f>
        <v>0</v>
      </c>
      <c r="F49" s="763">
        <f t="shared" si="2"/>
        <v>77000</v>
      </c>
      <c r="G49" s="763">
        <f t="shared" si="2"/>
        <v>77000</v>
      </c>
      <c r="H49" s="763">
        <f t="shared" si="2"/>
        <v>0</v>
      </c>
    </row>
    <row r="50" spans="1:8" s="764" customFormat="1" ht="15" hidden="1" customHeight="1">
      <c r="A50" s="1249"/>
      <c r="B50" s="1258"/>
      <c r="C50" s="1255"/>
      <c r="D50" s="762" t="s">
        <v>1</v>
      </c>
      <c r="E50" s="763">
        <f t="shared" si="2"/>
        <v>0</v>
      </c>
      <c r="F50" s="763">
        <f t="shared" si="2"/>
        <v>0</v>
      </c>
      <c r="G50" s="763">
        <f t="shared" si="2"/>
        <v>0</v>
      </c>
      <c r="H50" s="763">
        <f t="shared" si="2"/>
        <v>0</v>
      </c>
    </row>
    <row r="51" spans="1:8" s="764" customFormat="1" ht="15" hidden="1" customHeight="1">
      <c r="A51" s="1249"/>
      <c r="B51" s="1258"/>
      <c r="C51" s="1256"/>
      <c r="D51" s="762" t="s">
        <v>2</v>
      </c>
      <c r="E51" s="763">
        <f t="shared" si="2"/>
        <v>0</v>
      </c>
      <c r="F51" s="763">
        <f t="shared" si="2"/>
        <v>77000</v>
      </c>
      <c r="G51" s="763">
        <f t="shared" si="2"/>
        <v>77000</v>
      </c>
      <c r="H51" s="763">
        <f t="shared" si="2"/>
        <v>0</v>
      </c>
    </row>
    <row r="52" spans="1:8" s="764" customFormat="1" ht="15" hidden="1" customHeight="1">
      <c r="A52" s="765"/>
      <c r="B52" s="773"/>
      <c r="C52" s="1245">
        <v>80116</v>
      </c>
      <c r="D52" s="768" t="s">
        <v>0</v>
      </c>
      <c r="E52" s="769">
        <v>0</v>
      </c>
      <c r="F52" s="769">
        <v>7000</v>
      </c>
      <c r="G52" s="769">
        <v>7000</v>
      </c>
      <c r="H52" s="769">
        <v>0</v>
      </c>
    </row>
    <row r="53" spans="1:8" s="764" customFormat="1" ht="15" hidden="1" customHeight="1">
      <c r="A53" s="765"/>
      <c r="B53" s="774"/>
      <c r="C53" s="1246"/>
      <c r="D53" s="768" t="s">
        <v>1</v>
      </c>
      <c r="E53" s="769">
        <v>0</v>
      </c>
      <c r="F53" s="769"/>
      <c r="G53" s="769"/>
      <c r="H53" s="769">
        <v>0</v>
      </c>
    </row>
    <row r="54" spans="1:8" s="764" customFormat="1" ht="15" hidden="1" customHeight="1">
      <c r="A54" s="765"/>
      <c r="B54" s="774"/>
      <c r="C54" s="1247"/>
      <c r="D54" s="768" t="s">
        <v>2</v>
      </c>
      <c r="E54" s="769">
        <f>E52+E53</f>
        <v>0</v>
      </c>
      <c r="F54" s="769">
        <f>F52+F53</f>
        <v>7000</v>
      </c>
      <c r="G54" s="769">
        <f>G52+G53</f>
        <v>7000</v>
      </c>
      <c r="H54" s="769">
        <f>H52+H53</f>
        <v>0</v>
      </c>
    </row>
    <row r="55" spans="1:8" s="764" customFormat="1" ht="15" hidden="1" customHeight="1">
      <c r="A55" s="765"/>
      <c r="B55" s="766"/>
      <c r="C55" s="1245">
        <v>80140</v>
      </c>
      <c r="D55" s="775" t="s">
        <v>0</v>
      </c>
      <c r="E55" s="769"/>
      <c r="F55" s="769">
        <v>70000</v>
      </c>
      <c r="G55" s="769">
        <v>70000</v>
      </c>
      <c r="H55" s="769">
        <v>0</v>
      </c>
    </row>
    <row r="56" spans="1:8" s="764" customFormat="1" ht="15" hidden="1" customHeight="1">
      <c r="A56" s="765"/>
      <c r="B56" s="766"/>
      <c r="C56" s="1246"/>
      <c r="D56" s="775" t="s">
        <v>1</v>
      </c>
      <c r="E56" s="769">
        <v>0</v>
      </c>
      <c r="F56" s="769"/>
      <c r="G56" s="769"/>
      <c r="H56" s="769">
        <v>0</v>
      </c>
    </row>
    <row r="57" spans="1:8" s="764" customFormat="1" ht="15" hidden="1" customHeight="1">
      <c r="A57" s="767"/>
      <c r="B57" s="766"/>
      <c r="C57" s="1247"/>
      <c r="D57" s="775" t="s">
        <v>2</v>
      </c>
      <c r="E57" s="769">
        <f>E55+E56</f>
        <v>0</v>
      </c>
      <c r="F57" s="769">
        <f>F55+F56</f>
        <v>70000</v>
      </c>
      <c r="G57" s="769">
        <f>G55+G56</f>
        <v>70000</v>
      </c>
      <c r="H57" s="769">
        <f>H55+H56</f>
        <v>0</v>
      </c>
    </row>
    <row r="58" spans="1:8" s="764" customFormat="1" ht="15" hidden="1" customHeight="1">
      <c r="A58" s="1248" t="s">
        <v>1364</v>
      </c>
      <c r="B58" s="1251" t="s">
        <v>1365</v>
      </c>
      <c r="C58" s="1254">
        <v>80147</v>
      </c>
      <c r="D58" s="762" t="s">
        <v>0</v>
      </c>
      <c r="E58" s="763">
        <v>0</v>
      </c>
      <c r="F58" s="763">
        <v>17000</v>
      </c>
      <c r="G58" s="763">
        <v>17000</v>
      </c>
      <c r="H58" s="763">
        <v>0</v>
      </c>
    </row>
    <row r="59" spans="1:8" s="764" customFormat="1" ht="15" hidden="1" customHeight="1">
      <c r="A59" s="1249"/>
      <c r="B59" s="1252"/>
      <c r="C59" s="1255"/>
      <c r="D59" s="762" t="s">
        <v>1</v>
      </c>
      <c r="E59" s="763">
        <v>0</v>
      </c>
      <c r="F59" s="763">
        <v>0</v>
      </c>
      <c r="G59" s="763">
        <v>0</v>
      </c>
      <c r="H59" s="763">
        <v>0</v>
      </c>
    </row>
    <row r="60" spans="1:8" s="764" customFormat="1" ht="15" hidden="1" customHeight="1">
      <c r="A60" s="1250"/>
      <c r="B60" s="1253"/>
      <c r="C60" s="1256"/>
      <c r="D60" s="762" t="s">
        <v>2</v>
      </c>
      <c r="E60" s="763">
        <f>E58+E59</f>
        <v>0</v>
      </c>
      <c r="F60" s="763">
        <f>F58+F59</f>
        <v>17000</v>
      </c>
      <c r="G60" s="763">
        <f>G58+G59</f>
        <v>17000</v>
      </c>
      <c r="H60" s="763">
        <f>H58+H59</f>
        <v>0</v>
      </c>
    </row>
    <row r="61" spans="1:8" s="771" customFormat="1" ht="15" hidden="1" customHeight="1">
      <c r="A61" s="1248" t="s">
        <v>1366</v>
      </c>
      <c r="B61" s="1251" t="s">
        <v>1367</v>
      </c>
      <c r="C61" s="1254">
        <v>80102</v>
      </c>
      <c r="D61" s="762" t="s">
        <v>0</v>
      </c>
      <c r="E61" s="763">
        <v>0</v>
      </c>
      <c r="F61" s="763">
        <v>6100</v>
      </c>
      <c r="G61" s="763">
        <v>6100</v>
      </c>
      <c r="H61" s="763">
        <v>0</v>
      </c>
    </row>
    <row r="62" spans="1:8" s="771" customFormat="1" ht="15" hidden="1" customHeight="1">
      <c r="A62" s="1249"/>
      <c r="B62" s="1252"/>
      <c r="C62" s="1255"/>
      <c r="D62" s="762" t="s">
        <v>1</v>
      </c>
      <c r="E62" s="763">
        <v>0</v>
      </c>
      <c r="F62" s="763"/>
      <c r="G62" s="763"/>
      <c r="H62" s="763">
        <v>0</v>
      </c>
    </row>
    <row r="63" spans="1:8" s="771" customFormat="1" ht="15" hidden="1" customHeight="1">
      <c r="A63" s="1250"/>
      <c r="B63" s="1253"/>
      <c r="C63" s="1256"/>
      <c r="D63" s="762" t="s">
        <v>2</v>
      </c>
      <c r="E63" s="763">
        <f>E61+E62</f>
        <v>0</v>
      </c>
      <c r="F63" s="763">
        <f>F61+F62</f>
        <v>6100</v>
      </c>
      <c r="G63" s="763">
        <f>G61+G62</f>
        <v>6100</v>
      </c>
      <c r="H63" s="763">
        <f>H61+H62</f>
        <v>0</v>
      </c>
    </row>
    <row r="64" spans="1:8" s="778" customFormat="1" ht="17.25" customHeight="1">
      <c r="A64" s="1242"/>
      <c r="B64" s="1243" t="s">
        <v>535</v>
      </c>
      <c r="C64" s="1244"/>
      <c r="D64" s="776" t="s">
        <v>0</v>
      </c>
      <c r="E64" s="777">
        <f t="shared" ref="E64:H66" si="3">E10+E13+E16+E19+E28+E58+E31+E34+E37+E61+E40+E49</f>
        <v>0</v>
      </c>
      <c r="F64" s="777">
        <f t="shared" si="3"/>
        <v>2790373</v>
      </c>
      <c r="G64" s="777">
        <f t="shared" si="3"/>
        <v>2790373</v>
      </c>
      <c r="H64" s="777">
        <f t="shared" si="3"/>
        <v>0</v>
      </c>
    </row>
    <row r="65" spans="1:8" s="752" customFormat="1" ht="17.25" customHeight="1">
      <c r="A65" s="1242"/>
      <c r="B65" s="1243"/>
      <c r="C65" s="1244"/>
      <c r="D65" s="776" t="s">
        <v>1</v>
      </c>
      <c r="E65" s="777">
        <f t="shared" si="3"/>
        <v>0</v>
      </c>
      <c r="F65" s="777">
        <f t="shared" si="3"/>
        <v>35444</v>
      </c>
      <c r="G65" s="777">
        <f t="shared" si="3"/>
        <v>35444</v>
      </c>
      <c r="H65" s="777">
        <f t="shared" si="3"/>
        <v>0</v>
      </c>
    </row>
    <row r="66" spans="1:8" s="752" customFormat="1" ht="17.25" customHeight="1">
      <c r="A66" s="1242"/>
      <c r="B66" s="1243"/>
      <c r="C66" s="1244"/>
      <c r="D66" s="776" t="s">
        <v>2</v>
      </c>
      <c r="E66" s="777">
        <f t="shared" si="3"/>
        <v>0</v>
      </c>
      <c r="F66" s="777">
        <f t="shared" si="3"/>
        <v>2825817</v>
      </c>
      <c r="G66" s="777">
        <f t="shared" si="3"/>
        <v>2825817</v>
      </c>
      <c r="H66" s="777">
        <f t="shared" si="3"/>
        <v>0</v>
      </c>
    </row>
    <row r="67" spans="1:8" s="752" customFormat="1" ht="12.75" customHeight="1">
      <c r="A67" s="748"/>
      <c r="B67" s="749"/>
      <c r="C67" s="750"/>
      <c r="D67" s="750"/>
      <c r="E67" s="751"/>
      <c r="F67" s="751"/>
      <c r="G67" s="751"/>
      <c r="H67" s="751"/>
    </row>
    <row r="68" spans="1:8" s="752" customFormat="1" ht="6.75" customHeight="1">
      <c r="A68" s="748"/>
      <c r="B68" s="749"/>
      <c r="C68" s="750"/>
      <c r="D68" s="750"/>
      <c r="E68" s="751"/>
      <c r="F68" s="751"/>
      <c r="G68" s="751"/>
      <c r="H68" s="751"/>
    </row>
    <row r="69" spans="1:8" s="751" customFormat="1" ht="15" customHeight="1">
      <c r="A69" s="779" t="s">
        <v>99</v>
      </c>
      <c r="B69" s="780" t="s">
        <v>1368</v>
      </c>
      <c r="C69" s="781"/>
      <c r="D69" s="782"/>
      <c r="E69" s="782"/>
      <c r="F69" s="782"/>
      <c r="G69" s="782"/>
      <c r="H69" s="782"/>
    </row>
    <row r="70" spans="1:8" s="751" customFormat="1" ht="15" customHeight="1">
      <c r="A70" s="779"/>
      <c r="B70" s="780" t="s">
        <v>1369</v>
      </c>
      <c r="C70" s="781"/>
      <c r="D70" s="782"/>
      <c r="E70" s="782"/>
      <c r="F70" s="782"/>
      <c r="G70" s="782"/>
      <c r="H70" s="782"/>
    </row>
    <row r="71" spans="1:8" s="752" customFormat="1" ht="15" customHeight="1">
      <c r="A71" s="779"/>
      <c r="B71" s="780" t="s">
        <v>331</v>
      </c>
      <c r="C71" s="781"/>
      <c r="D71" s="750"/>
      <c r="E71" s="751"/>
      <c r="F71" s="751"/>
      <c r="G71" s="751"/>
      <c r="H71" s="751"/>
    </row>
  </sheetData>
  <sheetProtection algorithmName="SHA-512" hashValue="ZMr/ZTojZbutFG7J4ZIeoLlr3UgXv4LjXt4wheSnXzlN80Fj1fhtEDvQItS1GYptPdncCJuUDUprEUYNyoxT/g==" saltValue="MqPpHmEnWjxBzv4SHFWMJQ==" spinCount="100000" sheet="1" objects="1" scenarios="1"/>
  <mergeCells count="50">
    <mergeCell ref="A5:H5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49:A51"/>
    <mergeCell ref="B49:B51"/>
    <mergeCell ref="C49:C51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C43:C45"/>
    <mergeCell ref="C46:C48"/>
    <mergeCell ref="A64:A66"/>
    <mergeCell ref="B64:B66"/>
    <mergeCell ref="C64:C66"/>
    <mergeCell ref="C52:C54"/>
    <mergeCell ref="C55:C57"/>
    <mergeCell ref="A58:A60"/>
    <mergeCell ref="B58:B60"/>
    <mergeCell ref="C58:C60"/>
    <mergeCell ref="A61:A63"/>
    <mergeCell ref="B61:B63"/>
    <mergeCell ref="C61:C63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view="pageBreakPreview" topLeftCell="A61" zoomScaleNormal="100" zoomScaleSheetLayoutView="100" workbookViewId="0">
      <selection activeCell="C70" sqref="C70"/>
    </sheetView>
  </sheetViews>
  <sheetFormatPr defaultRowHeight="12.75"/>
  <cols>
    <col min="1" max="1" width="7.625" style="52" customWidth="1"/>
    <col min="2" max="2" width="7.125" style="40" customWidth="1"/>
    <col min="3" max="3" width="36.625" style="41" customWidth="1"/>
    <col min="4" max="4" width="13.25" style="41" customWidth="1"/>
    <col min="5" max="5" width="10.875" style="41" customWidth="1"/>
    <col min="6" max="6" width="10.5" style="41" customWidth="1"/>
    <col min="7" max="7" width="13.25" style="41" customWidth="1"/>
    <col min="8" max="8" width="13.5" style="103" bestFit="1" customWidth="1"/>
    <col min="9" max="10" width="10.75" style="103" bestFit="1" customWidth="1"/>
    <col min="11" max="11" width="13.125" style="103" bestFit="1" customWidth="1"/>
    <col min="12" max="12" width="9" style="103"/>
    <col min="13" max="16384" width="9" style="41"/>
  </cols>
  <sheetData>
    <row r="1" spans="1:12">
      <c r="A1" s="39"/>
      <c r="D1" s="42"/>
      <c r="E1" s="43" t="s">
        <v>158</v>
      </c>
      <c r="F1" s="42"/>
      <c r="G1" s="42"/>
    </row>
    <row r="2" spans="1:12">
      <c r="A2" s="39"/>
      <c r="D2" s="42"/>
      <c r="E2" s="43" t="s">
        <v>152</v>
      </c>
      <c r="F2" s="42"/>
      <c r="G2" s="42"/>
    </row>
    <row r="3" spans="1:12">
      <c r="A3" s="39"/>
      <c r="D3" s="42"/>
      <c r="E3" s="43" t="s">
        <v>159</v>
      </c>
      <c r="F3" s="42"/>
      <c r="G3" s="42"/>
    </row>
    <row r="4" spans="1:12" ht="7.5" customHeight="1">
      <c r="A4" s="39"/>
      <c r="D4" s="42"/>
      <c r="E4" s="42"/>
      <c r="F4" s="42"/>
      <c r="G4" s="42"/>
    </row>
    <row r="5" spans="1:12" ht="48.75" customHeight="1">
      <c r="A5" s="834" t="s">
        <v>105</v>
      </c>
      <c r="B5" s="834"/>
      <c r="C5" s="834"/>
      <c r="D5" s="834"/>
      <c r="E5" s="834"/>
      <c r="F5" s="834"/>
      <c r="G5" s="834"/>
    </row>
    <row r="6" spans="1:12" ht="9.75" customHeight="1">
      <c r="A6" s="39"/>
      <c r="D6" s="42"/>
      <c r="E6" s="42"/>
      <c r="F6" s="42"/>
      <c r="G6" s="137" t="s">
        <v>35</v>
      </c>
    </row>
    <row r="7" spans="1:12" ht="34.5" customHeight="1">
      <c r="A7" s="44" t="s">
        <v>75</v>
      </c>
      <c r="B7" s="44" t="s">
        <v>76</v>
      </c>
      <c r="C7" s="45" t="s">
        <v>37</v>
      </c>
      <c r="D7" s="46" t="s">
        <v>100</v>
      </c>
      <c r="E7" s="46" t="s">
        <v>77</v>
      </c>
      <c r="F7" s="46" t="s">
        <v>78</v>
      </c>
      <c r="G7" s="46" t="s">
        <v>79</v>
      </c>
      <c r="H7" s="104"/>
      <c r="I7" s="104"/>
      <c r="J7" s="104"/>
      <c r="K7" s="104"/>
    </row>
    <row r="8" spans="1:12">
      <c r="A8" s="47" t="s">
        <v>72</v>
      </c>
      <c r="B8" s="48" t="s">
        <v>73</v>
      </c>
      <c r="C8" s="49" t="s">
        <v>74</v>
      </c>
      <c r="D8" s="50" t="s">
        <v>80</v>
      </c>
      <c r="E8" s="50" t="s">
        <v>81</v>
      </c>
      <c r="F8" s="50" t="s">
        <v>82</v>
      </c>
      <c r="G8" s="50" t="s">
        <v>83</v>
      </c>
      <c r="H8" s="105"/>
      <c r="I8" s="105"/>
      <c r="J8" s="105"/>
      <c r="K8" s="105"/>
    </row>
    <row r="9" spans="1:12" s="53" customFormat="1" ht="15.75" customHeight="1">
      <c r="A9" s="51"/>
      <c r="B9" s="51"/>
      <c r="C9" s="108" t="s">
        <v>84</v>
      </c>
      <c r="D9" s="109">
        <v>1925208551.1099999</v>
      </c>
      <c r="E9" s="110">
        <f>E10+E26+E32+E35+E61+E65+E68+E71</f>
        <v>32187158</v>
      </c>
      <c r="F9" s="110">
        <f>F10+F26+F32+F35+F61+F65+F68+F71</f>
        <v>22625982.600000001</v>
      </c>
      <c r="G9" s="110">
        <f>D9+E9-F9</f>
        <v>1934769726.51</v>
      </c>
      <c r="H9" s="106"/>
      <c r="I9" s="106"/>
      <c r="J9" s="106"/>
      <c r="K9" s="106"/>
      <c r="L9" s="102"/>
    </row>
    <row r="10" spans="1:12" s="107" customFormat="1" ht="15.75" customHeight="1">
      <c r="A10" s="124">
        <v>600</v>
      </c>
      <c r="B10" s="125" t="s">
        <v>107</v>
      </c>
      <c r="C10" s="111" t="s">
        <v>46</v>
      </c>
      <c r="D10" s="126">
        <v>118415747</v>
      </c>
      <c r="E10" s="126">
        <f>E11+E15</f>
        <v>12744486</v>
      </c>
      <c r="F10" s="126">
        <f>F11+F15</f>
        <v>5254971.5999999996</v>
      </c>
      <c r="G10" s="126">
        <f>D10+E10-F10</f>
        <v>125905261.40000001</v>
      </c>
      <c r="H10" s="106"/>
      <c r="I10" s="106"/>
      <c r="J10" s="106"/>
      <c r="K10" s="106"/>
      <c r="L10" s="106"/>
    </row>
    <row r="11" spans="1:12" s="107" customFormat="1" ht="15.75" customHeight="1">
      <c r="A11" s="121">
        <v>60003</v>
      </c>
      <c r="B11" s="122" t="s">
        <v>107</v>
      </c>
      <c r="C11" s="127" t="s">
        <v>120</v>
      </c>
      <c r="D11" s="123">
        <v>43411038</v>
      </c>
      <c r="E11" s="123">
        <f>SUM(E12:E14)</f>
        <v>206456</v>
      </c>
      <c r="F11" s="123">
        <f>SUM(F12:F14)</f>
        <v>0</v>
      </c>
      <c r="G11" s="123">
        <f t="shared" ref="G11:G71" si="0">D11+E11-F11</f>
        <v>43617494</v>
      </c>
      <c r="H11" s="106"/>
      <c r="I11" s="106"/>
      <c r="J11" s="106"/>
      <c r="K11" s="106"/>
      <c r="L11" s="106"/>
    </row>
    <row r="12" spans="1:12" s="53" customFormat="1" ht="32.25" customHeight="1">
      <c r="A12" s="115" t="s">
        <v>107</v>
      </c>
      <c r="B12" s="116" t="s">
        <v>121</v>
      </c>
      <c r="C12" s="128" t="s">
        <v>122</v>
      </c>
      <c r="D12" s="117">
        <v>0</v>
      </c>
      <c r="E12" s="117">
        <v>16</v>
      </c>
      <c r="F12" s="117">
        <v>0</v>
      </c>
      <c r="G12" s="117">
        <f t="shared" si="0"/>
        <v>16</v>
      </c>
      <c r="H12" s="102"/>
      <c r="I12" s="102"/>
      <c r="J12" s="102"/>
      <c r="K12" s="102"/>
      <c r="L12" s="102"/>
    </row>
    <row r="13" spans="1:12" s="53" customFormat="1" ht="69" customHeight="1">
      <c r="A13" s="115" t="s">
        <v>107</v>
      </c>
      <c r="B13" s="116" t="s">
        <v>123</v>
      </c>
      <c r="C13" s="128" t="s">
        <v>124</v>
      </c>
      <c r="D13" s="117">
        <v>75</v>
      </c>
      <c r="E13" s="117">
        <v>57453</v>
      </c>
      <c r="F13" s="117">
        <v>0</v>
      </c>
      <c r="G13" s="117">
        <f t="shared" si="0"/>
        <v>57528</v>
      </c>
      <c r="H13" s="102"/>
      <c r="I13" s="102"/>
      <c r="J13" s="102"/>
      <c r="K13" s="102"/>
      <c r="L13" s="102"/>
    </row>
    <row r="14" spans="1:12" s="53" customFormat="1" ht="69" customHeight="1">
      <c r="A14" s="115" t="s">
        <v>107</v>
      </c>
      <c r="B14" s="116">
        <v>2910</v>
      </c>
      <c r="C14" s="128" t="s">
        <v>114</v>
      </c>
      <c r="D14" s="117">
        <v>168000</v>
      </c>
      <c r="E14" s="117">
        <v>148987</v>
      </c>
      <c r="F14" s="117">
        <v>0</v>
      </c>
      <c r="G14" s="117">
        <f t="shared" si="0"/>
        <v>316987</v>
      </c>
      <c r="H14" s="102"/>
      <c r="I14" s="102"/>
      <c r="J14" s="102"/>
      <c r="K14" s="102"/>
      <c r="L14" s="102"/>
    </row>
    <row r="15" spans="1:12" s="107" customFormat="1">
      <c r="A15" s="121">
        <v>60013</v>
      </c>
      <c r="B15" s="122" t="s">
        <v>107</v>
      </c>
      <c r="C15" s="127" t="s">
        <v>117</v>
      </c>
      <c r="D15" s="123">
        <v>43516119</v>
      </c>
      <c r="E15" s="123">
        <f>SUM(E16:E25)</f>
        <v>12538030</v>
      </c>
      <c r="F15" s="123">
        <f>SUM(F16:F25)</f>
        <v>5254971.5999999996</v>
      </c>
      <c r="G15" s="123">
        <f t="shared" si="0"/>
        <v>50799177.399999999</v>
      </c>
      <c r="H15" s="106"/>
      <c r="I15" s="106"/>
      <c r="J15" s="106"/>
      <c r="K15" s="106"/>
      <c r="L15" s="106"/>
    </row>
    <row r="16" spans="1:12" s="53" customFormat="1" ht="30.75" customHeight="1">
      <c r="A16" s="115" t="s">
        <v>107</v>
      </c>
      <c r="B16" s="116" t="s">
        <v>125</v>
      </c>
      <c r="C16" s="128" t="s">
        <v>126</v>
      </c>
      <c r="D16" s="117">
        <v>0</v>
      </c>
      <c r="E16" s="117">
        <v>130000</v>
      </c>
      <c r="F16" s="117">
        <v>0</v>
      </c>
      <c r="G16" s="117">
        <f t="shared" si="0"/>
        <v>130000</v>
      </c>
      <c r="H16" s="102"/>
      <c r="I16" s="102"/>
      <c r="J16" s="102"/>
      <c r="K16" s="102"/>
      <c r="L16" s="102"/>
    </row>
    <row r="17" spans="1:12" s="53" customFormat="1" ht="38.25" customHeight="1">
      <c r="A17" s="115" t="s">
        <v>107</v>
      </c>
      <c r="B17" s="116" t="s">
        <v>127</v>
      </c>
      <c r="C17" s="128" t="s">
        <v>128</v>
      </c>
      <c r="D17" s="117">
        <v>0</v>
      </c>
      <c r="E17" s="117">
        <v>5000</v>
      </c>
      <c r="F17" s="117">
        <v>0</v>
      </c>
      <c r="G17" s="117">
        <f t="shared" si="0"/>
        <v>5000</v>
      </c>
      <c r="H17" s="102"/>
      <c r="I17" s="102"/>
      <c r="J17" s="102"/>
      <c r="K17" s="102"/>
      <c r="L17" s="102"/>
    </row>
    <row r="18" spans="1:12" s="53" customFormat="1" ht="28.5" customHeight="1">
      <c r="A18" s="115" t="s">
        <v>107</v>
      </c>
      <c r="B18" s="116" t="s">
        <v>129</v>
      </c>
      <c r="C18" s="128" t="s">
        <v>130</v>
      </c>
      <c r="D18" s="117">
        <v>0</v>
      </c>
      <c r="E18" s="117">
        <v>4965000</v>
      </c>
      <c r="F18" s="117">
        <v>0</v>
      </c>
      <c r="G18" s="117">
        <f t="shared" si="0"/>
        <v>4965000</v>
      </c>
      <c r="H18" s="102"/>
      <c r="I18" s="102"/>
      <c r="J18" s="102"/>
      <c r="K18" s="102"/>
      <c r="L18" s="102"/>
    </row>
    <row r="19" spans="1:12" s="53" customFormat="1" ht="15.75" customHeight="1">
      <c r="A19" s="115" t="s">
        <v>107</v>
      </c>
      <c r="B19" s="116" t="s">
        <v>131</v>
      </c>
      <c r="C19" s="128" t="s">
        <v>132</v>
      </c>
      <c r="D19" s="117">
        <v>5100000</v>
      </c>
      <c r="E19" s="117">
        <v>0</v>
      </c>
      <c r="F19" s="117">
        <v>5100000</v>
      </c>
      <c r="G19" s="117">
        <f t="shared" si="0"/>
        <v>0</v>
      </c>
      <c r="H19" s="102"/>
      <c r="I19" s="102"/>
      <c r="J19" s="102"/>
      <c r="K19" s="102"/>
      <c r="L19" s="102"/>
    </row>
    <row r="20" spans="1:12" s="53" customFormat="1" ht="15.75" customHeight="1">
      <c r="A20" s="115" t="s">
        <v>107</v>
      </c>
      <c r="B20" s="116" t="s">
        <v>133</v>
      </c>
      <c r="C20" s="128" t="s">
        <v>134</v>
      </c>
      <c r="D20" s="117">
        <v>134000</v>
      </c>
      <c r="E20" s="117">
        <v>0</v>
      </c>
      <c r="F20" s="117">
        <v>96030</v>
      </c>
      <c r="G20" s="117">
        <f t="shared" si="0"/>
        <v>37970</v>
      </c>
      <c r="H20" s="102"/>
      <c r="I20" s="102"/>
      <c r="J20" s="102"/>
      <c r="K20" s="102"/>
      <c r="L20" s="102"/>
    </row>
    <row r="21" spans="1:12" s="53" customFormat="1" ht="25.5">
      <c r="A21" s="115" t="s">
        <v>107</v>
      </c>
      <c r="B21" s="116" t="s">
        <v>135</v>
      </c>
      <c r="C21" s="128" t="s">
        <v>136</v>
      </c>
      <c r="D21" s="117">
        <v>0</v>
      </c>
      <c r="E21" s="117">
        <v>50000</v>
      </c>
      <c r="F21" s="117">
        <v>0</v>
      </c>
      <c r="G21" s="117">
        <f t="shared" si="0"/>
        <v>50000</v>
      </c>
      <c r="H21" s="102"/>
      <c r="I21" s="102"/>
      <c r="J21" s="102"/>
      <c r="K21" s="102"/>
      <c r="L21" s="102"/>
    </row>
    <row r="22" spans="1:12" s="53" customFormat="1" ht="56.25" customHeight="1">
      <c r="A22" s="115" t="s">
        <v>107</v>
      </c>
      <c r="B22" s="116" t="s">
        <v>137</v>
      </c>
      <c r="C22" s="128" t="s">
        <v>153</v>
      </c>
      <c r="D22" s="117">
        <v>15327788</v>
      </c>
      <c r="E22" s="117">
        <v>0</v>
      </c>
      <c r="F22" s="117">
        <v>58941.599999999999</v>
      </c>
      <c r="G22" s="117">
        <f t="shared" si="0"/>
        <v>15268846.4</v>
      </c>
      <c r="H22" s="102"/>
      <c r="I22" s="102"/>
      <c r="J22" s="102"/>
      <c r="K22" s="102"/>
      <c r="L22" s="102"/>
    </row>
    <row r="23" spans="1:12" s="53" customFormat="1" ht="66" customHeight="1">
      <c r="A23" s="115" t="s">
        <v>107</v>
      </c>
      <c r="B23" s="116">
        <v>6300</v>
      </c>
      <c r="C23" s="128" t="s">
        <v>118</v>
      </c>
      <c r="D23" s="117">
        <v>9167911</v>
      </c>
      <c r="E23" s="117">
        <v>2561301</v>
      </c>
      <c r="F23" s="117">
        <v>0</v>
      </c>
      <c r="G23" s="117">
        <f t="shared" si="0"/>
        <v>11729212</v>
      </c>
      <c r="H23" s="102"/>
      <c r="I23" s="102"/>
      <c r="J23" s="102"/>
      <c r="K23" s="102"/>
      <c r="L23" s="102"/>
    </row>
    <row r="24" spans="1:12" s="53" customFormat="1" ht="58.5" customHeight="1">
      <c r="A24" s="115" t="s">
        <v>107</v>
      </c>
      <c r="B24" s="116">
        <v>6309</v>
      </c>
      <c r="C24" s="128" t="s">
        <v>118</v>
      </c>
      <c r="D24" s="117">
        <v>822930</v>
      </c>
      <c r="E24" s="117">
        <v>76729</v>
      </c>
      <c r="F24" s="117">
        <v>0</v>
      </c>
      <c r="G24" s="117">
        <f t="shared" si="0"/>
        <v>899659</v>
      </c>
      <c r="H24" s="102"/>
      <c r="I24" s="102"/>
      <c r="J24" s="102"/>
      <c r="K24" s="102"/>
      <c r="L24" s="102"/>
    </row>
    <row r="25" spans="1:12" s="53" customFormat="1" ht="43.5" customHeight="1">
      <c r="A25" s="115" t="s">
        <v>107</v>
      </c>
      <c r="B25" s="116">
        <v>6370</v>
      </c>
      <c r="C25" s="128" t="s">
        <v>138</v>
      </c>
      <c r="D25" s="117">
        <v>12825000</v>
      </c>
      <c r="E25" s="117">
        <v>4750000</v>
      </c>
      <c r="F25" s="117">
        <v>0</v>
      </c>
      <c r="G25" s="117">
        <f t="shared" si="0"/>
        <v>17575000</v>
      </c>
      <c r="H25" s="102"/>
      <c r="I25" s="102"/>
      <c r="J25" s="102"/>
      <c r="K25" s="102"/>
      <c r="L25" s="102"/>
    </row>
    <row r="26" spans="1:12" s="107" customFormat="1" ht="18" customHeight="1">
      <c r="A26" s="124">
        <v>750</v>
      </c>
      <c r="B26" s="125" t="s">
        <v>107</v>
      </c>
      <c r="C26" s="129" t="s">
        <v>54</v>
      </c>
      <c r="D26" s="126">
        <v>2051670</v>
      </c>
      <c r="E26" s="126">
        <f>E27</f>
        <v>409895</v>
      </c>
      <c r="F26" s="126">
        <f>F27</f>
        <v>0</v>
      </c>
      <c r="G26" s="126">
        <f t="shared" si="0"/>
        <v>2461565</v>
      </c>
      <c r="H26" s="106"/>
      <c r="I26" s="106"/>
      <c r="J26" s="106"/>
      <c r="K26" s="106"/>
      <c r="L26" s="106"/>
    </row>
    <row r="27" spans="1:12" s="107" customFormat="1" ht="18" customHeight="1">
      <c r="A27" s="121">
        <v>75095</v>
      </c>
      <c r="B27" s="122" t="s">
        <v>107</v>
      </c>
      <c r="C27" s="127" t="s">
        <v>108</v>
      </c>
      <c r="D27" s="123">
        <v>1560000</v>
      </c>
      <c r="E27" s="123">
        <f>SUM(E28:E31)</f>
        <v>409895</v>
      </c>
      <c r="F27" s="123">
        <f>SUM(F28:F31)</f>
        <v>0</v>
      </c>
      <c r="G27" s="123">
        <f t="shared" si="0"/>
        <v>1969895</v>
      </c>
      <c r="H27" s="106"/>
      <c r="I27" s="106"/>
      <c r="J27" s="106"/>
      <c r="K27" s="106"/>
      <c r="L27" s="106"/>
    </row>
    <row r="28" spans="1:12" s="53" customFormat="1" ht="84" customHeight="1">
      <c r="A28" s="118" t="s">
        <v>107</v>
      </c>
      <c r="B28" s="119">
        <v>2008</v>
      </c>
      <c r="C28" s="130" t="s">
        <v>113</v>
      </c>
      <c r="D28" s="120">
        <v>0</v>
      </c>
      <c r="E28" s="120">
        <v>278985</v>
      </c>
      <c r="F28" s="120">
        <v>0</v>
      </c>
      <c r="G28" s="120">
        <f t="shared" si="0"/>
        <v>278985</v>
      </c>
      <c r="H28" s="102"/>
      <c r="I28" s="102"/>
      <c r="J28" s="102"/>
      <c r="K28" s="102"/>
      <c r="L28" s="102"/>
    </row>
    <row r="29" spans="1:12" s="53" customFormat="1" ht="84.75" customHeight="1">
      <c r="A29" s="112" t="s">
        <v>107</v>
      </c>
      <c r="B29" s="113">
        <v>2009</v>
      </c>
      <c r="C29" s="131" t="s">
        <v>113</v>
      </c>
      <c r="D29" s="114">
        <v>0</v>
      </c>
      <c r="E29" s="114">
        <v>71015</v>
      </c>
      <c r="F29" s="114">
        <v>0</v>
      </c>
      <c r="G29" s="114">
        <f t="shared" si="0"/>
        <v>71015</v>
      </c>
      <c r="H29" s="102"/>
      <c r="I29" s="102"/>
      <c r="J29" s="102"/>
      <c r="K29" s="102"/>
      <c r="L29" s="102"/>
    </row>
    <row r="30" spans="1:12" s="53" customFormat="1" ht="82.5" customHeight="1">
      <c r="A30" s="115" t="s">
        <v>107</v>
      </c>
      <c r="B30" s="116">
        <v>2058</v>
      </c>
      <c r="C30" s="128" t="s">
        <v>112</v>
      </c>
      <c r="D30" s="117">
        <v>1243476</v>
      </c>
      <c r="E30" s="117">
        <v>47742</v>
      </c>
      <c r="F30" s="117">
        <v>0</v>
      </c>
      <c r="G30" s="117">
        <f t="shared" si="0"/>
        <v>1291218</v>
      </c>
      <c r="H30" s="102"/>
      <c r="I30" s="102"/>
      <c r="J30" s="102"/>
      <c r="K30" s="102"/>
      <c r="L30" s="102"/>
    </row>
    <row r="31" spans="1:12" s="53" customFormat="1" ht="82.5" customHeight="1">
      <c r="A31" s="115" t="s">
        <v>107</v>
      </c>
      <c r="B31" s="116">
        <v>2059</v>
      </c>
      <c r="C31" s="128" t="s">
        <v>112</v>
      </c>
      <c r="D31" s="117">
        <v>316524</v>
      </c>
      <c r="E31" s="117">
        <v>12153</v>
      </c>
      <c r="F31" s="117">
        <v>0</v>
      </c>
      <c r="G31" s="117">
        <f t="shared" si="0"/>
        <v>328677</v>
      </c>
      <c r="H31" s="102"/>
      <c r="I31" s="102"/>
      <c r="J31" s="102"/>
      <c r="K31" s="102"/>
      <c r="L31" s="102"/>
    </row>
    <row r="32" spans="1:12" s="107" customFormat="1" ht="28.5" customHeight="1">
      <c r="A32" s="124">
        <v>754</v>
      </c>
      <c r="B32" s="125" t="s">
        <v>107</v>
      </c>
      <c r="C32" s="111" t="s">
        <v>103</v>
      </c>
      <c r="D32" s="126">
        <v>616700</v>
      </c>
      <c r="E32" s="126">
        <f>E33</f>
        <v>173670</v>
      </c>
      <c r="F32" s="126">
        <v>0</v>
      </c>
      <c r="G32" s="126">
        <f t="shared" si="0"/>
        <v>790370</v>
      </c>
      <c r="H32" s="106"/>
      <c r="I32" s="106"/>
      <c r="J32" s="106"/>
      <c r="K32" s="106"/>
      <c r="L32" s="106"/>
    </row>
    <row r="33" spans="1:12" s="107" customFormat="1" ht="15.75" customHeight="1">
      <c r="A33" s="121">
        <v>75495</v>
      </c>
      <c r="B33" s="122" t="s">
        <v>107</v>
      </c>
      <c r="C33" s="127" t="s">
        <v>108</v>
      </c>
      <c r="D33" s="123">
        <v>616700</v>
      </c>
      <c r="E33" s="123">
        <f>E34</f>
        <v>173670</v>
      </c>
      <c r="F33" s="123">
        <v>0</v>
      </c>
      <c r="G33" s="123">
        <f t="shared" si="0"/>
        <v>790370</v>
      </c>
      <c r="H33" s="106"/>
      <c r="I33" s="106"/>
      <c r="J33" s="106"/>
      <c r="K33" s="106"/>
      <c r="L33" s="106"/>
    </row>
    <row r="34" spans="1:12" s="53" customFormat="1" ht="42" customHeight="1">
      <c r="A34" s="115" t="s">
        <v>107</v>
      </c>
      <c r="B34" s="116">
        <v>2100</v>
      </c>
      <c r="C34" s="128" t="s">
        <v>109</v>
      </c>
      <c r="D34" s="117">
        <v>616700</v>
      </c>
      <c r="E34" s="117">
        <v>173670</v>
      </c>
      <c r="F34" s="117">
        <v>0</v>
      </c>
      <c r="G34" s="117">
        <f t="shared" si="0"/>
        <v>790370</v>
      </c>
      <c r="H34" s="102"/>
      <c r="I34" s="102"/>
      <c r="J34" s="102"/>
      <c r="K34" s="102"/>
      <c r="L34" s="102"/>
    </row>
    <row r="35" spans="1:12" s="107" customFormat="1" ht="16.5" customHeight="1">
      <c r="A35" s="124">
        <v>758</v>
      </c>
      <c r="B35" s="125" t="s">
        <v>107</v>
      </c>
      <c r="C35" s="111" t="s">
        <v>58</v>
      </c>
      <c r="D35" s="126">
        <v>890874293</v>
      </c>
      <c r="E35" s="126">
        <f>E36+E38+E41+E46+E49+E53</f>
        <v>18346633</v>
      </c>
      <c r="F35" s="126">
        <f>F36+F38+F41+F46+F49+F53</f>
        <v>8406157</v>
      </c>
      <c r="G35" s="126">
        <f t="shared" si="0"/>
        <v>900814769</v>
      </c>
      <c r="H35" s="106"/>
      <c r="I35" s="106"/>
      <c r="J35" s="106"/>
      <c r="K35" s="106"/>
      <c r="L35" s="106"/>
    </row>
    <row r="36" spans="1:12" s="107" customFormat="1" ht="30" customHeight="1">
      <c r="A36" s="121">
        <v>75802</v>
      </c>
      <c r="B36" s="122" t="s">
        <v>107</v>
      </c>
      <c r="C36" s="127" t="s">
        <v>139</v>
      </c>
      <c r="D36" s="123">
        <v>0</v>
      </c>
      <c r="E36" s="123">
        <f>E37</f>
        <v>4276888</v>
      </c>
      <c r="F36" s="123">
        <v>0</v>
      </c>
      <c r="G36" s="123">
        <f t="shared" si="0"/>
        <v>4276888</v>
      </c>
      <c r="H36" s="106"/>
      <c r="I36" s="106"/>
      <c r="J36" s="106"/>
      <c r="K36" s="106"/>
      <c r="L36" s="106"/>
    </row>
    <row r="37" spans="1:12" s="53" customFormat="1" ht="54.75" customHeight="1">
      <c r="A37" s="115" t="s">
        <v>107</v>
      </c>
      <c r="B37" s="116">
        <v>6180</v>
      </c>
      <c r="C37" s="128" t="s">
        <v>140</v>
      </c>
      <c r="D37" s="117">
        <v>0</v>
      </c>
      <c r="E37" s="117">
        <v>4276888</v>
      </c>
      <c r="F37" s="117">
        <v>0</v>
      </c>
      <c r="G37" s="117">
        <f t="shared" si="0"/>
        <v>4276888</v>
      </c>
      <c r="H37" s="102"/>
      <c r="I37" s="102"/>
      <c r="J37" s="102"/>
      <c r="K37" s="102"/>
      <c r="L37" s="102"/>
    </row>
    <row r="38" spans="1:12" s="107" customFormat="1" ht="18.75" customHeight="1">
      <c r="A38" s="121">
        <v>75814</v>
      </c>
      <c r="B38" s="122" t="s">
        <v>107</v>
      </c>
      <c r="C38" s="127" t="s">
        <v>110</v>
      </c>
      <c r="D38" s="123">
        <v>540292</v>
      </c>
      <c r="E38" s="123">
        <f>SUM(E39:E40)</f>
        <v>5441582</v>
      </c>
      <c r="F38" s="123">
        <v>0</v>
      </c>
      <c r="G38" s="123">
        <f t="shared" si="0"/>
        <v>5981874</v>
      </c>
      <c r="H38" s="106"/>
      <c r="I38" s="106"/>
      <c r="J38" s="106"/>
      <c r="K38" s="106"/>
      <c r="L38" s="106"/>
    </row>
    <row r="39" spans="1:12" s="53" customFormat="1" ht="40.5" customHeight="1">
      <c r="A39" s="115" t="s">
        <v>107</v>
      </c>
      <c r="B39" s="116">
        <v>2990</v>
      </c>
      <c r="C39" s="128" t="s">
        <v>141</v>
      </c>
      <c r="D39" s="117">
        <v>0</v>
      </c>
      <c r="E39" s="117">
        <v>395</v>
      </c>
      <c r="F39" s="117">
        <v>0</v>
      </c>
      <c r="G39" s="117">
        <f t="shared" si="0"/>
        <v>395</v>
      </c>
      <c r="H39" s="102"/>
      <c r="I39" s="102"/>
      <c r="J39" s="102"/>
      <c r="K39" s="102"/>
      <c r="L39" s="102"/>
    </row>
    <row r="40" spans="1:12" s="53" customFormat="1" ht="40.5" customHeight="1">
      <c r="A40" s="115" t="s">
        <v>107</v>
      </c>
      <c r="B40" s="116">
        <v>6680</v>
      </c>
      <c r="C40" s="128" t="s">
        <v>141</v>
      </c>
      <c r="D40" s="117">
        <v>0</v>
      </c>
      <c r="E40" s="117">
        <v>5441187</v>
      </c>
      <c r="F40" s="117">
        <v>0</v>
      </c>
      <c r="G40" s="117">
        <f t="shared" si="0"/>
        <v>5441187</v>
      </c>
      <c r="H40" s="102"/>
      <c r="I40" s="102"/>
      <c r="J40" s="102"/>
      <c r="K40" s="102"/>
      <c r="L40" s="102"/>
    </row>
    <row r="41" spans="1:12" s="107" customFormat="1" ht="40.5" customHeight="1">
      <c r="A41" s="121">
        <v>75863</v>
      </c>
      <c r="B41" s="122" t="s">
        <v>107</v>
      </c>
      <c r="C41" s="127" t="s">
        <v>111</v>
      </c>
      <c r="D41" s="123">
        <v>61096700</v>
      </c>
      <c r="E41" s="123">
        <f>SUM(E42:E45)</f>
        <v>5748034</v>
      </c>
      <c r="F41" s="123">
        <v>245297</v>
      </c>
      <c r="G41" s="123">
        <f t="shared" si="0"/>
        <v>66599437</v>
      </c>
      <c r="H41" s="106"/>
      <c r="I41" s="106"/>
      <c r="J41" s="106"/>
      <c r="K41" s="106"/>
      <c r="L41" s="106"/>
    </row>
    <row r="42" spans="1:12" s="53" customFormat="1" ht="82.5" customHeight="1">
      <c r="A42" s="115" t="s">
        <v>107</v>
      </c>
      <c r="B42" s="116">
        <v>2009</v>
      </c>
      <c r="C42" s="128" t="s">
        <v>113</v>
      </c>
      <c r="D42" s="117">
        <v>445297</v>
      </c>
      <c r="E42" s="117">
        <v>0</v>
      </c>
      <c r="F42" s="117">
        <v>245297</v>
      </c>
      <c r="G42" s="117">
        <f t="shared" si="0"/>
        <v>200000</v>
      </c>
      <c r="H42" s="102"/>
      <c r="I42" s="102"/>
      <c r="J42" s="102"/>
      <c r="K42" s="102"/>
      <c r="L42" s="102"/>
    </row>
    <row r="43" spans="1:12" s="53" customFormat="1" ht="82.5" customHeight="1">
      <c r="A43" s="115" t="s">
        <v>107</v>
      </c>
      <c r="B43" s="116">
        <v>2059</v>
      </c>
      <c r="C43" s="128" t="s">
        <v>112</v>
      </c>
      <c r="D43" s="117">
        <v>35703</v>
      </c>
      <c r="E43" s="117">
        <v>82297</v>
      </c>
      <c r="F43" s="117">
        <v>0</v>
      </c>
      <c r="G43" s="117">
        <f t="shared" si="0"/>
        <v>118000</v>
      </c>
      <c r="H43" s="102"/>
      <c r="I43" s="102"/>
      <c r="J43" s="102"/>
      <c r="K43" s="102"/>
      <c r="L43" s="102"/>
    </row>
    <row r="44" spans="1:12" s="53" customFormat="1" ht="83.25" customHeight="1">
      <c r="A44" s="115" t="s">
        <v>107</v>
      </c>
      <c r="B44" s="116">
        <v>6209</v>
      </c>
      <c r="C44" s="128" t="s">
        <v>142</v>
      </c>
      <c r="D44" s="117">
        <v>6643988</v>
      </c>
      <c r="E44" s="117">
        <v>5656012</v>
      </c>
      <c r="F44" s="117">
        <v>0</v>
      </c>
      <c r="G44" s="117">
        <f t="shared" si="0"/>
        <v>12300000</v>
      </c>
      <c r="H44" s="102"/>
      <c r="I44" s="102"/>
      <c r="J44" s="102"/>
      <c r="K44" s="102"/>
      <c r="L44" s="102"/>
    </row>
    <row r="45" spans="1:12" s="53" customFormat="1" ht="81" customHeight="1">
      <c r="A45" s="118" t="s">
        <v>107</v>
      </c>
      <c r="B45" s="119">
        <v>6259</v>
      </c>
      <c r="C45" s="130" t="s">
        <v>143</v>
      </c>
      <c r="D45" s="120">
        <v>3638258</v>
      </c>
      <c r="E45" s="120">
        <v>9725</v>
      </c>
      <c r="F45" s="120">
        <v>0</v>
      </c>
      <c r="G45" s="120">
        <f t="shared" si="0"/>
        <v>3647983</v>
      </c>
      <c r="H45" s="102"/>
      <c r="I45" s="102"/>
      <c r="J45" s="102"/>
      <c r="K45" s="102"/>
      <c r="L45" s="102"/>
    </row>
    <row r="46" spans="1:12" s="107" customFormat="1" ht="46.5" customHeight="1">
      <c r="A46" s="138">
        <v>75864</v>
      </c>
      <c r="B46" s="139" t="s">
        <v>107</v>
      </c>
      <c r="C46" s="140" t="s">
        <v>144</v>
      </c>
      <c r="D46" s="141">
        <v>2978525</v>
      </c>
      <c r="E46" s="141">
        <f>E47+E48</f>
        <v>25533</v>
      </c>
      <c r="F46" s="141">
        <v>1928240</v>
      </c>
      <c r="G46" s="141">
        <f t="shared" si="0"/>
        <v>1075818</v>
      </c>
      <c r="H46" s="106"/>
      <c r="I46" s="106"/>
      <c r="J46" s="106"/>
      <c r="K46" s="106"/>
      <c r="L46" s="106"/>
    </row>
    <row r="47" spans="1:12" s="53" customFormat="1" ht="83.25" customHeight="1">
      <c r="A47" s="115" t="s">
        <v>107</v>
      </c>
      <c r="B47" s="116">
        <v>2009</v>
      </c>
      <c r="C47" s="128" t="s">
        <v>113</v>
      </c>
      <c r="D47" s="117">
        <v>2578240</v>
      </c>
      <c r="E47" s="117">
        <v>0</v>
      </c>
      <c r="F47" s="117">
        <v>1928240</v>
      </c>
      <c r="G47" s="117">
        <f t="shared" si="0"/>
        <v>650000</v>
      </c>
      <c r="H47" s="102"/>
      <c r="I47" s="102"/>
      <c r="J47" s="102"/>
      <c r="K47" s="102"/>
      <c r="L47" s="102"/>
    </row>
    <row r="48" spans="1:12" s="53" customFormat="1" ht="81.75" customHeight="1">
      <c r="A48" s="115" t="s">
        <v>107</v>
      </c>
      <c r="B48" s="116">
        <v>2059</v>
      </c>
      <c r="C48" s="128" t="s">
        <v>112</v>
      </c>
      <c r="D48" s="117">
        <v>0</v>
      </c>
      <c r="E48" s="117">
        <v>25533</v>
      </c>
      <c r="F48" s="117">
        <v>0</v>
      </c>
      <c r="G48" s="117">
        <f t="shared" si="0"/>
        <v>25533</v>
      </c>
      <c r="H48" s="102"/>
      <c r="I48" s="102"/>
      <c r="J48" s="102"/>
      <c r="K48" s="102"/>
      <c r="L48" s="102"/>
    </row>
    <row r="49" spans="1:12" s="107" customFormat="1" ht="45" customHeight="1">
      <c r="A49" s="121">
        <v>75865</v>
      </c>
      <c r="B49" s="122" t="s">
        <v>107</v>
      </c>
      <c r="C49" s="127" t="s">
        <v>145</v>
      </c>
      <c r="D49" s="123">
        <v>139731246</v>
      </c>
      <c r="E49" s="123">
        <f>E50+E51+E52</f>
        <v>0</v>
      </c>
      <c r="F49" s="123">
        <v>6232620</v>
      </c>
      <c r="G49" s="123">
        <f t="shared" si="0"/>
        <v>133498626</v>
      </c>
      <c r="H49" s="106"/>
      <c r="I49" s="106"/>
      <c r="J49" s="106"/>
      <c r="K49" s="106"/>
      <c r="L49" s="106"/>
    </row>
    <row r="50" spans="1:12" s="53" customFormat="1" ht="86.25" customHeight="1">
      <c r="A50" s="115" t="s">
        <v>107</v>
      </c>
      <c r="B50" s="116">
        <v>2009</v>
      </c>
      <c r="C50" s="128" t="s">
        <v>113</v>
      </c>
      <c r="D50" s="117">
        <v>108000</v>
      </c>
      <c r="E50" s="117">
        <v>0</v>
      </c>
      <c r="F50" s="117">
        <v>90000</v>
      </c>
      <c r="G50" s="117">
        <f t="shared" si="0"/>
        <v>18000</v>
      </c>
      <c r="H50" s="102"/>
      <c r="I50" s="102"/>
      <c r="J50" s="102"/>
      <c r="K50" s="102"/>
      <c r="L50" s="102"/>
    </row>
    <row r="51" spans="1:12" s="53" customFormat="1" ht="86.25" customHeight="1">
      <c r="A51" s="115" t="s">
        <v>107</v>
      </c>
      <c r="B51" s="116">
        <v>6209</v>
      </c>
      <c r="C51" s="128" t="s">
        <v>142</v>
      </c>
      <c r="D51" s="117">
        <v>892000</v>
      </c>
      <c r="E51" s="117">
        <v>0</v>
      </c>
      <c r="F51" s="117">
        <v>110344</v>
      </c>
      <c r="G51" s="117">
        <f t="shared" si="0"/>
        <v>781656</v>
      </c>
      <c r="H51" s="102"/>
      <c r="I51" s="102"/>
      <c r="J51" s="102"/>
      <c r="K51" s="102"/>
      <c r="L51" s="102"/>
    </row>
    <row r="52" spans="1:12" s="53" customFormat="1" ht="86.25" customHeight="1">
      <c r="A52" s="115" t="s">
        <v>107</v>
      </c>
      <c r="B52" s="116">
        <v>6259</v>
      </c>
      <c r="C52" s="128" t="s">
        <v>143</v>
      </c>
      <c r="D52" s="117">
        <v>10748935</v>
      </c>
      <c r="E52" s="117">
        <v>0</v>
      </c>
      <c r="F52" s="117">
        <v>6032276</v>
      </c>
      <c r="G52" s="117">
        <f t="shared" si="0"/>
        <v>4716659</v>
      </c>
      <c r="H52" s="102"/>
      <c r="I52" s="102"/>
      <c r="J52" s="102"/>
      <c r="K52" s="102"/>
      <c r="L52" s="102"/>
    </row>
    <row r="53" spans="1:12" s="107" customFormat="1" ht="45.75" customHeight="1">
      <c r="A53" s="121">
        <v>75866</v>
      </c>
      <c r="B53" s="122" t="s">
        <v>107</v>
      </c>
      <c r="C53" s="127" t="s">
        <v>146</v>
      </c>
      <c r="D53" s="123">
        <v>130240790</v>
      </c>
      <c r="E53" s="123">
        <f>SUM(E54:E60)</f>
        <v>2854596</v>
      </c>
      <c r="F53" s="123">
        <f>SUM(F54:F60)</f>
        <v>0</v>
      </c>
      <c r="G53" s="123">
        <f t="shared" si="0"/>
        <v>133095386</v>
      </c>
      <c r="H53" s="106"/>
      <c r="I53" s="106"/>
      <c r="J53" s="106"/>
      <c r="K53" s="106"/>
      <c r="L53" s="106"/>
    </row>
    <row r="54" spans="1:12" s="53" customFormat="1" ht="84" customHeight="1">
      <c r="A54" s="115" t="s">
        <v>107</v>
      </c>
      <c r="B54" s="116">
        <v>2007</v>
      </c>
      <c r="C54" s="128" t="s">
        <v>113</v>
      </c>
      <c r="D54" s="117">
        <v>24170156</v>
      </c>
      <c r="E54" s="117">
        <v>185899</v>
      </c>
      <c r="F54" s="117">
        <v>0</v>
      </c>
      <c r="G54" s="117">
        <f t="shared" si="0"/>
        <v>24356055</v>
      </c>
      <c r="H54" s="102"/>
      <c r="I54" s="102"/>
      <c r="J54" s="102"/>
      <c r="K54" s="102"/>
      <c r="L54" s="102"/>
    </row>
    <row r="55" spans="1:12" s="53" customFormat="1" ht="84" customHeight="1">
      <c r="A55" s="115" t="s">
        <v>107</v>
      </c>
      <c r="B55" s="116">
        <v>2009</v>
      </c>
      <c r="C55" s="128" t="s">
        <v>113</v>
      </c>
      <c r="D55" s="117">
        <v>5212742</v>
      </c>
      <c r="E55" s="117">
        <v>2224375</v>
      </c>
      <c r="F55" s="117">
        <v>0</v>
      </c>
      <c r="G55" s="117">
        <f t="shared" si="0"/>
        <v>7437117</v>
      </c>
      <c r="H55" s="102"/>
      <c r="I55" s="102"/>
      <c r="J55" s="102"/>
      <c r="K55" s="102"/>
      <c r="L55" s="102"/>
    </row>
    <row r="56" spans="1:12" s="53" customFormat="1" ht="85.5" customHeight="1">
      <c r="A56" s="115" t="s">
        <v>107</v>
      </c>
      <c r="B56" s="116">
        <v>2057</v>
      </c>
      <c r="C56" s="128" t="s">
        <v>112</v>
      </c>
      <c r="D56" s="117">
        <v>37293531</v>
      </c>
      <c r="E56" s="117">
        <v>3003</v>
      </c>
      <c r="F56" s="117">
        <v>0</v>
      </c>
      <c r="G56" s="117">
        <f t="shared" si="0"/>
        <v>37296534</v>
      </c>
      <c r="H56" s="102"/>
      <c r="I56" s="102"/>
      <c r="J56" s="102"/>
      <c r="K56" s="102"/>
      <c r="L56" s="102"/>
    </row>
    <row r="57" spans="1:12" s="53" customFormat="1" ht="84.75" customHeight="1">
      <c r="A57" s="118" t="s">
        <v>107</v>
      </c>
      <c r="B57" s="119">
        <v>2059</v>
      </c>
      <c r="C57" s="130" t="s">
        <v>112</v>
      </c>
      <c r="D57" s="120">
        <v>3798361</v>
      </c>
      <c r="E57" s="120">
        <v>29319</v>
      </c>
      <c r="F57" s="120">
        <v>0</v>
      </c>
      <c r="G57" s="120">
        <f t="shared" si="0"/>
        <v>3827680</v>
      </c>
      <c r="H57" s="102"/>
      <c r="I57" s="102"/>
      <c r="J57" s="102"/>
      <c r="K57" s="102"/>
      <c r="L57" s="102"/>
    </row>
    <row r="58" spans="1:12" s="53" customFormat="1" ht="82.5" customHeight="1">
      <c r="A58" s="112" t="s">
        <v>107</v>
      </c>
      <c r="B58" s="113">
        <v>6209</v>
      </c>
      <c r="C58" s="131" t="s">
        <v>142</v>
      </c>
      <c r="D58" s="114">
        <v>266000</v>
      </c>
      <c r="E58" s="114">
        <v>375000</v>
      </c>
      <c r="F58" s="114">
        <v>0</v>
      </c>
      <c r="G58" s="114">
        <f t="shared" si="0"/>
        <v>641000</v>
      </c>
      <c r="H58" s="102"/>
      <c r="I58" s="102"/>
      <c r="J58" s="102"/>
      <c r="K58" s="102"/>
      <c r="L58" s="102"/>
    </row>
    <row r="59" spans="1:12" s="53" customFormat="1" ht="81.75" customHeight="1">
      <c r="A59" s="115" t="s">
        <v>107</v>
      </c>
      <c r="B59" s="116">
        <v>6257</v>
      </c>
      <c r="C59" s="128" t="s">
        <v>143</v>
      </c>
      <c r="D59" s="117">
        <v>894737</v>
      </c>
      <c r="E59" s="117">
        <v>33104</v>
      </c>
      <c r="F59" s="117">
        <v>0</v>
      </c>
      <c r="G59" s="117">
        <f t="shared" si="0"/>
        <v>927841</v>
      </c>
      <c r="H59" s="102"/>
      <c r="I59" s="102"/>
      <c r="J59" s="102"/>
      <c r="K59" s="102"/>
      <c r="L59" s="102"/>
    </row>
    <row r="60" spans="1:12" s="53" customFormat="1" ht="84.75" customHeight="1">
      <c r="A60" s="115" t="s">
        <v>107</v>
      </c>
      <c r="B60" s="116">
        <v>6259</v>
      </c>
      <c r="C60" s="128" t="s">
        <v>143</v>
      </c>
      <c r="D60" s="117">
        <v>105263</v>
      </c>
      <c r="E60" s="117">
        <v>3896</v>
      </c>
      <c r="F60" s="117">
        <v>0</v>
      </c>
      <c r="G60" s="117">
        <f t="shared" si="0"/>
        <v>109159</v>
      </c>
      <c r="H60" s="102"/>
      <c r="I60" s="102"/>
      <c r="J60" s="102"/>
      <c r="K60" s="102"/>
      <c r="L60" s="102"/>
    </row>
    <row r="61" spans="1:12" s="107" customFormat="1" ht="15.75" customHeight="1">
      <c r="A61" s="124">
        <v>801</v>
      </c>
      <c r="B61" s="125" t="s">
        <v>107</v>
      </c>
      <c r="C61" s="111" t="s">
        <v>60</v>
      </c>
      <c r="D61" s="126">
        <v>12016612</v>
      </c>
      <c r="E61" s="126">
        <v>0</v>
      </c>
      <c r="F61" s="126">
        <f>F62</f>
        <v>8964854</v>
      </c>
      <c r="G61" s="126">
        <f t="shared" si="0"/>
        <v>3051758</v>
      </c>
      <c r="H61" s="106"/>
      <c r="I61" s="106"/>
      <c r="J61" s="106"/>
      <c r="K61" s="106"/>
      <c r="L61" s="106"/>
    </row>
    <row r="62" spans="1:12" s="107" customFormat="1" ht="15.75" customHeight="1">
      <c r="A62" s="121">
        <v>80195</v>
      </c>
      <c r="B62" s="122" t="s">
        <v>107</v>
      </c>
      <c r="C62" s="127" t="s">
        <v>108</v>
      </c>
      <c r="D62" s="123">
        <v>8964854</v>
      </c>
      <c r="E62" s="123">
        <v>0</v>
      </c>
      <c r="F62" s="123">
        <f>F63+F64</f>
        <v>8964854</v>
      </c>
      <c r="G62" s="123">
        <f t="shared" si="0"/>
        <v>0</v>
      </c>
      <c r="H62" s="106"/>
      <c r="I62" s="106"/>
      <c r="J62" s="106"/>
      <c r="K62" s="106"/>
      <c r="L62" s="106"/>
    </row>
    <row r="63" spans="1:12" s="53" customFormat="1" ht="60.75" customHeight="1">
      <c r="A63" s="115" t="s">
        <v>107</v>
      </c>
      <c r="B63" s="116">
        <v>2700</v>
      </c>
      <c r="C63" s="128" t="s">
        <v>154</v>
      </c>
      <c r="D63" s="117">
        <v>8905002</v>
      </c>
      <c r="E63" s="117">
        <v>0</v>
      </c>
      <c r="F63" s="117">
        <v>8905002</v>
      </c>
      <c r="G63" s="117">
        <f t="shared" si="0"/>
        <v>0</v>
      </c>
      <c r="H63" s="102"/>
      <c r="I63" s="102"/>
      <c r="J63" s="102"/>
      <c r="K63" s="102"/>
      <c r="L63" s="102"/>
    </row>
    <row r="64" spans="1:12" s="53" customFormat="1" ht="60.75" customHeight="1">
      <c r="A64" s="115" t="s">
        <v>107</v>
      </c>
      <c r="B64" s="116">
        <v>6290</v>
      </c>
      <c r="C64" s="128" t="s">
        <v>153</v>
      </c>
      <c r="D64" s="117">
        <v>59852</v>
      </c>
      <c r="E64" s="117">
        <v>0</v>
      </c>
      <c r="F64" s="117">
        <v>59852</v>
      </c>
      <c r="G64" s="117">
        <f t="shared" si="0"/>
        <v>0</v>
      </c>
      <c r="H64" s="102"/>
      <c r="I64" s="102"/>
      <c r="J64" s="102"/>
      <c r="K64" s="102"/>
      <c r="L64" s="102"/>
    </row>
    <row r="65" spans="1:12" s="107" customFormat="1" ht="19.5" customHeight="1">
      <c r="A65" s="124">
        <v>852</v>
      </c>
      <c r="B65" s="125" t="s">
        <v>107</v>
      </c>
      <c r="C65" s="129" t="s">
        <v>63</v>
      </c>
      <c r="D65" s="126">
        <v>182000</v>
      </c>
      <c r="E65" s="126">
        <f>E66</f>
        <v>100000</v>
      </c>
      <c r="F65" s="126">
        <v>0</v>
      </c>
      <c r="G65" s="126">
        <f t="shared" si="0"/>
        <v>282000</v>
      </c>
      <c r="H65" s="106"/>
      <c r="I65" s="106"/>
      <c r="J65" s="106"/>
      <c r="K65" s="106"/>
      <c r="L65" s="106"/>
    </row>
    <row r="66" spans="1:12" s="107" customFormat="1" ht="25.5">
      <c r="A66" s="121">
        <v>85205</v>
      </c>
      <c r="B66" s="122" t="s">
        <v>107</v>
      </c>
      <c r="C66" s="127" t="s">
        <v>147</v>
      </c>
      <c r="D66" s="123">
        <v>177000</v>
      </c>
      <c r="E66" s="123">
        <f>E67</f>
        <v>100000</v>
      </c>
      <c r="F66" s="123">
        <v>0</v>
      </c>
      <c r="G66" s="123">
        <f t="shared" si="0"/>
        <v>277000</v>
      </c>
      <c r="H66" s="106"/>
      <c r="I66" s="106"/>
      <c r="J66" s="106"/>
      <c r="K66" s="106"/>
      <c r="L66" s="106"/>
    </row>
    <row r="67" spans="1:12" s="53" customFormat="1" ht="43.5" customHeight="1">
      <c r="A67" s="115" t="s">
        <v>107</v>
      </c>
      <c r="B67" s="116">
        <v>2230</v>
      </c>
      <c r="C67" s="128" t="s">
        <v>148</v>
      </c>
      <c r="D67" s="117">
        <v>100000</v>
      </c>
      <c r="E67" s="117">
        <v>100000</v>
      </c>
      <c r="F67" s="117">
        <v>0</v>
      </c>
      <c r="G67" s="117">
        <f t="shared" si="0"/>
        <v>200000</v>
      </c>
      <c r="H67" s="102"/>
      <c r="I67" s="102"/>
      <c r="J67" s="102"/>
      <c r="K67" s="102"/>
      <c r="L67" s="102"/>
    </row>
    <row r="68" spans="1:12" s="107" customFormat="1" ht="31.5" customHeight="1">
      <c r="A68" s="124">
        <v>853</v>
      </c>
      <c r="B68" s="125" t="s">
        <v>107</v>
      </c>
      <c r="C68" s="111" t="s">
        <v>21</v>
      </c>
      <c r="D68" s="126">
        <v>11807340</v>
      </c>
      <c r="E68" s="126">
        <f>E69</f>
        <v>276474</v>
      </c>
      <c r="F68" s="126">
        <v>0</v>
      </c>
      <c r="G68" s="126">
        <f t="shared" si="0"/>
        <v>12083814</v>
      </c>
      <c r="H68" s="106"/>
      <c r="I68" s="106"/>
      <c r="J68" s="106"/>
      <c r="K68" s="106"/>
      <c r="L68" s="106"/>
    </row>
    <row r="69" spans="1:12" s="107" customFormat="1" ht="32.25" customHeight="1">
      <c r="A69" s="121">
        <v>85324</v>
      </c>
      <c r="B69" s="122" t="s">
        <v>107</v>
      </c>
      <c r="C69" s="127" t="s">
        <v>149</v>
      </c>
      <c r="D69" s="123">
        <v>440550</v>
      </c>
      <c r="E69" s="123">
        <f>E70</f>
        <v>276474</v>
      </c>
      <c r="F69" s="123">
        <v>0</v>
      </c>
      <c r="G69" s="123">
        <f t="shared" si="0"/>
        <v>717024</v>
      </c>
      <c r="H69" s="106"/>
      <c r="I69" s="106"/>
      <c r="J69" s="106"/>
      <c r="K69" s="106"/>
      <c r="L69" s="106"/>
    </row>
    <row r="70" spans="1:12" s="53" customFormat="1" ht="18" customHeight="1">
      <c r="A70" s="115" t="s">
        <v>107</v>
      </c>
      <c r="B70" s="116" t="s">
        <v>150</v>
      </c>
      <c r="C70" s="128" t="s">
        <v>151</v>
      </c>
      <c r="D70" s="117">
        <v>440550</v>
      </c>
      <c r="E70" s="117">
        <v>276474</v>
      </c>
      <c r="F70" s="117">
        <v>0</v>
      </c>
      <c r="G70" s="117">
        <f t="shared" si="0"/>
        <v>717024</v>
      </c>
      <c r="H70" s="102"/>
      <c r="I70" s="102"/>
      <c r="J70" s="102"/>
      <c r="K70" s="102"/>
      <c r="L70" s="102"/>
    </row>
    <row r="71" spans="1:12" s="107" customFormat="1" ht="42.75" customHeight="1">
      <c r="A71" s="124">
        <v>925</v>
      </c>
      <c r="B71" s="125" t="s">
        <v>107</v>
      </c>
      <c r="C71" s="111" t="s">
        <v>69</v>
      </c>
      <c r="D71" s="126">
        <v>2610621</v>
      </c>
      <c r="E71" s="126">
        <f>E72</f>
        <v>136000</v>
      </c>
      <c r="F71" s="126">
        <v>0</v>
      </c>
      <c r="G71" s="126">
        <f t="shared" si="0"/>
        <v>2746621</v>
      </c>
      <c r="H71" s="106"/>
      <c r="I71" s="106"/>
      <c r="J71" s="106"/>
      <c r="K71" s="106"/>
      <c r="L71" s="106"/>
    </row>
    <row r="72" spans="1:12" s="107" customFormat="1" ht="18" customHeight="1">
      <c r="A72" s="121">
        <v>92502</v>
      </c>
      <c r="B72" s="122" t="s">
        <v>107</v>
      </c>
      <c r="C72" s="127" t="s">
        <v>119</v>
      </c>
      <c r="D72" s="123">
        <v>2610621</v>
      </c>
      <c r="E72" s="123">
        <f>E73</f>
        <v>136000</v>
      </c>
      <c r="F72" s="123">
        <v>0</v>
      </c>
      <c r="G72" s="123">
        <f t="shared" ref="G72:G73" si="1">D72+E72-F72</f>
        <v>2746621</v>
      </c>
      <c r="H72" s="106"/>
      <c r="I72" s="106"/>
      <c r="J72" s="106"/>
      <c r="K72" s="106"/>
      <c r="L72" s="106"/>
    </row>
    <row r="73" spans="1:12" s="53" customFormat="1" ht="58.5" customHeight="1">
      <c r="A73" s="118" t="s">
        <v>107</v>
      </c>
      <c r="B73" s="119">
        <v>2460</v>
      </c>
      <c r="C73" s="130" t="s">
        <v>115</v>
      </c>
      <c r="D73" s="120">
        <v>309316</v>
      </c>
      <c r="E73" s="120">
        <v>136000</v>
      </c>
      <c r="F73" s="120">
        <v>0</v>
      </c>
      <c r="G73" s="120">
        <f t="shared" si="1"/>
        <v>445316</v>
      </c>
      <c r="H73" s="102"/>
      <c r="I73" s="102"/>
      <c r="J73" s="102"/>
      <c r="K73" s="102"/>
      <c r="L73" s="102"/>
    </row>
  </sheetData>
  <sheetProtection algorithmName="SHA-512" hashValue="R9hv63YxENVWJpNJ5znTRRdzpcbD+n5y09GRPNnFKSnhTfAiHznY7SKpvYOie1Sf2IwhghehAgNZQy0kWxRgqw==" saltValue="0yUlqHM2LWUT9RyJ1BmY7Q==" spinCount="100000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00E2-EDD5-4376-BA08-1CB824C11A18}">
  <dimension ref="A1:IV430"/>
  <sheetViews>
    <sheetView view="pageBreakPreview" topLeftCell="A389" zoomScaleNormal="100" zoomScaleSheetLayoutView="100" workbookViewId="0">
      <selection activeCell="B413" sqref="B413:B415"/>
    </sheetView>
  </sheetViews>
  <sheetFormatPr defaultRowHeight="12.75"/>
  <cols>
    <col min="1" max="1" width="7" style="142" customWidth="1"/>
    <col min="2" max="2" width="31.5" style="143" customWidth="1"/>
    <col min="3" max="3" width="3" style="142" customWidth="1"/>
    <col min="4" max="4" width="14.875" style="143" customWidth="1"/>
    <col min="5" max="5" width="15" style="143" customWidth="1"/>
    <col min="6" max="6" width="13.625" style="143" customWidth="1"/>
    <col min="7" max="7" width="13.25" style="143" customWidth="1"/>
    <col min="8" max="8" width="13.375" style="143" customWidth="1"/>
    <col min="9" max="9" width="13.25" style="143" customWidth="1"/>
    <col min="10" max="10" width="11.25" style="143" customWidth="1"/>
    <col min="11" max="11" width="13.375" style="143" customWidth="1"/>
    <col min="12" max="12" width="13.5" style="143" customWidth="1"/>
    <col min="13" max="13" width="13.75" style="143" customWidth="1"/>
    <col min="14" max="14" width="14.25" style="143" customWidth="1"/>
    <col min="15" max="15" width="13.75" style="143" customWidth="1"/>
    <col min="16" max="16" width="12.25" style="143" customWidth="1"/>
    <col min="17" max="256" width="9" style="143"/>
    <col min="257" max="257" width="7" style="143" customWidth="1"/>
    <col min="258" max="258" width="31.5" style="143" customWidth="1"/>
    <col min="259" max="259" width="3" style="143" customWidth="1"/>
    <col min="260" max="260" width="14.875" style="143" customWidth="1"/>
    <col min="261" max="261" width="15" style="143" customWidth="1"/>
    <col min="262" max="262" width="13.625" style="143" customWidth="1"/>
    <col min="263" max="263" width="13.25" style="143" customWidth="1"/>
    <col min="264" max="264" width="13.375" style="143" customWidth="1"/>
    <col min="265" max="265" width="13.25" style="143" customWidth="1"/>
    <col min="266" max="266" width="11.25" style="143" customWidth="1"/>
    <col min="267" max="267" width="13.375" style="143" customWidth="1"/>
    <col min="268" max="268" width="13.5" style="143" customWidth="1"/>
    <col min="269" max="269" width="13.75" style="143" customWidth="1"/>
    <col min="270" max="270" width="14.25" style="143" customWidth="1"/>
    <col min="271" max="271" width="13.75" style="143" customWidth="1"/>
    <col min="272" max="272" width="12.25" style="143" customWidth="1"/>
    <col min="273" max="512" width="9" style="143"/>
    <col min="513" max="513" width="7" style="143" customWidth="1"/>
    <col min="514" max="514" width="31.5" style="143" customWidth="1"/>
    <col min="515" max="515" width="3" style="143" customWidth="1"/>
    <col min="516" max="516" width="14.875" style="143" customWidth="1"/>
    <col min="517" max="517" width="15" style="143" customWidth="1"/>
    <col min="518" max="518" width="13.625" style="143" customWidth="1"/>
    <col min="519" max="519" width="13.25" style="143" customWidth="1"/>
    <col min="520" max="520" width="13.375" style="143" customWidth="1"/>
    <col min="521" max="521" width="13.25" style="143" customWidth="1"/>
    <col min="522" max="522" width="11.25" style="143" customWidth="1"/>
    <col min="523" max="523" width="13.375" style="143" customWidth="1"/>
    <col min="524" max="524" width="13.5" style="143" customWidth="1"/>
    <col min="525" max="525" width="13.75" style="143" customWidth="1"/>
    <col min="526" max="526" width="14.25" style="143" customWidth="1"/>
    <col min="527" max="527" width="13.75" style="143" customWidth="1"/>
    <col min="528" max="528" width="12.25" style="143" customWidth="1"/>
    <col min="529" max="768" width="9" style="143"/>
    <col min="769" max="769" width="7" style="143" customWidth="1"/>
    <col min="770" max="770" width="31.5" style="143" customWidth="1"/>
    <col min="771" max="771" width="3" style="143" customWidth="1"/>
    <col min="772" max="772" width="14.875" style="143" customWidth="1"/>
    <col min="773" max="773" width="15" style="143" customWidth="1"/>
    <col min="774" max="774" width="13.625" style="143" customWidth="1"/>
    <col min="775" max="775" width="13.25" style="143" customWidth="1"/>
    <col min="776" max="776" width="13.375" style="143" customWidth="1"/>
    <col min="777" max="777" width="13.25" style="143" customWidth="1"/>
    <col min="778" max="778" width="11.25" style="143" customWidth="1"/>
    <col min="779" max="779" width="13.375" style="143" customWidth="1"/>
    <col min="780" max="780" width="13.5" style="143" customWidth="1"/>
    <col min="781" max="781" width="13.75" style="143" customWidth="1"/>
    <col min="782" max="782" width="14.25" style="143" customWidth="1"/>
    <col min="783" max="783" width="13.75" style="143" customWidth="1"/>
    <col min="784" max="784" width="12.25" style="143" customWidth="1"/>
    <col min="785" max="1024" width="9" style="143"/>
    <col min="1025" max="1025" width="7" style="143" customWidth="1"/>
    <col min="1026" max="1026" width="31.5" style="143" customWidth="1"/>
    <col min="1027" max="1027" width="3" style="143" customWidth="1"/>
    <col min="1028" max="1028" width="14.875" style="143" customWidth="1"/>
    <col min="1029" max="1029" width="15" style="143" customWidth="1"/>
    <col min="1030" max="1030" width="13.625" style="143" customWidth="1"/>
    <col min="1031" max="1031" width="13.25" style="143" customWidth="1"/>
    <col min="1032" max="1032" width="13.375" style="143" customWidth="1"/>
    <col min="1033" max="1033" width="13.25" style="143" customWidth="1"/>
    <col min="1034" max="1034" width="11.25" style="143" customWidth="1"/>
    <col min="1035" max="1035" width="13.375" style="143" customWidth="1"/>
    <col min="1036" max="1036" width="13.5" style="143" customWidth="1"/>
    <col min="1037" max="1037" width="13.75" style="143" customWidth="1"/>
    <col min="1038" max="1038" width="14.25" style="143" customWidth="1"/>
    <col min="1039" max="1039" width="13.75" style="143" customWidth="1"/>
    <col min="1040" max="1040" width="12.25" style="143" customWidth="1"/>
    <col min="1041" max="1280" width="9" style="143"/>
    <col min="1281" max="1281" width="7" style="143" customWidth="1"/>
    <col min="1282" max="1282" width="31.5" style="143" customWidth="1"/>
    <col min="1283" max="1283" width="3" style="143" customWidth="1"/>
    <col min="1284" max="1284" width="14.875" style="143" customWidth="1"/>
    <col min="1285" max="1285" width="15" style="143" customWidth="1"/>
    <col min="1286" max="1286" width="13.625" style="143" customWidth="1"/>
    <col min="1287" max="1287" width="13.25" style="143" customWidth="1"/>
    <col min="1288" max="1288" width="13.375" style="143" customWidth="1"/>
    <col min="1289" max="1289" width="13.25" style="143" customWidth="1"/>
    <col min="1290" max="1290" width="11.25" style="143" customWidth="1"/>
    <col min="1291" max="1291" width="13.375" style="143" customWidth="1"/>
    <col min="1292" max="1292" width="13.5" style="143" customWidth="1"/>
    <col min="1293" max="1293" width="13.75" style="143" customWidth="1"/>
    <col min="1294" max="1294" width="14.25" style="143" customWidth="1"/>
    <col min="1295" max="1295" width="13.75" style="143" customWidth="1"/>
    <col min="1296" max="1296" width="12.25" style="143" customWidth="1"/>
    <col min="1297" max="1536" width="9" style="143"/>
    <col min="1537" max="1537" width="7" style="143" customWidth="1"/>
    <col min="1538" max="1538" width="31.5" style="143" customWidth="1"/>
    <col min="1539" max="1539" width="3" style="143" customWidth="1"/>
    <col min="1540" max="1540" width="14.875" style="143" customWidth="1"/>
    <col min="1541" max="1541" width="15" style="143" customWidth="1"/>
    <col min="1542" max="1542" width="13.625" style="143" customWidth="1"/>
    <col min="1543" max="1543" width="13.25" style="143" customWidth="1"/>
    <col min="1544" max="1544" width="13.375" style="143" customWidth="1"/>
    <col min="1545" max="1545" width="13.25" style="143" customWidth="1"/>
    <col min="1546" max="1546" width="11.25" style="143" customWidth="1"/>
    <col min="1547" max="1547" width="13.375" style="143" customWidth="1"/>
    <col min="1548" max="1548" width="13.5" style="143" customWidth="1"/>
    <col min="1549" max="1549" width="13.75" style="143" customWidth="1"/>
    <col min="1550" max="1550" width="14.25" style="143" customWidth="1"/>
    <col min="1551" max="1551" width="13.75" style="143" customWidth="1"/>
    <col min="1552" max="1552" width="12.25" style="143" customWidth="1"/>
    <col min="1553" max="1792" width="9" style="143"/>
    <col min="1793" max="1793" width="7" style="143" customWidth="1"/>
    <col min="1794" max="1794" width="31.5" style="143" customWidth="1"/>
    <col min="1795" max="1795" width="3" style="143" customWidth="1"/>
    <col min="1796" max="1796" width="14.875" style="143" customWidth="1"/>
    <col min="1797" max="1797" width="15" style="143" customWidth="1"/>
    <col min="1798" max="1798" width="13.625" style="143" customWidth="1"/>
    <col min="1799" max="1799" width="13.25" style="143" customWidth="1"/>
    <col min="1800" max="1800" width="13.375" style="143" customWidth="1"/>
    <col min="1801" max="1801" width="13.25" style="143" customWidth="1"/>
    <col min="1802" max="1802" width="11.25" style="143" customWidth="1"/>
    <col min="1803" max="1803" width="13.375" style="143" customWidth="1"/>
    <col min="1804" max="1804" width="13.5" style="143" customWidth="1"/>
    <col min="1805" max="1805" width="13.75" style="143" customWidth="1"/>
    <col min="1806" max="1806" width="14.25" style="143" customWidth="1"/>
    <col min="1807" max="1807" width="13.75" style="143" customWidth="1"/>
    <col min="1808" max="1808" width="12.25" style="143" customWidth="1"/>
    <col min="1809" max="2048" width="9" style="143"/>
    <col min="2049" max="2049" width="7" style="143" customWidth="1"/>
    <col min="2050" max="2050" width="31.5" style="143" customWidth="1"/>
    <col min="2051" max="2051" width="3" style="143" customWidth="1"/>
    <col min="2052" max="2052" width="14.875" style="143" customWidth="1"/>
    <col min="2053" max="2053" width="15" style="143" customWidth="1"/>
    <col min="2054" max="2054" width="13.625" style="143" customWidth="1"/>
    <col min="2055" max="2055" width="13.25" style="143" customWidth="1"/>
    <col min="2056" max="2056" width="13.375" style="143" customWidth="1"/>
    <col min="2057" max="2057" width="13.25" style="143" customWidth="1"/>
    <col min="2058" max="2058" width="11.25" style="143" customWidth="1"/>
    <col min="2059" max="2059" width="13.375" style="143" customWidth="1"/>
    <col min="2060" max="2060" width="13.5" style="143" customWidth="1"/>
    <col min="2061" max="2061" width="13.75" style="143" customWidth="1"/>
    <col min="2062" max="2062" width="14.25" style="143" customWidth="1"/>
    <col min="2063" max="2063" width="13.75" style="143" customWidth="1"/>
    <col min="2064" max="2064" width="12.25" style="143" customWidth="1"/>
    <col min="2065" max="2304" width="9" style="143"/>
    <col min="2305" max="2305" width="7" style="143" customWidth="1"/>
    <col min="2306" max="2306" width="31.5" style="143" customWidth="1"/>
    <col min="2307" max="2307" width="3" style="143" customWidth="1"/>
    <col min="2308" max="2308" width="14.875" style="143" customWidth="1"/>
    <col min="2309" max="2309" width="15" style="143" customWidth="1"/>
    <col min="2310" max="2310" width="13.625" style="143" customWidth="1"/>
    <col min="2311" max="2311" width="13.25" style="143" customWidth="1"/>
    <col min="2312" max="2312" width="13.375" style="143" customWidth="1"/>
    <col min="2313" max="2313" width="13.25" style="143" customWidth="1"/>
    <col min="2314" max="2314" width="11.25" style="143" customWidth="1"/>
    <col min="2315" max="2315" width="13.375" style="143" customWidth="1"/>
    <col min="2316" max="2316" width="13.5" style="143" customWidth="1"/>
    <col min="2317" max="2317" width="13.75" style="143" customWidth="1"/>
    <col min="2318" max="2318" width="14.25" style="143" customWidth="1"/>
    <col min="2319" max="2319" width="13.75" style="143" customWidth="1"/>
    <col min="2320" max="2320" width="12.25" style="143" customWidth="1"/>
    <col min="2321" max="2560" width="9" style="143"/>
    <col min="2561" max="2561" width="7" style="143" customWidth="1"/>
    <col min="2562" max="2562" width="31.5" style="143" customWidth="1"/>
    <col min="2563" max="2563" width="3" style="143" customWidth="1"/>
    <col min="2564" max="2564" width="14.875" style="143" customWidth="1"/>
    <col min="2565" max="2565" width="15" style="143" customWidth="1"/>
    <col min="2566" max="2566" width="13.625" style="143" customWidth="1"/>
    <col min="2567" max="2567" width="13.25" style="143" customWidth="1"/>
    <col min="2568" max="2568" width="13.375" style="143" customWidth="1"/>
    <col min="2569" max="2569" width="13.25" style="143" customWidth="1"/>
    <col min="2570" max="2570" width="11.25" style="143" customWidth="1"/>
    <col min="2571" max="2571" width="13.375" style="143" customWidth="1"/>
    <col min="2572" max="2572" width="13.5" style="143" customWidth="1"/>
    <col min="2573" max="2573" width="13.75" style="143" customWidth="1"/>
    <col min="2574" max="2574" width="14.25" style="143" customWidth="1"/>
    <col min="2575" max="2575" width="13.75" style="143" customWidth="1"/>
    <col min="2576" max="2576" width="12.25" style="143" customWidth="1"/>
    <col min="2577" max="2816" width="9" style="143"/>
    <col min="2817" max="2817" width="7" style="143" customWidth="1"/>
    <col min="2818" max="2818" width="31.5" style="143" customWidth="1"/>
    <col min="2819" max="2819" width="3" style="143" customWidth="1"/>
    <col min="2820" max="2820" width="14.875" style="143" customWidth="1"/>
    <col min="2821" max="2821" width="15" style="143" customWidth="1"/>
    <col min="2822" max="2822" width="13.625" style="143" customWidth="1"/>
    <col min="2823" max="2823" width="13.25" style="143" customWidth="1"/>
    <col min="2824" max="2824" width="13.375" style="143" customWidth="1"/>
    <col min="2825" max="2825" width="13.25" style="143" customWidth="1"/>
    <col min="2826" max="2826" width="11.25" style="143" customWidth="1"/>
    <col min="2827" max="2827" width="13.375" style="143" customWidth="1"/>
    <col min="2828" max="2828" width="13.5" style="143" customWidth="1"/>
    <col min="2829" max="2829" width="13.75" style="143" customWidth="1"/>
    <col min="2830" max="2830" width="14.25" style="143" customWidth="1"/>
    <col min="2831" max="2831" width="13.75" style="143" customWidth="1"/>
    <col min="2832" max="2832" width="12.25" style="143" customWidth="1"/>
    <col min="2833" max="3072" width="9" style="143"/>
    <col min="3073" max="3073" width="7" style="143" customWidth="1"/>
    <col min="3074" max="3074" width="31.5" style="143" customWidth="1"/>
    <col min="3075" max="3075" width="3" style="143" customWidth="1"/>
    <col min="3076" max="3076" width="14.875" style="143" customWidth="1"/>
    <col min="3077" max="3077" width="15" style="143" customWidth="1"/>
    <col min="3078" max="3078" width="13.625" style="143" customWidth="1"/>
    <col min="3079" max="3079" width="13.25" style="143" customWidth="1"/>
    <col min="3080" max="3080" width="13.375" style="143" customWidth="1"/>
    <col min="3081" max="3081" width="13.25" style="143" customWidth="1"/>
    <col min="3082" max="3082" width="11.25" style="143" customWidth="1"/>
    <col min="3083" max="3083" width="13.375" style="143" customWidth="1"/>
    <col min="3084" max="3084" width="13.5" style="143" customWidth="1"/>
    <col min="3085" max="3085" width="13.75" style="143" customWidth="1"/>
    <col min="3086" max="3086" width="14.25" style="143" customWidth="1"/>
    <col min="3087" max="3087" width="13.75" style="143" customWidth="1"/>
    <col min="3088" max="3088" width="12.25" style="143" customWidth="1"/>
    <col min="3089" max="3328" width="9" style="143"/>
    <col min="3329" max="3329" width="7" style="143" customWidth="1"/>
    <col min="3330" max="3330" width="31.5" style="143" customWidth="1"/>
    <col min="3331" max="3331" width="3" style="143" customWidth="1"/>
    <col min="3332" max="3332" width="14.875" style="143" customWidth="1"/>
    <col min="3333" max="3333" width="15" style="143" customWidth="1"/>
    <col min="3334" max="3334" width="13.625" style="143" customWidth="1"/>
    <col min="3335" max="3335" width="13.25" style="143" customWidth="1"/>
    <col min="3336" max="3336" width="13.375" style="143" customWidth="1"/>
    <col min="3337" max="3337" width="13.25" style="143" customWidth="1"/>
    <col min="3338" max="3338" width="11.25" style="143" customWidth="1"/>
    <col min="3339" max="3339" width="13.375" style="143" customWidth="1"/>
    <col min="3340" max="3340" width="13.5" style="143" customWidth="1"/>
    <col min="3341" max="3341" width="13.75" style="143" customWidth="1"/>
    <col min="3342" max="3342" width="14.25" style="143" customWidth="1"/>
    <col min="3343" max="3343" width="13.75" style="143" customWidth="1"/>
    <col min="3344" max="3344" width="12.25" style="143" customWidth="1"/>
    <col min="3345" max="3584" width="9" style="143"/>
    <col min="3585" max="3585" width="7" style="143" customWidth="1"/>
    <col min="3586" max="3586" width="31.5" style="143" customWidth="1"/>
    <col min="3587" max="3587" width="3" style="143" customWidth="1"/>
    <col min="3588" max="3588" width="14.875" style="143" customWidth="1"/>
    <col min="3589" max="3589" width="15" style="143" customWidth="1"/>
    <col min="3590" max="3590" width="13.625" style="143" customWidth="1"/>
    <col min="3591" max="3591" width="13.25" style="143" customWidth="1"/>
    <col min="3592" max="3592" width="13.375" style="143" customWidth="1"/>
    <col min="3593" max="3593" width="13.25" style="143" customWidth="1"/>
    <col min="3594" max="3594" width="11.25" style="143" customWidth="1"/>
    <col min="3595" max="3595" width="13.375" style="143" customWidth="1"/>
    <col min="3596" max="3596" width="13.5" style="143" customWidth="1"/>
    <col min="3597" max="3597" width="13.75" style="143" customWidth="1"/>
    <col min="3598" max="3598" width="14.25" style="143" customWidth="1"/>
    <col min="3599" max="3599" width="13.75" style="143" customWidth="1"/>
    <col min="3600" max="3600" width="12.25" style="143" customWidth="1"/>
    <col min="3601" max="3840" width="9" style="143"/>
    <col min="3841" max="3841" width="7" style="143" customWidth="1"/>
    <col min="3842" max="3842" width="31.5" style="143" customWidth="1"/>
    <col min="3843" max="3843" width="3" style="143" customWidth="1"/>
    <col min="3844" max="3844" width="14.875" style="143" customWidth="1"/>
    <col min="3845" max="3845" width="15" style="143" customWidth="1"/>
    <col min="3846" max="3846" width="13.625" style="143" customWidth="1"/>
    <col min="3847" max="3847" width="13.25" style="143" customWidth="1"/>
    <col min="3848" max="3848" width="13.375" style="143" customWidth="1"/>
    <col min="3849" max="3849" width="13.25" style="143" customWidth="1"/>
    <col min="3850" max="3850" width="11.25" style="143" customWidth="1"/>
    <col min="3851" max="3851" width="13.375" style="143" customWidth="1"/>
    <col min="3852" max="3852" width="13.5" style="143" customWidth="1"/>
    <col min="3853" max="3853" width="13.75" style="143" customWidth="1"/>
    <col min="3854" max="3854" width="14.25" style="143" customWidth="1"/>
    <col min="3855" max="3855" width="13.75" style="143" customWidth="1"/>
    <col min="3856" max="3856" width="12.25" style="143" customWidth="1"/>
    <col min="3857" max="4096" width="9" style="143"/>
    <col min="4097" max="4097" width="7" style="143" customWidth="1"/>
    <col min="4098" max="4098" width="31.5" style="143" customWidth="1"/>
    <col min="4099" max="4099" width="3" style="143" customWidth="1"/>
    <col min="4100" max="4100" width="14.875" style="143" customWidth="1"/>
    <col min="4101" max="4101" width="15" style="143" customWidth="1"/>
    <col min="4102" max="4102" width="13.625" style="143" customWidth="1"/>
    <col min="4103" max="4103" width="13.25" style="143" customWidth="1"/>
    <col min="4104" max="4104" width="13.375" style="143" customWidth="1"/>
    <col min="4105" max="4105" width="13.25" style="143" customWidth="1"/>
    <col min="4106" max="4106" width="11.25" style="143" customWidth="1"/>
    <col min="4107" max="4107" width="13.375" style="143" customWidth="1"/>
    <col min="4108" max="4108" width="13.5" style="143" customWidth="1"/>
    <col min="4109" max="4109" width="13.75" style="143" customWidth="1"/>
    <col min="4110" max="4110" width="14.25" style="143" customWidth="1"/>
    <col min="4111" max="4111" width="13.75" style="143" customWidth="1"/>
    <col min="4112" max="4112" width="12.25" style="143" customWidth="1"/>
    <col min="4113" max="4352" width="9" style="143"/>
    <col min="4353" max="4353" width="7" style="143" customWidth="1"/>
    <col min="4354" max="4354" width="31.5" style="143" customWidth="1"/>
    <col min="4355" max="4355" width="3" style="143" customWidth="1"/>
    <col min="4356" max="4356" width="14.875" style="143" customWidth="1"/>
    <col min="4357" max="4357" width="15" style="143" customWidth="1"/>
    <col min="4358" max="4358" width="13.625" style="143" customWidth="1"/>
    <col min="4359" max="4359" width="13.25" style="143" customWidth="1"/>
    <col min="4360" max="4360" width="13.375" style="143" customWidth="1"/>
    <col min="4361" max="4361" width="13.25" style="143" customWidth="1"/>
    <col min="4362" max="4362" width="11.25" style="143" customWidth="1"/>
    <col min="4363" max="4363" width="13.375" style="143" customWidth="1"/>
    <col min="4364" max="4364" width="13.5" style="143" customWidth="1"/>
    <col min="4365" max="4365" width="13.75" style="143" customWidth="1"/>
    <col min="4366" max="4366" width="14.25" style="143" customWidth="1"/>
    <col min="4367" max="4367" width="13.75" style="143" customWidth="1"/>
    <col min="4368" max="4368" width="12.25" style="143" customWidth="1"/>
    <col min="4369" max="4608" width="9" style="143"/>
    <col min="4609" max="4609" width="7" style="143" customWidth="1"/>
    <col min="4610" max="4610" width="31.5" style="143" customWidth="1"/>
    <col min="4611" max="4611" width="3" style="143" customWidth="1"/>
    <col min="4612" max="4612" width="14.875" style="143" customWidth="1"/>
    <col min="4613" max="4613" width="15" style="143" customWidth="1"/>
    <col min="4614" max="4614" width="13.625" style="143" customWidth="1"/>
    <col min="4615" max="4615" width="13.25" style="143" customWidth="1"/>
    <col min="4616" max="4616" width="13.375" style="143" customWidth="1"/>
    <col min="4617" max="4617" width="13.25" style="143" customWidth="1"/>
    <col min="4618" max="4618" width="11.25" style="143" customWidth="1"/>
    <col min="4619" max="4619" width="13.375" style="143" customWidth="1"/>
    <col min="4620" max="4620" width="13.5" style="143" customWidth="1"/>
    <col min="4621" max="4621" width="13.75" style="143" customWidth="1"/>
    <col min="4622" max="4622" width="14.25" style="143" customWidth="1"/>
    <col min="4623" max="4623" width="13.75" style="143" customWidth="1"/>
    <col min="4624" max="4624" width="12.25" style="143" customWidth="1"/>
    <col min="4625" max="4864" width="9" style="143"/>
    <col min="4865" max="4865" width="7" style="143" customWidth="1"/>
    <col min="4866" max="4866" width="31.5" style="143" customWidth="1"/>
    <col min="4867" max="4867" width="3" style="143" customWidth="1"/>
    <col min="4868" max="4868" width="14.875" style="143" customWidth="1"/>
    <col min="4869" max="4869" width="15" style="143" customWidth="1"/>
    <col min="4870" max="4870" width="13.625" style="143" customWidth="1"/>
    <col min="4871" max="4871" width="13.25" style="143" customWidth="1"/>
    <col min="4872" max="4872" width="13.375" style="143" customWidth="1"/>
    <col min="4873" max="4873" width="13.25" style="143" customWidth="1"/>
    <col min="4874" max="4874" width="11.25" style="143" customWidth="1"/>
    <col min="4875" max="4875" width="13.375" style="143" customWidth="1"/>
    <col min="4876" max="4876" width="13.5" style="143" customWidth="1"/>
    <col min="4877" max="4877" width="13.75" style="143" customWidth="1"/>
    <col min="4878" max="4878" width="14.25" style="143" customWidth="1"/>
    <col min="4879" max="4879" width="13.75" style="143" customWidth="1"/>
    <col min="4880" max="4880" width="12.25" style="143" customWidth="1"/>
    <col min="4881" max="5120" width="9" style="143"/>
    <col min="5121" max="5121" width="7" style="143" customWidth="1"/>
    <col min="5122" max="5122" width="31.5" style="143" customWidth="1"/>
    <col min="5123" max="5123" width="3" style="143" customWidth="1"/>
    <col min="5124" max="5124" width="14.875" style="143" customWidth="1"/>
    <col min="5125" max="5125" width="15" style="143" customWidth="1"/>
    <col min="5126" max="5126" width="13.625" style="143" customWidth="1"/>
    <col min="5127" max="5127" width="13.25" style="143" customWidth="1"/>
    <col min="5128" max="5128" width="13.375" style="143" customWidth="1"/>
    <col min="5129" max="5129" width="13.25" style="143" customWidth="1"/>
    <col min="5130" max="5130" width="11.25" style="143" customWidth="1"/>
    <col min="5131" max="5131" width="13.375" style="143" customWidth="1"/>
    <col min="5132" max="5132" width="13.5" style="143" customWidth="1"/>
    <col min="5133" max="5133" width="13.75" style="143" customWidth="1"/>
    <col min="5134" max="5134" width="14.25" style="143" customWidth="1"/>
    <col min="5135" max="5135" width="13.75" style="143" customWidth="1"/>
    <col min="5136" max="5136" width="12.25" style="143" customWidth="1"/>
    <col min="5137" max="5376" width="9" style="143"/>
    <col min="5377" max="5377" width="7" style="143" customWidth="1"/>
    <col min="5378" max="5378" width="31.5" style="143" customWidth="1"/>
    <col min="5379" max="5379" width="3" style="143" customWidth="1"/>
    <col min="5380" max="5380" width="14.875" style="143" customWidth="1"/>
    <col min="5381" max="5381" width="15" style="143" customWidth="1"/>
    <col min="5382" max="5382" width="13.625" style="143" customWidth="1"/>
    <col min="5383" max="5383" width="13.25" style="143" customWidth="1"/>
    <col min="5384" max="5384" width="13.375" style="143" customWidth="1"/>
    <col min="5385" max="5385" width="13.25" style="143" customWidth="1"/>
    <col min="5386" max="5386" width="11.25" style="143" customWidth="1"/>
    <col min="5387" max="5387" width="13.375" style="143" customWidth="1"/>
    <col min="5388" max="5388" width="13.5" style="143" customWidth="1"/>
    <col min="5389" max="5389" width="13.75" style="143" customWidth="1"/>
    <col min="5390" max="5390" width="14.25" style="143" customWidth="1"/>
    <col min="5391" max="5391" width="13.75" style="143" customWidth="1"/>
    <col min="5392" max="5392" width="12.25" style="143" customWidth="1"/>
    <col min="5393" max="5632" width="9" style="143"/>
    <col min="5633" max="5633" width="7" style="143" customWidth="1"/>
    <col min="5634" max="5634" width="31.5" style="143" customWidth="1"/>
    <col min="5635" max="5635" width="3" style="143" customWidth="1"/>
    <col min="5636" max="5636" width="14.875" style="143" customWidth="1"/>
    <col min="5637" max="5637" width="15" style="143" customWidth="1"/>
    <col min="5638" max="5638" width="13.625" style="143" customWidth="1"/>
    <col min="5639" max="5639" width="13.25" style="143" customWidth="1"/>
    <col min="5640" max="5640" width="13.375" style="143" customWidth="1"/>
    <col min="5641" max="5641" width="13.25" style="143" customWidth="1"/>
    <col min="5642" max="5642" width="11.25" style="143" customWidth="1"/>
    <col min="5643" max="5643" width="13.375" style="143" customWidth="1"/>
    <col min="5644" max="5644" width="13.5" style="143" customWidth="1"/>
    <col min="5645" max="5645" width="13.75" style="143" customWidth="1"/>
    <col min="5646" max="5646" width="14.25" style="143" customWidth="1"/>
    <col min="5647" max="5647" width="13.75" style="143" customWidth="1"/>
    <col min="5648" max="5648" width="12.25" style="143" customWidth="1"/>
    <col min="5649" max="5888" width="9" style="143"/>
    <col min="5889" max="5889" width="7" style="143" customWidth="1"/>
    <col min="5890" max="5890" width="31.5" style="143" customWidth="1"/>
    <col min="5891" max="5891" width="3" style="143" customWidth="1"/>
    <col min="5892" max="5892" width="14.875" style="143" customWidth="1"/>
    <col min="5893" max="5893" width="15" style="143" customWidth="1"/>
    <col min="5894" max="5894" width="13.625" style="143" customWidth="1"/>
    <col min="5895" max="5895" width="13.25" style="143" customWidth="1"/>
    <col min="5896" max="5896" width="13.375" style="143" customWidth="1"/>
    <col min="5897" max="5897" width="13.25" style="143" customWidth="1"/>
    <col min="5898" max="5898" width="11.25" style="143" customWidth="1"/>
    <col min="5899" max="5899" width="13.375" style="143" customWidth="1"/>
    <col min="5900" max="5900" width="13.5" style="143" customWidth="1"/>
    <col min="5901" max="5901" width="13.75" style="143" customWidth="1"/>
    <col min="5902" max="5902" width="14.25" style="143" customWidth="1"/>
    <col min="5903" max="5903" width="13.75" style="143" customWidth="1"/>
    <col min="5904" max="5904" width="12.25" style="143" customWidth="1"/>
    <col min="5905" max="6144" width="9" style="143"/>
    <col min="6145" max="6145" width="7" style="143" customWidth="1"/>
    <col min="6146" max="6146" width="31.5" style="143" customWidth="1"/>
    <col min="6147" max="6147" width="3" style="143" customWidth="1"/>
    <col min="6148" max="6148" width="14.875" style="143" customWidth="1"/>
    <col min="6149" max="6149" width="15" style="143" customWidth="1"/>
    <col min="6150" max="6150" width="13.625" style="143" customWidth="1"/>
    <col min="6151" max="6151" width="13.25" style="143" customWidth="1"/>
    <col min="6152" max="6152" width="13.375" style="143" customWidth="1"/>
    <col min="6153" max="6153" width="13.25" style="143" customWidth="1"/>
    <col min="6154" max="6154" width="11.25" style="143" customWidth="1"/>
    <col min="6155" max="6155" width="13.375" style="143" customWidth="1"/>
    <col min="6156" max="6156" width="13.5" style="143" customWidth="1"/>
    <col min="6157" max="6157" width="13.75" style="143" customWidth="1"/>
    <col min="6158" max="6158" width="14.25" style="143" customWidth="1"/>
    <col min="6159" max="6159" width="13.75" style="143" customWidth="1"/>
    <col min="6160" max="6160" width="12.25" style="143" customWidth="1"/>
    <col min="6161" max="6400" width="9" style="143"/>
    <col min="6401" max="6401" width="7" style="143" customWidth="1"/>
    <col min="6402" max="6402" width="31.5" style="143" customWidth="1"/>
    <col min="6403" max="6403" width="3" style="143" customWidth="1"/>
    <col min="6404" max="6404" width="14.875" style="143" customWidth="1"/>
    <col min="6405" max="6405" width="15" style="143" customWidth="1"/>
    <col min="6406" max="6406" width="13.625" style="143" customWidth="1"/>
    <col min="6407" max="6407" width="13.25" style="143" customWidth="1"/>
    <col min="6408" max="6408" width="13.375" style="143" customWidth="1"/>
    <col min="6409" max="6409" width="13.25" style="143" customWidth="1"/>
    <col min="6410" max="6410" width="11.25" style="143" customWidth="1"/>
    <col min="6411" max="6411" width="13.375" style="143" customWidth="1"/>
    <col min="6412" max="6412" width="13.5" style="143" customWidth="1"/>
    <col min="6413" max="6413" width="13.75" style="143" customWidth="1"/>
    <col min="6414" max="6414" width="14.25" style="143" customWidth="1"/>
    <col min="6415" max="6415" width="13.75" style="143" customWidth="1"/>
    <col min="6416" max="6416" width="12.25" style="143" customWidth="1"/>
    <col min="6417" max="6656" width="9" style="143"/>
    <col min="6657" max="6657" width="7" style="143" customWidth="1"/>
    <col min="6658" max="6658" width="31.5" style="143" customWidth="1"/>
    <col min="6659" max="6659" width="3" style="143" customWidth="1"/>
    <col min="6660" max="6660" width="14.875" style="143" customWidth="1"/>
    <col min="6661" max="6661" width="15" style="143" customWidth="1"/>
    <col min="6662" max="6662" width="13.625" style="143" customWidth="1"/>
    <col min="6663" max="6663" width="13.25" style="143" customWidth="1"/>
    <col min="6664" max="6664" width="13.375" style="143" customWidth="1"/>
    <col min="6665" max="6665" width="13.25" style="143" customWidth="1"/>
    <col min="6666" max="6666" width="11.25" style="143" customWidth="1"/>
    <col min="6667" max="6667" width="13.375" style="143" customWidth="1"/>
    <col min="6668" max="6668" width="13.5" style="143" customWidth="1"/>
    <col min="6669" max="6669" width="13.75" style="143" customWidth="1"/>
    <col min="6670" max="6670" width="14.25" style="143" customWidth="1"/>
    <col min="6671" max="6671" width="13.75" style="143" customWidth="1"/>
    <col min="6672" max="6672" width="12.25" style="143" customWidth="1"/>
    <col min="6673" max="6912" width="9" style="143"/>
    <col min="6913" max="6913" width="7" style="143" customWidth="1"/>
    <col min="6914" max="6914" width="31.5" style="143" customWidth="1"/>
    <col min="6915" max="6915" width="3" style="143" customWidth="1"/>
    <col min="6916" max="6916" width="14.875" style="143" customWidth="1"/>
    <col min="6917" max="6917" width="15" style="143" customWidth="1"/>
    <col min="6918" max="6918" width="13.625" style="143" customWidth="1"/>
    <col min="6919" max="6919" width="13.25" style="143" customWidth="1"/>
    <col min="6920" max="6920" width="13.375" style="143" customWidth="1"/>
    <col min="6921" max="6921" width="13.25" style="143" customWidth="1"/>
    <col min="6922" max="6922" width="11.25" style="143" customWidth="1"/>
    <col min="6923" max="6923" width="13.375" style="143" customWidth="1"/>
    <col min="6924" max="6924" width="13.5" style="143" customWidth="1"/>
    <col min="6925" max="6925" width="13.75" style="143" customWidth="1"/>
    <col min="6926" max="6926" width="14.25" style="143" customWidth="1"/>
    <col min="6927" max="6927" width="13.75" style="143" customWidth="1"/>
    <col min="6928" max="6928" width="12.25" style="143" customWidth="1"/>
    <col min="6929" max="7168" width="9" style="143"/>
    <col min="7169" max="7169" width="7" style="143" customWidth="1"/>
    <col min="7170" max="7170" width="31.5" style="143" customWidth="1"/>
    <col min="7171" max="7171" width="3" style="143" customWidth="1"/>
    <col min="7172" max="7172" width="14.875" style="143" customWidth="1"/>
    <col min="7173" max="7173" width="15" style="143" customWidth="1"/>
    <col min="7174" max="7174" width="13.625" style="143" customWidth="1"/>
    <col min="7175" max="7175" width="13.25" style="143" customWidth="1"/>
    <col min="7176" max="7176" width="13.375" style="143" customWidth="1"/>
    <col min="7177" max="7177" width="13.25" style="143" customWidth="1"/>
    <col min="7178" max="7178" width="11.25" style="143" customWidth="1"/>
    <col min="7179" max="7179" width="13.375" style="143" customWidth="1"/>
    <col min="7180" max="7180" width="13.5" style="143" customWidth="1"/>
    <col min="7181" max="7181" width="13.75" style="143" customWidth="1"/>
    <col min="7182" max="7182" width="14.25" style="143" customWidth="1"/>
    <col min="7183" max="7183" width="13.75" style="143" customWidth="1"/>
    <col min="7184" max="7184" width="12.25" style="143" customWidth="1"/>
    <col min="7185" max="7424" width="9" style="143"/>
    <col min="7425" max="7425" width="7" style="143" customWidth="1"/>
    <col min="7426" max="7426" width="31.5" style="143" customWidth="1"/>
    <col min="7427" max="7427" width="3" style="143" customWidth="1"/>
    <col min="7428" max="7428" width="14.875" style="143" customWidth="1"/>
    <col min="7429" max="7429" width="15" style="143" customWidth="1"/>
    <col min="7430" max="7430" width="13.625" style="143" customWidth="1"/>
    <col min="7431" max="7431" width="13.25" style="143" customWidth="1"/>
    <col min="7432" max="7432" width="13.375" style="143" customWidth="1"/>
    <col min="7433" max="7433" width="13.25" style="143" customWidth="1"/>
    <col min="7434" max="7434" width="11.25" style="143" customWidth="1"/>
    <col min="7435" max="7435" width="13.375" style="143" customWidth="1"/>
    <col min="7436" max="7436" width="13.5" style="143" customWidth="1"/>
    <col min="7437" max="7437" width="13.75" style="143" customWidth="1"/>
    <col min="7438" max="7438" width="14.25" style="143" customWidth="1"/>
    <col min="7439" max="7439" width="13.75" style="143" customWidth="1"/>
    <col min="7440" max="7440" width="12.25" style="143" customWidth="1"/>
    <col min="7441" max="7680" width="9" style="143"/>
    <col min="7681" max="7681" width="7" style="143" customWidth="1"/>
    <col min="7682" max="7682" width="31.5" style="143" customWidth="1"/>
    <col min="7683" max="7683" width="3" style="143" customWidth="1"/>
    <col min="7684" max="7684" width="14.875" style="143" customWidth="1"/>
    <col min="7685" max="7685" width="15" style="143" customWidth="1"/>
    <col min="7686" max="7686" width="13.625" style="143" customWidth="1"/>
    <col min="7687" max="7687" width="13.25" style="143" customWidth="1"/>
    <col min="7688" max="7688" width="13.375" style="143" customWidth="1"/>
    <col min="7689" max="7689" width="13.25" style="143" customWidth="1"/>
    <col min="7690" max="7690" width="11.25" style="143" customWidth="1"/>
    <col min="7691" max="7691" width="13.375" style="143" customWidth="1"/>
    <col min="7692" max="7692" width="13.5" style="143" customWidth="1"/>
    <col min="7693" max="7693" width="13.75" style="143" customWidth="1"/>
    <col min="7694" max="7694" width="14.25" style="143" customWidth="1"/>
    <col min="7695" max="7695" width="13.75" style="143" customWidth="1"/>
    <col min="7696" max="7696" width="12.25" style="143" customWidth="1"/>
    <col min="7697" max="7936" width="9" style="143"/>
    <col min="7937" max="7937" width="7" style="143" customWidth="1"/>
    <col min="7938" max="7938" width="31.5" style="143" customWidth="1"/>
    <col min="7939" max="7939" width="3" style="143" customWidth="1"/>
    <col min="7940" max="7940" width="14.875" style="143" customWidth="1"/>
    <col min="7941" max="7941" width="15" style="143" customWidth="1"/>
    <col min="7942" max="7942" width="13.625" style="143" customWidth="1"/>
    <col min="7943" max="7943" width="13.25" style="143" customWidth="1"/>
    <col min="7944" max="7944" width="13.375" style="143" customWidth="1"/>
    <col min="7945" max="7945" width="13.25" style="143" customWidth="1"/>
    <col min="7946" max="7946" width="11.25" style="143" customWidth="1"/>
    <col min="7947" max="7947" width="13.375" style="143" customWidth="1"/>
    <col min="7948" max="7948" width="13.5" style="143" customWidth="1"/>
    <col min="7949" max="7949" width="13.75" style="143" customWidth="1"/>
    <col min="7950" max="7950" width="14.25" style="143" customWidth="1"/>
    <col min="7951" max="7951" width="13.75" style="143" customWidth="1"/>
    <col min="7952" max="7952" width="12.25" style="143" customWidth="1"/>
    <col min="7953" max="8192" width="9" style="143"/>
    <col min="8193" max="8193" width="7" style="143" customWidth="1"/>
    <col min="8194" max="8194" width="31.5" style="143" customWidth="1"/>
    <col min="8195" max="8195" width="3" style="143" customWidth="1"/>
    <col min="8196" max="8196" width="14.875" style="143" customWidth="1"/>
    <col min="8197" max="8197" width="15" style="143" customWidth="1"/>
    <col min="8198" max="8198" width="13.625" style="143" customWidth="1"/>
    <col min="8199" max="8199" width="13.25" style="143" customWidth="1"/>
    <col min="8200" max="8200" width="13.375" style="143" customWidth="1"/>
    <col min="8201" max="8201" width="13.25" style="143" customWidth="1"/>
    <col min="8202" max="8202" width="11.25" style="143" customWidth="1"/>
    <col min="8203" max="8203" width="13.375" style="143" customWidth="1"/>
    <col min="8204" max="8204" width="13.5" style="143" customWidth="1"/>
    <col min="8205" max="8205" width="13.75" style="143" customWidth="1"/>
    <col min="8206" max="8206" width="14.25" style="143" customWidth="1"/>
    <col min="8207" max="8207" width="13.75" style="143" customWidth="1"/>
    <col min="8208" max="8208" width="12.25" style="143" customWidth="1"/>
    <col min="8209" max="8448" width="9" style="143"/>
    <col min="8449" max="8449" width="7" style="143" customWidth="1"/>
    <col min="8450" max="8450" width="31.5" style="143" customWidth="1"/>
    <col min="8451" max="8451" width="3" style="143" customWidth="1"/>
    <col min="8452" max="8452" width="14.875" style="143" customWidth="1"/>
    <col min="8453" max="8453" width="15" style="143" customWidth="1"/>
    <col min="8454" max="8454" width="13.625" style="143" customWidth="1"/>
    <col min="8455" max="8455" width="13.25" style="143" customWidth="1"/>
    <col min="8456" max="8456" width="13.375" style="143" customWidth="1"/>
    <col min="8457" max="8457" width="13.25" style="143" customWidth="1"/>
    <col min="8458" max="8458" width="11.25" style="143" customWidth="1"/>
    <col min="8459" max="8459" width="13.375" style="143" customWidth="1"/>
    <col min="8460" max="8460" width="13.5" style="143" customWidth="1"/>
    <col min="8461" max="8461" width="13.75" style="143" customWidth="1"/>
    <col min="8462" max="8462" width="14.25" style="143" customWidth="1"/>
    <col min="8463" max="8463" width="13.75" style="143" customWidth="1"/>
    <col min="8464" max="8464" width="12.25" style="143" customWidth="1"/>
    <col min="8465" max="8704" width="9" style="143"/>
    <col min="8705" max="8705" width="7" style="143" customWidth="1"/>
    <col min="8706" max="8706" width="31.5" style="143" customWidth="1"/>
    <col min="8707" max="8707" width="3" style="143" customWidth="1"/>
    <col min="8708" max="8708" width="14.875" style="143" customWidth="1"/>
    <col min="8709" max="8709" width="15" style="143" customWidth="1"/>
    <col min="8710" max="8710" width="13.625" style="143" customWidth="1"/>
    <col min="8711" max="8711" width="13.25" style="143" customWidth="1"/>
    <col min="8712" max="8712" width="13.375" style="143" customWidth="1"/>
    <col min="8713" max="8713" width="13.25" style="143" customWidth="1"/>
    <col min="8714" max="8714" width="11.25" style="143" customWidth="1"/>
    <col min="8715" max="8715" width="13.375" style="143" customWidth="1"/>
    <col min="8716" max="8716" width="13.5" style="143" customWidth="1"/>
    <col min="8717" max="8717" width="13.75" style="143" customWidth="1"/>
    <col min="8718" max="8718" width="14.25" style="143" customWidth="1"/>
    <col min="8719" max="8719" width="13.75" style="143" customWidth="1"/>
    <col min="8720" max="8720" width="12.25" style="143" customWidth="1"/>
    <col min="8721" max="8960" width="9" style="143"/>
    <col min="8961" max="8961" width="7" style="143" customWidth="1"/>
    <col min="8962" max="8962" width="31.5" style="143" customWidth="1"/>
    <col min="8963" max="8963" width="3" style="143" customWidth="1"/>
    <col min="8964" max="8964" width="14.875" style="143" customWidth="1"/>
    <col min="8965" max="8965" width="15" style="143" customWidth="1"/>
    <col min="8966" max="8966" width="13.625" style="143" customWidth="1"/>
    <col min="8967" max="8967" width="13.25" style="143" customWidth="1"/>
    <col min="8968" max="8968" width="13.375" style="143" customWidth="1"/>
    <col min="8969" max="8969" width="13.25" style="143" customWidth="1"/>
    <col min="8970" max="8970" width="11.25" style="143" customWidth="1"/>
    <col min="8971" max="8971" width="13.375" style="143" customWidth="1"/>
    <col min="8972" max="8972" width="13.5" style="143" customWidth="1"/>
    <col min="8973" max="8973" width="13.75" style="143" customWidth="1"/>
    <col min="8974" max="8974" width="14.25" style="143" customWidth="1"/>
    <col min="8975" max="8975" width="13.75" style="143" customWidth="1"/>
    <col min="8976" max="8976" width="12.25" style="143" customWidth="1"/>
    <col min="8977" max="9216" width="9" style="143"/>
    <col min="9217" max="9217" width="7" style="143" customWidth="1"/>
    <col min="9218" max="9218" width="31.5" style="143" customWidth="1"/>
    <col min="9219" max="9219" width="3" style="143" customWidth="1"/>
    <col min="9220" max="9220" width="14.875" style="143" customWidth="1"/>
    <col min="9221" max="9221" width="15" style="143" customWidth="1"/>
    <col min="9222" max="9222" width="13.625" style="143" customWidth="1"/>
    <col min="9223" max="9223" width="13.25" style="143" customWidth="1"/>
    <col min="9224" max="9224" width="13.375" style="143" customWidth="1"/>
    <col min="9225" max="9225" width="13.25" style="143" customWidth="1"/>
    <col min="9226" max="9226" width="11.25" style="143" customWidth="1"/>
    <col min="9227" max="9227" width="13.375" style="143" customWidth="1"/>
    <col min="9228" max="9228" width="13.5" style="143" customWidth="1"/>
    <col min="9229" max="9229" width="13.75" style="143" customWidth="1"/>
    <col min="9230" max="9230" width="14.25" style="143" customWidth="1"/>
    <col min="9231" max="9231" width="13.75" style="143" customWidth="1"/>
    <col min="9232" max="9232" width="12.25" style="143" customWidth="1"/>
    <col min="9233" max="9472" width="9" style="143"/>
    <col min="9473" max="9473" width="7" style="143" customWidth="1"/>
    <col min="9474" max="9474" width="31.5" style="143" customWidth="1"/>
    <col min="9475" max="9475" width="3" style="143" customWidth="1"/>
    <col min="9476" max="9476" width="14.875" style="143" customWidth="1"/>
    <col min="9477" max="9477" width="15" style="143" customWidth="1"/>
    <col min="9478" max="9478" width="13.625" style="143" customWidth="1"/>
    <col min="9479" max="9479" width="13.25" style="143" customWidth="1"/>
    <col min="9480" max="9480" width="13.375" style="143" customWidth="1"/>
    <col min="9481" max="9481" width="13.25" style="143" customWidth="1"/>
    <col min="9482" max="9482" width="11.25" style="143" customWidth="1"/>
    <col min="9483" max="9483" width="13.375" style="143" customWidth="1"/>
    <col min="9484" max="9484" width="13.5" style="143" customWidth="1"/>
    <col min="9485" max="9485" width="13.75" style="143" customWidth="1"/>
    <col min="9486" max="9486" width="14.25" style="143" customWidth="1"/>
    <col min="9487" max="9487" width="13.75" style="143" customWidth="1"/>
    <col min="9488" max="9488" width="12.25" style="143" customWidth="1"/>
    <col min="9489" max="9728" width="9" style="143"/>
    <col min="9729" max="9729" width="7" style="143" customWidth="1"/>
    <col min="9730" max="9730" width="31.5" style="143" customWidth="1"/>
    <col min="9731" max="9731" width="3" style="143" customWidth="1"/>
    <col min="9732" max="9732" width="14.875" style="143" customWidth="1"/>
    <col min="9733" max="9733" width="15" style="143" customWidth="1"/>
    <col min="9734" max="9734" width="13.625" style="143" customWidth="1"/>
    <col min="9735" max="9735" width="13.25" style="143" customWidth="1"/>
    <col min="9736" max="9736" width="13.375" style="143" customWidth="1"/>
    <col min="9737" max="9737" width="13.25" style="143" customWidth="1"/>
    <col min="9738" max="9738" width="11.25" style="143" customWidth="1"/>
    <col min="9739" max="9739" width="13.375" style="143" customWidth="1"/>
    <col min="9740" max="9740" width="13.5" style="143" customWidth="1"/>
    <col min="9741" max="9741" width="13.75" style="143" customWidth="1"/>
    <col min="9742" max="9742" width="14.25" style="143" customWidth="1"/>
    <col min="9743" max="9743" width="13.75" style="143" customWidth="1"/>
    <col min="9744" max="9744" width="12.25" style="143" customWidth="1"/>
    <col min="9745" max="9984" width="9" style="143"/>
    <col min="9985" max="9985" width="7" style="143" customWidth="1"/>
    <col min="9986" max="9986" width="31.5" style="143" customWidth="1"/>
    <col min="9987" max="9987" width="3" style="143" customWidth="1"/>
    <col min="9988" max="9988" width="14.875" style="143" customWidth="1"/>
    <col min="9989" max="9989" width="15" style="143" customWidth="1"/>
    <col min="9990" max="9990" width="13.625" style="143" customWidth="1"/>
    <col min="9991" max="9991" width="13.25" style="143" customWidth="1"/>
    <col min="9992" max="9992" width="13.375" style="143" customWidth="1"/>
    <col min="9993" max="9993" width="13.25" style="143" customWidth="1"/>
    <col min="9994" max="9994" width="11.25" style="143" customWidth="1"/>
    <col min="9995" max="9995" width="13.375" style="143" customWidth="1"/>
    <col min="9996" max="9996" width="13.5" style="143" customWidth="1"/>
    <col min="9997" max="9997" width="13.75" style="143" customWidth="1"/>
    <col min="9998" max="9998" width="14.25" style="143" customWidth="1"/>
    <col min="9999" max="9999" width="13.75" style="143" customWidth="1"/>
    <col min="10000" max="10000" width="12.25" style="143" customWidth="1"/>
    <col min="10001" max="10240" width="9" style="143"/>
    <col min="10241" max="10241" width="7" style="143" customWidth="1"/>
    <col min="10242" max="10242" width="31.5" style="143" customWidth="1"/>
    <col min="10243" max="10243" width="3" style="143" customWidth="1"/>
    <col min="10244" max="10244" width="14.875" style="143" customWidth="1"/>
    <col min="10245" max="10245" width="15" style="143" customWidth="1"/>
    <col min="10246" max="10246" width="13.625" style="143" customWidth="1"/>
    <col min="10247" max="10247" width="13.25" style="143" customWidth="1"/>
    <col min="10248" max="10248" width="13.375" style="143" customWidth="1"/>
    <col min="10249" max="10249" width="13.25" style="143" customWidth="1"/>
    <col min="10250" max="10250" width="11.25" style="143" customWidth="1"/>
    <col min="10251" max="10251" width="13.375" style="143" customWidth="1"/>
    <col min="10252" max="10252" width="13.5" style="143" customWidth="1"/>
    <col min="10253" max="10253" width="13.75" style="143" customWidth="1"/>
    <col min="10254" max="10254" width="14.25" style="143" customWidth="1"/>
    <col min="10255" max="10255" width="13.75" style="143" customWidth="1"/>
    <col min="10256" max="10256" width="12.25" style="143" customWidth="1"/>
    <col min="10257" max="10496" width="9" style="143"/>
    <col min="10497" max="10497" width="7" style="143" customWidth="1"/>
    <col min="10498" max="10498" width="31.5" style="143" customWidth="1"/>
    <col min="10499" max="10499" width="3" style="143" customWidth="1"/>
    <col min="10500" max="10500" width="14.875" style="143" customWidth="1"/>
    <col min="10501" max="10501" width="15" style="143" customWidth="1"/>
    <col min="10502" max="10502" width="13.625" style="143" customWidth="1"/>
    <col min="10503" max="10503" width="13.25" style="143" customWidth="1"/>
    <col min="10504" max="10504" width="13.375" style="143" customWidth="1"/>
    <col min="10505" max="10505" width="13.25" style="143" customWidth="1"/>
    <col min="10506" max="10506" width="11.25" style="143" customWidth="1"/>
    <col min="10507" max="10507" width="13.375" style="143" customWidth="1"/>
    <col min="10508" max="10508" width="13.5" style="143" customWidth="1"/>
    <col min="10509" max="10509" width="13.75" style="143" customWidth="1"/>
    <col min="10510" max="10510" width="14.25" style="143" customWidth="1"/>
    <col min="10511" max="10511" width="13.75" style="143" customWidth="1"/>
    <col min="10512" max="10512" width="12.25" style="143" customWidth="1"/>
    <col min="10513" max="10752" width="9" style="143"/>
    <col min="10753" max="10753" width="7" style="143" customWidth="1"/>
    <col min="10754" max="10754" width="31.5" style="143" customWidth="1"/>
    <col min="10755" max="10755" width="3" style="143" customWidth="1"/>
    <col min="10756" max="10756" width="14.875" style="143" customWidth="1"/>
    <col min="10757" max="10757" width="15" style="143" customWidth="1"/>
    <col min="10758" max="10758" width="13.625" style="143" customWidth="1"/>
    <col min="10759" max="10759" width="13.25" style="143" customWidth="1"/>
    <col min="10760" max="10760" width="13.375" style="143" customWidth="1"/>
    <col min="10761" max="10761" width="13.25" style="143" customWidth="1"/>
    <col min="10762" max="10762" width="11.25" style="143" customWidth="1"/>
    <col min="10763" max="10763" width="13.375" style="143" customWidth="1"/>
    <col min="10764" max="10764" width="13.5" style="143" customWidth="1"/>
    <col min="10765" max="10765" width="13.75" style="143" customWidth="1"/>
    <col min="10766" max="10766" width="14.25" style="143" customWidth="1"/>
    <col min="10767" max="10767" width="13.75" style="143" customWidth="1"/>
    <col min="10768" max="10768" width="12.25" style="143" customWidth="1"/>
    <col min="10769" max="11008" width="9" style="143"/>
    <col min="11009" max="11009" width="7" style="143" customWidth="1"/>
    <col min="11010" max="11010" width="31.5" style="143" customWidth="1"/>
    <col min="11011" max="11011" width="3" style="143" customWidth="1"/>
    <col min="11012" max="11012" width="14.875" style="143" customWidth="1"/>
    <col min="11013" max="11013" width="15" style="143" customWidth="1"/>
    <col min="11014" max="11014" width="13.625" style="143" customWidth="1"/>
    <col min="11015" max="11015" width="13.25" style="143" customWidth="1"/>
    <col min="11016" max="11016" width="13.375" style="143" customWidth="1"/>
    <col min="11017" max="11017" width="13.25" style="143" customWidth="1"/>
    <col min="11018" max="11018" width="11.25" style="143" customWidth="1"/>
    <col min="11019" max="11019" width="13.375" style="143" customWidth="1"/>
    <col min="11020" max="11020" width="13.5" style="143" customWidth="1"/>
    <col min="11021" max="11021" width="13.75" style="143" customWidth="1"/>
    <col min="11022" max="11022" width="14.25" style="143" customWidth="1"/>
    <col min="11023" max="11023" width="13.75" style="143" customWidth="1"/>
    <col min="11024" max="11024" width="12.25" style="143" customWidth="1"/>
    <col min="11025" max="11264" width="9" style="143"/>
    <col min="11265" max="11265" width="7" style="143" customWidth="1"/>
    <col min="11266" max="11266" width="31.5" style="143" customWidth="1"/>
    <col min="11267" max="11267" width="3" style="143" customWidth="1"/>
    <col min="11268" max="11268" width="14.875" style="143" customWidth="1"/>
    <col min="11269" max="11269" width="15" style="143" customWidth="1"/>
    <col min="11270" max="11270" width="13.625" style="143" customWidth="1"/>
    <col min="11271" max="11271" width="13.25" style="143" customWidth="1"/>
    <col min="11272" max="11272" width="13.375" style="143" customWidth="1"/>
    <col min="11273" max="11273" width="13.25" style="143" customWidth="1"/>
    <col min="11274" max="11274" width="11.25" style="143" customWidth="1"/>
    <col min="11275" max="11275" width="13.375" style="143" customWidth="1"/>
    <col min="11276" max="11276" width="13.5" style="143" customWidth="1"/>
    <col min="11277" max="11277" width="13.75" style="143" customWidth="1"/>
    <col min="11278" max="11278" width="14.25" style="143" customWidth="1"/>
    <col min="11279" max="11279" width="13.75" style="143" customWidth="1"/>
    <col min="11280" max="11280" width="12.25" style="143" customWidth="1"/>
    <col min="11281" max="11520" width="9" style="143"/>
    <col min="11521" max="11521" width="7" style="143" customWidth="1"/>
    <col min="11522" max="11522" width="31.5" style="143" customWidth="1"/>
    <col min="11523" max="11523" width="3" style="143" customWidth="1"/>
    <col min="11524" max="11524" width="14.875" style="143" customWidth="1"/>
    <col min="11525" max="11525" width="15" style="143" customWidth="1"/>
    <col min="11526" max="11526" width="13.625" style="143" customWidth="1"/>
    <col min="11527" max="11527" width="13.25" style="143" customWidth="1"/>
    <col min="11528" max="11528" width="13.375" style="143" customWidth="1"/>
    <col min="11529" max="11529" width="13.25" style="143" customWidth="1"/>
    <col min="11530" max="11530" width="11.25" style="143" customWidth="1"/>
    <col min="11531" max="11531" width="13.375" style="143" customWidth="1"/>
    <col min="11532" max="11532" width="13.5" style="143" customWidth="1"/>
    <col min="11533" max="11533" width="13.75" style="143" customWidth="1"/>
    <col min="11534" max="11534" width="14.25" style="143" customWidth="1"/>
    <col min="11535" max="11535" width="13.75" style="143" customWidth="1"/>
    <col min="11536" max="11536" width="12.25" style="143" customWidth="1"/>
    <col min="11537" max="11776" width="9" style="143"/>
    <col min="11777" max="11777" width="7" style="143" customWidth="1"/>
    <col min="11778" max="11778" width="31.5" style="143" customWidth="1"/>
    <col min="11779" max="11779" width="3" style="143" customWidth="1"/>
    <col min="11780" max="11780" width="14.875" style="143" customWidth="1"/>
    <col min="11781" max="11781" width="15" style="143" customWidth="1"/>
    <col min="11782" max="11782" width="13.625" style="143" customWidth="1"/>
    <col min="11783" max="11783" width="13.25" style="143" customWidth="1"/>
    <col min="11784" max="11784" width="13.375" style="143" customWidth="1"/>
    <col min="11785" max="11785" width="13.25" style="143" customWidth="1"/>
    <col min="11786" max="11786" width="11.25" style="143" customWidth="1"/>
    <col min="11787" max="11787" width="13.375" style="143" customWidth="1"/>
    <col min="11788" max="11788" width="13.5" style="143" customWidth="1"/>
    <col min="11789" max="11789" width="13.75" style="143" customWidth="1"/>
    <col min="11790" max="11790" width="14.25" style="143" customWidth="1"/>
    <col min="11791" max="11791" width="13.75" style="143" customWidth="1"/>
    <col min="11792" max="11792" width="12.25" style="143" customWidth="1"/>
    <col min="11793" max="12032" width="9" style="143"/>
    <col min="12033" max="12033" width="7" style="143" customWidth="1"/>
    <col min="12034" max="12034" width="31.5" style="143" customWidth="1"/>
    <col min="12035" max="12035" width="3" style="143" customWidth="1"/>
    <col min="12036" max="12036" width="14.875" style="143" customWidth="1"/>
    <col min="12037" max="12037" width="15" style="143" customWidth="1"/>
    <col min="12038" max="12038" width="13.625" style="143" customWidth="1"/>
    <col min="12039" max="12039" width="13.25" style="143" customWidth="1"/>
    <col min="12040" max="12040" width="13.375" style="143" customWidth="1"/>
    <col min="12041" max="12041" width="13.25" style="143" customWidth="1"/>
    <col min="12042" max="12042" width="11.25" style="143" customWidth="1"/>
    <col min="12043" max="12043" width="13.375" style="143" customWidth="1"/>
    <col min="12044" max="12044" width="13.5" style="143" customWidth="1"/>
    <col min="12045" max="12045" width="13.75" style="143" customWidth="1"/>
    <col min="12046" max="12046" width="14.25" style="143" customWidth="1"/>
    <col min="12047" max="12047" width="13.75" style="143" customWidth="1"/>
    <col min="12048" max="12048" width="12.25" style="143" customWidth="1"/>
    <col min="12049" max="12288" width="9" style="143"/>
    <col min="12289" max="12289" width="7" style="143" customWidth="1"/>
    <col min="12290" max="12290" width="31.5" style="143" customWidth="1"/>
    <col min="12291" max="12291" width="3" style="143" customWidth="1"/>
    <col min="12292" max="12292" width="14.875" style="143" customWidth="1"/>
    <col min="12293" max="12293" width="15" style="143" customWidth="1"/>
    <col min="12294" max="12294" width="13.625" style="143" customWidth="1"/>
    <col min="12295" max="12295" width="13.25" style="143" customWidth="1"/>
    <col min="12296" max="12296" width="13.375" style="143" customWidth="1"/>
    <col min="12297" max="12297" width="13.25" style="143" customWidth="1"/>
    <col min="12298" max="12298" width="11.25" style="143" customWidth="1"/>
    <col min="12299" max="12299" width="13.375" style="143" customWidth="1"/>
    <col min="12300" max="12300" width="13.5" style="143" customWidth="1"/>
    <col min="12301" max="12301" width="13.75" style="143" customWidth="1"/>
    <col min="12302" max="12302" width="14.25" style="143" customWidth="1"/>
    <col min="12303" max="12303" width="13.75" style="143" customWidth="1"/>
    <col min="12304" max="12304" width="12.25" style="143" customWidth="1"/>
    <col min="12305" max="12544" width="9" style="143"/>
    <col min="12545" max="12545" width="7" style="143" customWidth="1"/>
    <col min="12546" max="12546" width="31.5" style="143" customWidth="1"/>
    <col min="12547" max="12547" width="3" style="143" customWidth="1"/>
    <col min="12548" max="12548" width="14.875" style="143" customWidth="1"/>
    <col min="12549" max="12549" width="15" style="143" customWidth="1"/>
    <col min="12550" max="12550" width="13.625" style="143" customWidth="1"/>
    <col min="12551" max="12551" width="13.25" style="143" customWidth="1"/>
    <col min="12552" max="12552" width="13.375" style="143" customWidth="1"/>
    <col min="12553" max="12553" width="13.25" style="143" customWidth="1"/>
    <col min="12554" max="12554" width="11.25" style="143" customWidth="1"/>
    <col min="12555" max="12555" width="13.375" style="143" customWidth="1"/>
    <col min="12556" max="12556" width="13.5" style="143" customWidth="1"/>
    <col min="12557" max="12557" width="13.75" style="143" customWidth="1"/>
    <col min="12558" max="12558" width="14.25" style="143" customWidth="1"/>
    <col min="12559" max="12559" width="13.75" style="143" customWidth="1"/>
    <col min="12560" max="12560" width="12.25" style="143" customWidth="1"/>
    <col min="12561" max="12800" width="9" style="143"/>
    <col min="12801" max="12801" width="7" style="143" customWidth="1"/>
    <col min="12802" max="12802" width="31.5" style="143" customWidth="1"/>
    <col min="12803" max="12803" width="3" style="143" customWidth="1"/>
    <col min="12804" max="12804" width="14.875" style="143" customWidth="1"/>
    <col min="12805" max="12805" width="15" style="143" customWidth="1"/>
    <col min="12806" max="12806" width="13.625" style="143" customWidth="1"/>
    <col min="12807" max="12807" width="13.25" style="143" customWidth="1"/>
    <col min="12808" max="12808" width="13.375" style="143" customWidth="1"/>
    <col min="12809" max="12809" width="13.25" style="143" customWidth="1"/>
    <col min="12810" max="12810" width="11.25" style="143" customWidth="1"/>
    <col min="12811" max="12811" width="13.375" style="143" customWidth="1"/>
    <col min="12812" max="12812" width="13.5" style="143" customWidth="1"/>
    <col min="12813" max="12813" width="13.75" style="143" customWidth="1"/>
    <col min="12814" max="12814" width="14.25" style="143" customWidth="1"/>
    <col min="12815" max="12815" width="13.75" style="143" customWidth="1"/>
    <col min="12816" max="12816" width="12.25" style="143" customWidth="1"/>
    <col min="12817" max="13056" width="9" style="143"/>
    <col min="13057" max="13057" width="7" style="143" customWidth="1"/>
    <col min="13058" max="13058" width="31.5" style="143" customWidth="1"/>
    <col min="13059" max="13059" width="3" style="143" customWidth="1"/>
    <col min="13060" max="13060" width="14.875" style="143" customWidth="1"/>
    <col min="13061" max="13061" width="15" style="143" customWidth="1"/>
    <col min="13062" max="13062" width="13.625" style="143" customWidth="1"/>
    <col min="13063" max="13063" width="13.25" style="143" customWidth="1"/>
    <col min="13064" max="13064" width="13.375" style="143" customWidth="1"/>
    <col min="13065" max="13065" width="13.25" style="143" customWidth="1"/>
    <col min="13066" max="13066" width="11.25" style="143" customWidth="1"/>
    <col min="13067" max="13067" width="13.375" style="143" customWidth="1"/>
    <col min="13068" max="13068" width="13.5" style="143" customWidth="1"/>
    <col min="13069" max="13069" width="13.75" style="143" customWidth="1"/>
    <col min="13070" max="13070" width="14.25" style="143" customWidth="1"/>
    <col min="13071" max="13071" width="13.75" style="143" customWidth="1"/>
    <col min="13072" max="13072" width="12.25" style="143" customWidth="1"/>
    <col min="13073" max="13312" width="9" style="143"/>
    <col min="13313" max="13313" width="7" style="143" customWidth="1"/>
    <col min="13314" max="13314" width="31.5" style="143" customWidth="1"/>
    <col min="13315" max="13315" width="3" style="143" customWidth="1"/>
    <col min="13316" max="13316" width="14.875" style="143" customWidth="1"/>
    <col min="13317" max="13317" width="15" style="143" customWidth="1"/>
    <col min="13318" max="13318" width="13.625" style="143" customWidth="1"/>
    <col min="13319" max="13319" width="13.25" style="143" customWidth="1"/>
    <col min="13320" max="13320" width="13.375" style="143" customWidth="1"/>
    <col min="13321" max="13321" width="13.25" style="143" customWidth="1"/>
    <col min="13322" max="13322" width="11.25" style="143" customWidth="1"/>
    <col min="13323" max="13323" width="13.375" style="143" customWidth="1"/>
    <col min="13324" max="13324" width="13.5" style="143" customWidth="1"/>
    <col min="13325" max="13325" width="13.75" style="143" customWidth="1"/>
    <col min="13326" max="13326" width="14.25" style="143" customWidth="1"/>
    <col min="13327" max="13327" width="13.75" style="143" customWidth="1"/>
    <col min="13328" max="13328" width="12.25" style="143" customWidth="1"/>
    <col min="13329" max="13568" width="9" style="143"/>
    <col min="13569" max="13569" width="7" style="143" customWidth="1"/>
    <col min="13570" max="13570" width="31.5" style="143" customWidth="1"/>
    <col min="13571" max="13571" width="3" style="143" customWidth="1"/>
    <col min="13572" max="13572" width="14.875" style="143" customWidth="1"/>
    <col min="13573" max="13573" width="15" style="143" customWidth="1"/>
    <col min="13574" max="13574" width="13.625" style="143" customWidth="1"/>
    <col min="13575" max="13575" width="13.25" style="143" customWidth="1"/>
    <col min="13576" max="13576" width="13.375" style="143" customWidth="1"/>
    <col min="13577" max="13577" width="13.25" style="143" customWidth="1"/>
    <col min="13578" max="13578" width="11.25" style="143" customWidth="1"/>
    <col min="13579" max="13579" width="13.375" style="143" customWidth="1"/>
    <col min="13580" max="13580" width="13.5" style="143" customWidth="1"/>
    <col min="13581" max="13581" width="13.75" style="143" customWidth="1"/>
    <col min="13582" max="13582" width="14.25" style="143" customWidth="1"/>
    <col min="13583" max="13583" width="13.75" style="143" customWidth="1"/>
    <col min="13584" max="13584" width="12.25" style="143" customWidth="1"/>
    <col min="13585" max="13824" width="9" style="143"/>
    <col min="13825" max="13825" width="7" style="143" customWidth="1"/>
    <col min="13826" max="13826" width="31.5" style="143" customWidth="1"/>
    <col min="13827" max="13827" width="3" style="143" customWidth="1"/>
    <col min="13828" max="13828" width="14.875" style="143" customWidth="1"/>
    <col min="13829" max="13829" width="15" style="143" customWidth="1"/>
    <col min="13830" max="13830" width="13.625" style="143" customWidth="1"/>
    <col min="13831" max="13831" width="13.25" style="143" customWidth="1"/>
    <col min="13832" max="13832" width="13.375" style="143" customWidth="1"/>
    <col min="13833" max="13833" width="13.25" style="143" customWidth="1"/>
    <col min="13834" max="13834" width="11.25" style="143" customWidth="1"/>
    <col min="13835" max="13835" width="13.375" style="143" customWidth="1"/>
    <col min="13836" max="13836" width="13.5" style="143" customWidth="1"/>
    <col min="13837" max="13837" width="13.75" style="143" customWidth="1"/>
    <col min="13838" max="13838" width="14.25" style="143" customWidth="1"/>
    <col min="13839" max="13839" width="13.75" style="143" customWidth="1"/>
    <col min="13840" max="13840" width="12.25" style="143" customWidth="1"/>
    <col min="13841" max="14080" width="9" style="143"/>
    <col min="14081" max="14081" width="7" style="143" customWidth="1"/>
    <col min="14082" max="14082" width="31.5" style="143" customWidth="1"/>
    <col min="14083" max="14083" width="3" style="143" customWidth="1"/>
    <col min="14084" max="14084" width="14.875" style="143" customWidth="1"/>
    <col min="14085" max="14085" width="15" style="143" customWidth="1"/>
    <col min="14086" max="14086" width="13.625" style="143" customWidth="1"/>
    <col min="14087" max="14087" width="13.25" style="143" customWidth="1"/>
    <col min="14088" max="14088" width="13.375" style="143" customWidth="1"/>
    <col min="14089" max="14089" width="13.25" style="143" customWidth="1"/>
    <col min="14090" max="14090" width="11.25" style="143" customWidth="1"/>
    <col min="14091" max="14091" width="13.375" style="143" customWidth="1"/>
    <col min="14092" max="14092" width="13.5" style="143" customWidth="1"/>
    <col min="14093" max="14093" width="13.75" style="143" customWidth="1"/>
    <col min="14094" max="14094" width="14.25" style="143" customWidth="1"/>
    <col min="14095" max="14095" width="13.75" style="143" customWidth="1"/>
    <col min="14096" max="14096" width="12.25" style="143" customWidth="1"/>
    <col min="14097" max="14336" width="9" style="143"/>
    <col min="14337" max="14337" width="7" style="143" customWidth="1"/>
    <col min="14338" max="14338" width="31.5" style="143" customWidth="1"/>
    <col min="14339" max="14339" width="3" style="143" customWidth="1"/>
    <col min="14340" max="14340" width="14.875" style="143" customWidth="1"/>
    <col min="14341" max="14341" width="15" style="143" customWidth="1"/>
    <col min="14342" max="14342" width="13.625" style="143" customWidth="1"/>
    <col min="14343" max="14343" width="13.25" style="143" customWidth="1"/>
    <col min="14344" max="14344" width="13.375" style="143" customWidth="1"/>
    <col min="14345" max="14345" width="13.25" style="143" customWidth="1"/>
    <col min="14346" max="14346" width="11.25" style="143" customWidth="1"/>
    <col min="14347" max="14347" width="13.375" style="143" customWidth="1"/>
    <col min="14348" max="14348" width="13.5" style="143" customWidth="1"/>
    <col min="14349" max="14349" width="13.75" style="143" customWidth="1"/>
    <col min="14350" max="14350" width="14.25" style="143" customWidth="1"/>
    <col min="14351" max="14351" width="13.75" style="143" customWidth="1"/>
    <col min="14352" max="14352" width="12.25" style="143" customWidth="1"/>
    <col min="14353" max="14592" width="9" style="143"/>
    <col min="14593" max="14593" width="7" style="143" customWidth="1"/>
    <col min="14594" max="14594" width="31.5" style="143" customWidth="1"/>
    <col min="14595" max="14595" width="3" style="143" customWidth="1"/>
    <col min="14596" max="14596" width="14.875" style="143" customWidth="1"/>
    <col min="14597" max="14597" width="15" style="143" customWidth="1"/>
    <col min="14598" max="14598" width="13.625" style="143" customWidth="1"/>
    <col min="14599" max="14599" width="13.25" style="143" customWidth="1"/>
    <col min="14600" max="14600" width="13.375" style="143" customWidth="1"/>
    <col min="14601" max="14601" width="13.25" style="143" customWidth="1"/>
    <col min="14602" max="14602" width="11.25" style="143" customWidth="1"/>
    <col min="14603" max="14603" width="13.375" style="143" customWidth="1"/>
    <col min="14604" max="14604" width="13.5" style="143" customWidth="1"/>
    <col min="14605" max="14605" width="13.75" style="143" customWidth="1"/>
    <col min="14606" max="14606" width="14.25" style="143" customWidth="1"/>
    <col min="14607" max="14607" width="13.75" style="143" customWidth="1"/>
    <col min="14608" max="14608" width="12.25" style="143" customWidth="1"/>
    <col min="14609" max="14848" width="9" style="143"/>
    <col min="14849" max="14849" width="7" style="143" customWidth="1"/>
    <col min="14850" max="14850" width="31.5" style="143" customWidth="1"/>
    <col min="14851" max="14851" width="3" style="143" customWidth="1"/>
    <col min="14852" max="14852" width="14.875" style="143" customWidth="1"/>
    <col min="14853" max="14853" width="15" style="143" customWidth="1"/>
    <col min="14854" max="14854" width="13.625" style="143" customWidth="1"/>
    <col min="14855" max="14855" width="13.25" style="143" customWidth="1"/>
    <col min="14856" max="14856" width="13.375" style="143" customWidth="1"/>
    <col min="14857" max="14857" width="13.25" style="143" customWidth="1"/>
    <col min="14858" max="14858" width="11.25" style="143" customWidth="1"/>
    <col min="14859" max="14859" width="13.375" style="143" customWidth="1"/>
    <col min="14860" max="14860" width="13.5" style="143" customWidth="1"/>
    <col min="14861" max="14861" width="13.75" style="143" customWidth="1"/>
    <col min="14862" max="14862" width="14.25" style="143" customWidth="1"/>
    <col min="14863" max="14863" width="13.75" style="143" customWidth="1"/>
    <col min="14864" max="14864" width="12.25" style="143" customWidth="1"/>
    <col min="14865" max="15104" width="9" style="143"/>
    <col min="15105" max="15105" width="7" style="143" customWidth="1"/>
    <col min="15106" max="15106" width="31.5" style="143" customWidth="1"/>
    <col min="15107" max="15107" width="3" style="143" customWidth="1"/>
    <col min="15108" max="15108" width="14.875" style="143" customWidth="1"/>
    <col min="15109" max="15109" width="15" style="143" customWidth="1"/>
    <col min="15110" max="15110" width="13.625" style="143" customWidth="1"/>
    <col min="15111" max="15111" width="13.25" style="143" customWidth="1"/>
    <col min="15112" max="15112" width="13.375" style="143" customWidth="1"/>
    <col min="15113" max="15113" width="13.25" style="143" customWidth="1"/>
    <col min="15114" max="15114" width="11.25" style="143" customWidth="1"/>
    <col min="15115" max="15115" width="13.375" style="143" customWidth="1"/>
    <col min="15116" max="15116" width="13.5" style="143" customWidth="1"/>
    <col min="15117" max="15117" width="13.75" style="143" customWidth="1"/>
    <col min="15118" max="15118" width="14.25" style="143" customWidth="1"/>
    <col min="15119" max="15119" width="13.75" style="143" customWidth="1"/>
    <col min="15120" max="15120" width="12.25" style="143" customWidth="1"/>
    <col min="15121" max="15360" width="9" style="143"/>
    <col min="15361" max="15361" width="7" style="143" customWidth="1"/>
    <col min="15362" max="15362" width="31.5" style="143" customWidth="1"/>
    <col min="15363" max="15363" width="3" style="143" customWidth="1"/>
    <col min="15364" max="15364" width="14.875" style="143" customWidth="1"/>
    <col min="15365" max="15365" width="15" style="143" customWidth="1"/>
    <col min="15366" max="15366" width="13.625" style="143" customWidth="1"/>
    <col min="15367" max="15367" width="13.25" style="143" customWidth="1"/>
    <col min="15368" max="15368" width="13.375" style="143" customWidth="1"/>
    <col min="15369" max="15369" width="13.25" style="143" customWidth="1"/>
    <col min="15370" max="15370" width="11.25" style="143" customWidth="1"/>
    <col min="15371" max="15371" width="13.375" style="143" customWidth="1"/>
    <col min="15372" max="15372" width="13.5" style="143" customWidth="1"/>
    <col min="15373" max="15373" width="13.75" style="143" customWidth="1"/>
    <col min="15374" max="15374" width="14.25" style="143" customWidth="1"/>
    <col min="15375" max="15375" width="13.75" style="143" customWidth="1"/>
    <col min="15376" max="15376" width="12.25" style="143" customWidth="1"/>
    <col min="15377" max="15616" width="9" style="143"/>
    <col min="15617" max="15617" width="7" style="143" customWidth="1"/>
    <col min="15618" max="15618" width="31.5" style="143" customWidth="1"/>
    <col min="15619" max="15619" width="3" style="143" customWidth="1"/>
    <col min="15620" max="15620" width="14.875" style="143" customWidth="1"/>
    <col min="15621" max="15621" width="15" style="143" customWidth="1"/>
    <col min="15622" max="15622" width="13.625" style="143" customWidth="1"/>
    <col min="15623" max="15623" width="13.25" style="143" customWidth="1"/>
    <col min="15624" max="15624" width="13.375" style="143" customWidth="1"/>
    <col min="15625" max="15625" width="13.25" style="143" customWidth="1"/>
    <col min="15626" max="15626" width="11.25" style="143" customWidth="1"/>
    <col min="15627" max="15627" width="13.375" style="143" customWidth="1"/>
    <col min="15628" max="15628" width="13.5" style="143" customWidth="1"/>
    <col min="15629" max="15629" width="13.75" style="143" customWidth="1"/>
    <col min="15630" max="15630" width="14.25" style="143" customWidth="1"/>
    <col min="15631" max="15631" width="13.75" style="143" customWidth="1"/>
    <col min="15632" max="15632" width="12.25" style="143" customWidth="1"/>
    <col min="15633" max="15872" width="9" style="143"/>
    <col min="15873" max="15873" width="7" style="143" customWidth="1"/>
    <col min="15874" max="15874" width="31.5" style="143" customWidth="1"/>
    <col min="15875" max="15875" width="3" style="143" customWidth="1"/>
    <col min="15876" max="15876" width="14.875" style="143" customWidth="1"/>
    <col min="15877" max="15877" width="15" style="143" customWidth="1"/>
    <col min="15878" max="15878" width="13.625" style="143" customWidth="1"/>
    <col min="15879" max="15879" width="13.25" style="143" customWidth="1"/>
    <col min="15880" max="15880" width="13.375" style="143" customWidth="1"/>
    <col min="15881" max="15881" width="13.25" style="143" customWidth="1"/>
    <col min="15882" max="15882" width="11.25" style="143" customWidth="1"/>
    <col min="15883" max="15883" width="13.375" style="143" customWidth="1"/>
    <col min="15884" max="15884" width="13.5" style="143" customWidth="1"/>
    <col min="15885" max="15885" width="13.75" style="143" customWidth="1"/>
    <col min="15886" max="15886" width="14.25" style="143" customWidth="1"/>
    <col min="15887" max="15887" width="13.75" style="143" customWidth="1"/>
    <col min="15888" max="15888" width="12.25" style="143" customWidth="1"/>
    <col min="15889" max="16128" width="9" style="143"/>
    <col min="16129" max="16129" width="7" style="143" customWidth="1"/>
    <col min="16130" max="16130" width="31.5" style="143" customWidth="1"/>
    <col min="16131" max="16131" width="3" style="143" customWidth="1"/>
    <col min="16132" max="16132" width="14.875" style="143" customWidth="1"/>
    <col min="16133" max="16133" width="15" style="143" customWidth="1"/>
    <col min="16134" max="16134" width="13.625" style="143" customWidth="1"/>
    <col min="16135" max="16135" width="13.25" style="143" customWidth="1"/>
    <col min="16136" max="16136" width="13.375" style="143" customWidth="1"/>
    <col min="16137" max="16137" width="13.25" style="143" customWidth="1"/>
    <col min="16138" max="16138" width="11.25" style="143" customWidth="1"/>
    <col min="16139" max="16139" width="13.375" style="143" customWidth="1"/>
    <col min="16140" max="16140" width="13.5" style="143" customWidth="1"/>
    <col min="16141" max="16141" width="13.75" style="143" customWidth="1"/>
    <col min="16142" max="16142" width="14.25" style="143" customWidth="1"/>
    <col min="16143" max="16143" width="13.75" style="143" customWidth="1"/>
    <col min="16144" max="16144" width="12.25" style="143" customWidth="1"/>
    <col min="16145" max="16384" width="9" style="143"/>
  </cols>
  <sheetData>
    <row r="1" spans="1:256">
      <c r="M1" s="144" t="s">
        <v>160</v>
      </c>
      <c r="N1" s="144"/>
    </row>
    <row r="2" spans="1:256">
      <c r="M2" s="4" t="s">
        <v>155</v>
      </c>
      <c r="N2" s="144"/>
    </row>
    <row r="3" spans="1:256">
      <c r="D3" s="43"/>
      <c r="E3" s="43"/>
      <c r="F3" s="43"/>
      <c r="G3" s="43"/>
      <c r="H3" s="43"/>
      <c r="I3" s="43"/>
      <c r="J3" s="43"/>
      <c r="K3" s="43"/>
      <c r="L3" s="43"/>
      <c r="M3" s="4" t="s">
        <v>634</v>
      </c>
      <c r="N3" s="144"/>
      <c r="O3" s="43"/>
    </row>
    <row r="4" spans="1:256" ht="6.75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56" s="146" customFormat="1">
      <c r="A5" s="873" t="s">
        <v>161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</row>
    <row r="6" spans="1:256">
      <c r="A6" s="147"/>
      <c r="B6" s="148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48"/>
      <c r="O6" s="150"/>
      <c r="P6" s="151" t="s">
        <v>35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>
      <c r="A7" s="874" t="s">
        <v>162</v>
      </c>
      <c r="B7" s="875" t="s">
        <v>37</v>
      </c>
      <c r="C7" s="876" t="s">
        <v>99</v>
      </c>
      <c r="D7" s="879" t="s">
        <v>38</v>
      </c>
      <c r="E7" s="868" t="s">
        <v>163</v>
      </c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>
      <c r="A8" s="874"/>
      <c r="B8" s="875"/>
      <c r="C8" s="877"/>
      <c r="D8" s="879"/>
      <c r="E8" s="868" t="s">
        <v>164</v>
      </c>
      <c r="F8" s="872" t="s">
        <v>165</v>
      </c>
      <c r="G8" s="872"/>
      <c r="H8" s="872"/>
      <c r="I8" s="872"/>
      <c r="J8" s="872"/>
      <c r="K8" s="872"/>
      <c r="L8" s="872"/>
      <c r="M8" s="868" t="s">
        <v>166</v>
      </c>
      <c r="N8" s="872" t="s">
        <v>165</v>
      </c>
      <c r="O8" s="872"/>
      <c r="P8" s="87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>
      <c r="A9" s="874"/>
      <c r="B9" s="875"/>
      <c r="C9" s="877"/>
      <c r="D9" s="879"/>
      <c r="E9" s="868"/>
      <c r="F9" s="868" t="s">
        <v>167</v>
      </c>
      <c r="G9" s="872" t="s">
        <v>165</v>
      </c>
      <c r="H9" s="872"/>
      <c r="I9" s="868" t="s">
        <v>168</v>
      </c>
      <c r="J9" s="868" t="s">
        <v>169</v>
      </c>
      <c r="K9" s="868" t="s">
        <v>170</v>
      </c>
      <c r="L9" s="868" t="s">
        <v>171</v>
      </c>
      <c r="M9" s="868"/>
      <c r="N9" s="868" t="s">
        <v>172</v>
      </c>
      <c r="O9" s="46" t="s">
        <v>165</v>
      </c>
      <c r="P9" s="868" t="s">
        <v>173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ht="56.25" customHeight="1">
      <c r="A10" s="874"/>
      <c r="B10" s="875"/>
      <c r="C10" s="878"/>
      <c r="D10" s="879"/>
      <c r="E10" s="868"/>
      <c r="F10" s="868"/>
      <c r="G10" s="46" t="s">
        <v>174</v>
      </c>
      <c r="H10" s="46" t="s">
        <v>175</v>
      </c>
      <c r="I10" s="868"/>
      <c r="J10" s="868"/>
      <c r="K10" s="868"/>
      <c r="L10" s="868"/>
      <c r="M10" s="868"/>
      <c r="N10" s="868"/>
      <c r="O10" s="46" t="s">
        <v>170</v>
      </c>
      <c r="P10" s="868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>
      <c r="A11" s="153">
        <v>1</v>
      </c>
      <c r="B11" s="154">
        <v>2</v>
      </c>
      <c r="C11" s="154"/>
      <c r="D11" s="155">
        <v>3</v>
      </c>
      <c r="E11" s="156">
        <v>4</v>
      </c>
      <c r="F11" s="156">
        <v>5</v>
      </c>
      <c r="G11" s="156">
        <v>6</v>
      </c>
      <c r="H11" s="156">
        <v>7</v>
      </c>
      <c r="I11" s="156">
        <v>8</v>
      </c>
      <c r="J11" s="156">
        <v>9</v>
      </c>
      <c r="K11" s="156">
        <v>10</v>
      </c>
      <c r="L11" s="156">
        <v>11</v>
      </c>
      <c r="M11" s="156">
        <v>12</v>
      </c>
      <c r="N11" s="156">
        <v>13</v>
      </c>
      <c r="O11" s="156">
        <v>14</v>
      </c>
      <c r="P11" s="156">
        <v>15</v>
      </c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1:256" ht="5.0999999999999996" customHeight="1">
      <c r="A12" s="158"/>
      <c r="B12" s="159"/>
      <c r="C12" s="160"/>
      <c r="D12" s="161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ht="15.75">
      <c r="A13" s="847"/>
      <c r="B13" s="869" t="s">
        <v>176</v>
      </c>
      <c r="C13" s="164" t="s">
        <v>0</v>
      </c>
      <c r="D13" s="165">
        <f t="shared" ref="D13:P14" si="0">D17+D35+D44+D56+D89+D95+D101+D119+D134+D161+D167+D176+D185+D191+D236+D272+D293+D311+D338+D347+D377+D410+D416+D125+D155</f>
        <v>2031778458.1100001</v>
      </c>
      <c r="E13" s="165">
        <f t="shared" si="0"/>
        <v>1265307116.1100001</v>
      </c>
      <c r="F13" s="165">
        <f t="shared" si="0"/>
        <v>543479760.11000001</v>
      </c>
      <c r="G13" s="165">
        <f t="shared" si="0"/>
        <v>257074630</v>
      </c>
      <c r="H13" s="165">
        <f t="shared" si="0"/>
        <v>286405130.11000001</v>
      </c>
      <c r="I13" s="165">
        <f t="shared" si="0"/>
        <v>464692705</v>
      </c>
      <c r="J13" s="165">
        <f t="shared" si="0"/>
        <v>4456434</v>
      </c>
      <c r="K13" s="165">
        <f t="shared" si="0"/>
        <v>181045059</v>
      </c>
      <c r="L13" s="165">
        <f t="shared" si="0"/>
        <v>71633158</v>
      </c>
      <c r="M13" s="165">
        <f t="shared" si="0"/>
        <v>766471342</v>
      </c>
      <c r="N13" s="165">
        <f t="shared" si="0"/>
        <v>700523364</v>
      </c>
      <c r="O13" s="165">
        <f t="shared" si="0"/>
        <v>141597345</v>
      </c>
      <c r="P13" s="165">
        <f t="shared" si="0"/>
        <v>65947978</v>
      </c>
      <c r="Q13" s="166"/>
      <c r="R13" s="166"/>
      <c r="S13" s="166"/>
      <c r="T13" s="16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5.75">
      <c r="A14" s="848"/>
      <c r="B14" s="870"/>
      <c r="C14" s="164" t="s">
        <v>1</v>
      </c>
      <c r="D14" s="165">
        <f t="shared" si="0"/>
        <v>54164381.799999997</v>
      </c>
      <c r="E14" s="165">
        <f t="shared" si="0"/>
        <v>34882248.799999997</v>
      </c>
      <c r="F14" s="165">
        <f t="shared" si="0"/>
        <v>29985389.800000001</v>
      </c>
      <c r="G14" s="165">
        <f t="shared" si="0"/>
        <v>595890.02</v>
      </c>
      <c r="H14" s="165">
        <f t="shared" si="0"/>
        <v>29389499.780000001</v>
      </c>
      <c r="I14" s="165">
        <f t="shared" si="0"/>
        <v>3685387</v>
      </c>
      <c r="J14" s="165">
        <f t="shared" si="0"/>
        <v>1000</v>
      </c>
      <c r="K14" s="165">
        <f t="shared" si="0"/>
        <v>1210472</v>
      </c>
      <c r="L14" s="165">
        <f t="shared" si="0"/>
        <v>0</v>
      </c>
      <c r="M14" s="165">
        <f t="shared" si="0"/>
        <v>19282133</v>
      </c>
      <c r="N14" s="165">
        <f t="shared" si="0"/>
        <v>22784133</v>
      </c>
      <c r="O14" s="165">
        <f t="shared" si="0"/>
        <v>5957668</v>
      </c>
      <c r="P14" s="165">
        <f t="shared" si="0"/>
        <v>-3502000</v>
      </c>
      <c r="Q14" s="166"/>
      <c r="R14" s="166"/>
      <c r="S14" s="166"/>
      <c r="T14" s="166"/>
      <c r="U14" s="166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5.75">
      <c r="A15" s="849"/>
      <c r="B15" s="871"/>
      <c r="C15" s="164" t="s">
        <v>2</v>
      </c>
      <c r="D15" s="165">
        <f>D13+D14</f>
        <v>2085942839.9100001</v>
      </c>
      <c r="E15" s="165">
        <f t="shared" ref="E15:P15" si="1">E13+E14</f>
        <v>1300189364.9100001</v>
      </c>
      <c r="F15" s="165">
        <f t="shared" si="1"/>
        <v>573465149.90999997</v>
      </c>
      <c r="G15" s="165">
        <f t="shared" si="1"/>
        <v>257670520.02000001</v>
      </c>
      <c r="H15" s="165">
        <f t="shared" si="1"/>
        <v>315794629.88999999</v>
      </c>
      <c r="I15" s="165">
        <f t="shared" si="1"/>
        <v>468378092</v>
      </c>
      <c r="J15" s="165">
        <f t="shared" si="1"/>
        <v>4457434</v>
      </c>
      <c r="K15" s="165">
        <f t="shared" si="1"/>
        <v>182255531</v>
      </c>
      <c r="L15" s="165">
        <f t="shared" si="1"/>
        <v>71633158</v>
      </c>
      <c r="M15" s="165">
        <f t="shared" si="1"/>
        <v>785753475</v>
      </c>
      <c r="N15" s="165">
        <f t="shared" si="1"/>
        <v>723307497</v>
      </c>
      <c r="O15" s="165">
        <f t="shared" si="1"/>
        <v>147555013</v>
      </c>
      <c r="P15" s="165">
        <f t="shared" si="1"/>
        <v>62445978</v>
      </c>
      <c r="Q15" s="166"/>
      <c r="R15" s="166"/>
      <c r="S15" s="166"/>
      <c r="T15" s="166"/>
      <c r="U15" s="166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5.0999999999999996" customHeight="1">
      <c r="A16" s="158"/>
      <c r="B16" s="168"/>
      <c r="C16" s="169"/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2"/>
      <c r="R16" s="172"/>
      <c r="S16" s="172"/>
      <c r="T16" s="172"/>
      <c r="U16" s="172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ht="15" hidden="1">
      <c r="A17" s="835" t="s">
        <v>42</v>
      </c>
      <c r="B17" s="838" t="s">
        <v>177</v>
      </c>
      <c r="C17" s="173" t="s">
        <v>0</v>
      </c>
      <c r="D17" s="174">
        <f>D23+D26+D29+D32+D20</f>
        <v>26262514.109999999</v>
      </c>
      <c r="E17" s="175">
        <f>E23+E26+E29+E32+E20</f>
        <v>13660961.109999999</v>
      </c>
      <c r="F17" s="175">
        <f t="shared" ref="F17:P18" si="2">F23+F26+F29+F32+F20</f>
        <v>3195961.11</v>
      </c>
      <c r="G17" s="175">
        <f t="shared" si="2"/>
        <v>376447</v>
      </c>
      <c r="H17" s="175">
        <f t="shared" si="2"/>
        <v>2819514.11</v>
      </c>
      <c r="I17" s="175">
        <f t="shared" si="2"/>
        <v>2295000</v>
      </c>
      <c r="J17" s="175">
        <f t="shared" si="2"/>
        <v>0</v>
      </c>
      <c r="K17" s="175">
        <f t="shared" si="2"/>
        <v>8170000</v>
      </c>
      <c r="L17" s="175">
        <f t="shared" si="2"/>
        <v>0</v>
      </c>
      <c r="M17" s="175">
        <f t="shared" si="2"/>
        <v>12601553</v>
      </c>
      <c r="N17" s="175">
        <f t="shared" si="2"/>
        <v>12601553</v>
      </c>
      <c r="O17" s="175">
        <f t="shared" si="2"/>
        <v>0</v>
      </c>
      <c r="P17" s="175">
        <f t="shared" si="2"/>
        <v>0</v>
      </c>
      <c r="Q17" s="176"/>
      <c r="R17" s="176"/>
      <c r="S17" s="176"/>
      <c r="T17" s="176"/>
      <c r="U17" s="176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pans="1:256" ht="15" hidden="1">
      <c r="A18" s="836"/>
      <c r="B18" s="839"/>
      <c r="C18" s="173" t="s">
        <v>1</v>
      </c>
      <c r="D18" s="174">
        <f>D24+D27+D30+D33+D21</f>
        <v>0</v>
      </c>
      <c r="E18" s="175">
        <f>E24+E27+E30+E33+E21</f>
        <v>0</v>
      </c>
      <c r="F18" s="175">
        <f t="shared" si="2"/>
        <v>0</v>
      </c>
      <c r="G18" s="175">
        <f t="shared" si="2"/>
        <v>0</v>
      </c>
      <c r="H18" s="175">
        <f t="shared" si="2"/>
        <v>0</v>
      </c>
      <c r="I18" s="175">
        <f t="shared" si="2"/>
        <v>0</v>
      </c>
      <c r="J18" s="175">
        <f t="shared" si="2"/>
        <v>0</v>
      </c>
      <c r="K18" s="175">
        <f t="shared" si="2"/>
        <v>0</v>
      </c>
      <c r="L18" s="175">
        <f t="shared" si="2"/>
        <v>0</v>
      </c>
      <c r="M18" s="175">
        <f t="shared" si="2"/>
        <v>0</v>
      </c>
      <c r="N18" s="175">
        <f t="shared" si="2"/>
        <v>0</v>
      </c>
      <c r="O18" s="175">
        <f t="shared" si="2"/>
        <v>0</v>
      </c>
      <c r="P18" s="175">
        <f t="shared" si="2"/>
        <v>0</v>
      </c>
      <c r="Q18" s="176"/>
      <c r="R18" s="176"/>
      <c r="S18" s="176"/>
      <c r="T18" s="176"/>
      <c r="U18" s="176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pans="1:256" ht="15" hidden="1">
      <c r="A19" s="837"/>
      <c r="B19" s="840"/>
      <c r="C19" s="173" t="s">
        <v>2</v>
      </c>
      <c r="D19" s="174">
        <f>D17+D18</f>
        <v>26262514.109999999</v>
      </c>
      <c r="E19" s="175">
        <f t="shared" ref="E19:P19" si="3">E17+E18</f>
        <v>13660961.109999999</v>
      </c>
      <c r="F19" s="175">
        <f t="shared" si="3"/>
        <v>3195961.11</v>
      </c>
      <c r="G19" s="175">
        <f t="shared" si="3"/>
        <v>376447</v>
      </c>
      <c r="H19" s="175">
        <f t="shared" si="3"/>
        <v>2819514.11</v>
      </c>
      <c r="I19" s="175">
        <f t="shared" si="3"/>
        <v>2295000</v>
      </c>
      <c r="J19" s="175">
        <f t="shared" si="3"/>
        <v>0</v>
      </c>
      <c r="K19" s="175">
        <f t="shared" si="3"/>
        <v>8170000</v>
      </c>
      <c r="L19" s="175">
        <f t="shared" si="3"/>
        <v>0</v>
      </c>
      <c r="M19" s="175">
        <f t="shared" si="3"/>
        <v>12601553</v>
      </c>
      <c r="N19" s="175">
        <f t="shared" si="3"/>
        <v>12601553</v>
      </c>
      <c r="O19" s="175">
        <f t="shared" si="3"/>
        <v>0</v>
      </c>
      <c r="P19" s="175">
        <f t="shared" si="3"/>
        <v>0</v>
      </c>
      <c r="Q19" s="176"/>
      <c r="R19" s="176"/>
      <c r="S19" s="176"/>
      <c r="T19" s="176"/>
      <c r="U19" s="176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</row>
    <row r="20" spans="1:256" hidden="1">
      <c r="A20" s="862" t="s">
        <v>178</v>
      </c>
      <c r="B20" s="865" t="s">
        <v>179</v>
      </c>
      <c r="C20" s="178" t="s">
        <v>0</v>
      </c>
      <c r="D20" s="170">
        <f>E20+M20</f>
        <v>50000</v>
      </c>
      <c r="E20" s="171">
        <f>F20+I20+J20+K20+L20</f>
        <v>50000</v>
      </c>
      <c r="F20" s="171">
        <f>G20+H20</f>
        <v>50000</v>
      </c>
      <c r="G20" s="171">
        <v>0</v>
      </c>
      <c r="H20" s="171">
        <v>50000</v>
      </c>
      <c r="I20" s="171">
        <v>0</v>
      </c>
      <c r="J20" s="171">
        <v>0</v>
      </c>
      <c r="K20" s="171">
        <v>0</v>
      </c>
      <c r="L20" s="171">
        <v>0</v>
      </c>
      <c r="M20" s="171">
        <f>N20+P20</f>
        <v>0</v>
      </c>
      <c r="N20" s="171">
        <v>0</v>
      </c>
      <c r="O20" s="171">
        <v>0</v>
      </c>
      <c r="P20" s="171">
        <v>0</v>
      </c>
      <c r="Q20" s="172"/>
      <c r="R20" s="172"/>
      <c r="S20" s="172"/>
      <c r="T20" s="172"/>
      <c r="U20" s="172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hidden="1">
      <c r="A21" s="863"/>
      <c r="B21" s="866"/>
      <c r="C21" s="178" t="s">
        <v>1</v>
      </c>
      <c r="D21" s="170">
        <f>E21+M21</f>
        <v>0</v>
      </c>
      <c r="E21" s="171">
        <f>F21+I21+J21+K21+L21</f>
        <v>0</v>
      </c>
      <c r="F21" s="171">
        <f>G21+H21</f>
        <v>0</v>
      </c>
      <c r="G21" s="171"/>
      <c r="H21" s="171"/>
      <c r="I21" s="171"/>
      <c r="J21" s="171"/>
      <c r="K21" s="171"/>
      <c r="L21" s="171"/>
      <c r="M21" s="171">
        <f>N21+P21</f>
        <v>0</v>
      </c>
      <c r="N21" s="171"/>
      <c r="O21" s="171"/>
      <c r="P21" s="171"/>
      <c r="Q21" s="172"/>
      <c r="R21" s="172"/>
      <c r="S21" s="172"/>
      <c r="T21" s="172"/>
      <c r="U21" s="172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hidden="1">
      <c r="A22" s="864"/>
      <c r="B22" s="867"/>
      <c r="C22" s="178" t="s">
        <v>2</v>
      </c>
      <c r="D22" s="170">
        <f>D20+D21</f>
        <v>50000</v>
      </c>
      <c r="E22" s="171">
        <f t="shared" ref="E22:P22" si="4">E20+E21</f>
        <v>50000</v>
      </c>
      <c r="F22" s="171">
        <f t="shared" si="4"/>
        <v>50000</v>
      </c>
      <c r="G22" s="171">
        <f t="shared" si="4"/>
        <v>0</v>
      </c>
      <c r="H22" s="171">
        <f t="shared" si="4"/>
        <v>50000</v>
      </c>
      <c r="I22" s="171">
        <f t="shared" si="4"/>
        <v>0</v>
      </c>
      <c r="J22" s="171">
        <f t="shared" si="4"/>
        <v>0</v>
      </c>
      <c r="K22" s="171">
        <f t="shared" si="4"/>
        <v>0</v>
      </c>
      <c r="L22" s="171">
        <f t="shared" si="4"/>
        <v>0</v>
      </c>
      <c r="M22" s="171">
        <f t="shared" si="4"/>
        <v>0</v>
      </c>
      <c r="N22" s="171">
        <f t="shared" si="4"/>
        <v>0</v>
      </c>
      <c r="O22" s="171">
        <f t="shared" si="4"/>
        <v>0</v>
      </c>
      <c r="P22" s="171">
        <f t="shared" si="4"/>
        <v>0</v>
      </c>
      <c r="Q22" s="172"/>
      <c r="R22" s="172"/>
      <c r="S22" s="172"/>
      <c r="T22" s="172"/>
      <c r="U22" s="172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hidden="1">
      <c r="A23" s="841" t="s">
        <v>180</v>
      </c>
      <c r="B23" s="844" t="s">
        <v>181</v>
      </c>
      <c r="C23" s="179" t="s">
        <v>0</v>
      </c>
      <c r="D23" s="180">
        <f>E23+M23</f>
        <v>1700000</v>
      </c>
      <c r="E23" s="181">
        <f>F23+I23+J23+K23+L23</f>
        <v>1700000</v>
      </c>
      <c r="F23" s="181">
        <f>G23+H23</f>
        <v>0</v>
      </c>
      <c r="G23" s="181">
        <v>0</v>
      </c>
      <c r="H23" s="181">
        <v>0</v>
      </c>
      <c r="I23" s="181">
        <v>1700000</v>
      </c>
      <c r="J23" s="181">
        <v>0</v>
      </c>
      <c r="K23" s="181">
        <v>0</v>
      </c>
      <c r="L23" s="181">
        <v>0</v>
      </c>
      <c r="M23" s="181">
        <f>N23+P23</f>
        <v>0</v>
      </c>
      <c r="N23" s="181">
        <v>0</v>
      </c>
      <c r="O23" s="181">
        <v>0</v>
      </c>
      <c r="P23" s="181">
        <v>0</v>
      </c>
      <c r="Q23" s="182"/>
      <c r="R23" s="182"/>
      <c r="S23" s="182"/>
      <c r="T23" s="182"/>
      <c r="U23" s="182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hidden="1">
      <c r="A24" s="842"/>
      <c r="B24" s="845"/>
      <c r="C24" s="179" t="s">
        <v>1</v>
      </c>
      <c r="D24" s="180">
        <f>E24+M24</f>
        <v>0</v>
      </c>
      <c r="E24" s="181">
        <f>F24+I24+J24+K24+L24</f>
        <v>0</v>
      </c>
      <c r="F24" s="181">
        <f>G24+H24</f>
        <v>0</v>
      </c>
      <c r="G24" s="181"/>
      <c r="H24" s="181"/>
      <c r="I24" s="181"/>
      <c r="J24" s="181"/>
      <c r="K24" s="181"/>
      <c r="L24" s="181"/>
      <c r="M24" s="181">
        <f>N24+P24</f>
        <v>0</v>
      </c>
      <c r="N24" s="181"/>
      <c r="O24" s="181"/>
      <c r="P24" s="181"/>
      <c r="Q24" s="182"/>
      <c r="R24" s="182"/>
      <c r="S24" s="182"/>
      <c r="T24" s="182"/>
      <c r="U24" s="182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hidden="1">
      <c r="A25" s="843"/>
      <c r="B25" s="846"/>
      <c r="C25" s="179" t="s">
        <v>2</v>
      </c>
      <c r="D25" s="180">
        <f>D23+D24</f>
        <v>1700000</v>
      </c>
      <c r="E25" s="181">
        <f t="shared" ref="E25:P25" si="5">E23+E24</f>
        <v>1700000</v>
      </c>
      <c r="F25" s="181">
        <f t="shared" si="5"/>
        <v>0</v>
      </c>
      <c r="G25" s="181">
        <f t="shared" si="5"/>
        <v>0</v>
      </c>
      <c r="H25" s="181">
        <f t="shared" si="5"/>
        <v>0</v>
      </c>
      <c r="I25" s="181">
        <f t="shared" si="5"/>
        <v>1700000</v>
      </c>
      <c r="J25" s="181">
        <f t="shared" si="5"/>
        <v>0</v>
      </c>
      <c r="K25" s="181">
        <f t="shared" si="5"/>
        <v>0</v>
      </c>
      <c r="L25" s="181">
        <f t="shared" si="5"/>
        <v>0</v>
      </c>
      <c r="M25" s="181">
        <f t="shared" si="5"/>
        <v>0</v>
      </c>
      <c r="N25" s="181">
        <f t="shared" si="5"/>
        <v>0</v>
      </c>
      <c r="O25" s="181">
        <f t="shared" si="5"/>
        <v>0</v>
      </c>
      <c r="P25" s="181">
        <f t="shared" si="5"/>
        <v>0</v>
      </c>
      <c r="Q25" s="182"/>
      <c r="R25" s="182"/>
      <c r="S25" s="182"/>
      <c r="T25" s="182"/>
      <c r="U25" s="182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hidden="1">
      <c r="A26" s="841" t="s">
        <v>182</v>
      </c>
      <c r="B26" s="844" t="s">
        <v>183</v>
      </c>
      <c r="C26" s="178" t="s">
        <v>0</v>
      </c>
      <c r="D26" s="180">
        <f>E26+M26</f>
        <v>8185000</v>
      </c>
      <c r="E26" s="181">
        <f>F26+I26+J26+K26+L26</f>
        <v>8185000</v>
      </c>
      <c r="F26" s="181">
        <f>G26+H26</f>
        <v>0</v>
      </c>
      <c r="G26" s="181">
        <v>0</v>
      </c>
      <c r="H26" s="181">
        <v>0</v>
      </c>
      <c r="I26" s="181">
        <v>15000</v>
      </c>
      <c r="J26" s="181">
        <v>0</v>
      </c>
      <c r="K26" s="181">
        <f>5199000+2971000</f>
        <v>8170000</v>
      </c>
      <c r="L26" s="181">
        <v>0</v>
      </c>
      <c r="M26" s="181">
        <f>N26+P26</f>
        <v>0</v>
      </c>
      <c r="N26" s="181">
        <v>0</v>
      </c>
      <c r="O26" s="181">
        <v>0</v>
      </c>
      <c r="P26" s="181">
        <v>0</v>
      </c>
      <c r="Q26" s="182"/>
      <c r="R26" s="182"/>
      <c r="S26" s="182"/>
      <c r="T26" s="182"/>
      <c r="U26" s="182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hidden="1">
      <c r="A27" s="842"/>
      <c r="B27" s="845"/>
      <c r="C27" s="178" t="s">
        <v>1</v>
      </c>
      <c r="D27" s="180">
        <f>E27+M27</f>
        <v>0</v>
      </c>
      <c r="E27" s="181">
        <f>F27+I27+J27+K27+L27</f>
        <v>0</v>
      </c>
      <c r="F27" s="181">
        <f>G27+H27</f>
        <v>0</v>
      </c>
      <c r="G27" s="181"/>
      <c r="H27" s="181"/>
      <c r="I27" s="181"/>
      <c r="J27" s="181"/>
      <c r="K27" s="181"/>
      <c r="L27" s="181"/>
      <c r="M27" s="181">
        <f>N27+P27</f>
        <v>0</v>
      </c>
      <c r="N27" s="181"/>
      <c r="O27" s="181"/>
      <c r="P27" s="181"/>
      <c r="Q27" s="182"/>
      <c r="R27" s="182"/>
      <c r="S27" s="182"/>
      <c r="T27" s="182"/>
      <c r="U27" s="182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idden="1">
      <c r="A28" s="843"/>
      <c r="B28" s="846"/>
      <c r="C28" s="178" t="s">
        <v>2</v>
      </c>
      <c r="D28" s="180">
        <f>D26+D27</f>
        <v>8185000</v>
      </c>
      <c r="E28" s="181">
        <f t="shared" ref="E28:P28" si="6">E26+E27</f>
        <v>8185000</v>
      </c>
      <c r="F28" s="181">
        <f t="shared" si="6"/>
        <v>0</v>
      </c>
      <c r="G28" s="181">
        <f t="shared" si="6"/>
        <v>0</v>
      </c>
      <c r="H28" s="181">
        <f t="shared" si="6"/>
        <v>0</v>
      </c>
      <c r="I28" s="181">
        <f t="shared" si="6"/>
        <v>15000</v>
      </c>
      <c r="J28" s="181">
        <f t="shared" si="6"/>
        <v>0</v>
      </c>
      <c r="K28" s="181">
        <f t="shared" si="6"/>
        <v>8170000</v>
      </c>
      <c r="L28" s="181">
        <f t="shared" si="6"/>
        <v>0</v>
      </c>
      <c r="M28" s="181">
        <f t="shared" si="6"/>
        <v>0</v>
      </c>
      <c r="N28" s="181">
        <f t="shared" si="6"/>
        <v>0</v>
      </c>
      <c r="O28" s="181">
        <f t="shared" si="6"/>
        <v>0</v>
      </c>
      <c r="P28" s="181">
        <f t="shared" si="6"/>
        <v>0</v>
      </c>
      <c r="Q28" s="182"/>
      <c r="R28" s="182"/>
      <c r="S28" s="182"/>
      <c r="T28" s="182"/>
      <c r="U28" s="182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hidden="1">
      <c r="A29" s="841" t="s">
        <v>184</v>
      </c>
      <c r="B29" s="844" t="s">
        <v>185</v>
      </c>
      <c r="C29" s="178" t="s">
        <v>0</v>
      </c>
      <c r="D29" s="180">
        <f>E29+M29</f>
        <v>13000000</v>
      </c>
      <c r="E29" s="181">
        <f>F29+I29+J29+K29+L29</f>
        <v>398447</v>
      </c>
      <c r="F29" s="181">
        <f>G29+H29</f>
        <v>398447</v>
      </c>
      <c r="G29" s="181">
        <v>376447</v>
      </c>
      <c r="H29" s="181">
        <f>13000000-12978000</f>
        <v>22000</v>
      </c>
      <c r="I29" s="181">
        <v>0</v>
      </c>
      <c r="J29" s="181">
        <v>0</v>
      </c>
      <c r="K29" s="181">
        <v>0</v>
      </c>
      <c r="L29" s="181">
        <v>0</v>
      </c>
      <c r="M29" s="181">
        <f>N29+P29</f>
        <v>12601553</v>
      </c>
      <c r="N29" s="181">
        <v>12601553</v>
      </c>
      <c r="O29" s="181">
        <v>0</v>
      </c>
      <c r="P29" s="181">
        <v>0</v>
      </c>
      <c r="Q29" s="182"/>
      <c r="R29" s="182"/>
      <c r="S29" s="182"/>
      <c r="T29" s="182"/>
      <c r="U29" s="182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hidden="1">
      <c r="A30" s="842"/>
      <c r="B30" s="845"/>
      <c r="C30" s="178" t="s">
        <v>1</v>
      </c>
      <c r="D30" s="180">
        <f>E30+M30</f>
        <v>0</v>
      </c>
      <c r="E30" s="181">
        <f>F30+I30+J30+K30+L30</f>
        <v>0</v>
      </c>
      <c r="F30" s="181">
        <f>G30+H30</f>
        <v>0</v>
      </c>
      <c r="G30" s="181"/>
      <c r="H30" s="181"/>
      <c r="I30" s="181"/>
      <c r="J30" s="181"/>
      <c r="K30" s="181"/>
      <c r="L30" s="181"/>
      <c r="M30" s="181">
        <f>N30+P30</f>
        <v>0</v>
      </c>
      <c r="N30" s="181"/>
      <c r="O30" s="181"/>
      <c r="P30" s="181"/>
      <c r="Q30" s="182"/>
      <c r="R30" s="182"/>
      <c r="S30" s="182"/>
      <c r="T30" s="182"/>
      <c r="U30" s="182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hidden="1">
      <c r="A31" s="843"/>
      <c r="B31" s="846"/>
      <c r="C31" s="178" t="s">
        <v>2</v>
      </c>
      <c r="D31" s="180">
        <f>D29+D30</f>
        <v>13000000</v>
      </c>
      <c r="E31" s="181">
        <f t="shared" ref="E31:P31" si="7">E29+E30</f>
        <v>398447</v>
      </c>
      <c r="F31" s="181">
        <f t="shared" si="7"/>
        <v>398447</v>
      </c>
      <c r="G31" s="181">
        <f t="shared" si="7"/>
        <v>376447</v>
      </c>
      <c r="H31" s="181">
        <f t="shared" si="7"/>
        <v>22000</v>
      </c>
      <c r="I31" s="181">
        <f t="shared" si="7"/>
        <v>0</v>
      </c>
      <c r="J31" s="181">
        <f t="shared" si="7"/>
        <v>0</v>
      </c>
      <c r="K31" s="181">
        <f t="shared" si="7"/>
        <v>0</v>
      </c>
      <c r="L31" s="181">
        <f t="shared" si="7"/>
        <v>0</v>
      </c>
      <c r="M31" s="181">
        <f t="shared" si="7"/>
        <v>12601553</v>
      </c>
      <c r="N31" s="181">
        <f t="shared" si="7"/>
        <v>12601553</v>
      </c>
      <c r="O31" s="181">
        <f t="shared" si="7"/>
        <v>0</v>
      </c>
      <c r="P31" s="181">
        <f t="shared" si="7"/>
        <v>0</v>
      </c>
      <c r="Q31" s="182"/>
      <c r="R31" s="182"/>
      <c r="S31" s="182"/>
      <c r="T31" s="182"/>
      <c r="U31" s="182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idden="1">
      <c r="A32" s="841" t="s">
        <v>186</v>
      </c>
      <c r="B32" s="844" t="s">
        <v>108</v>
      </c>
      <c r="C32" s="178" t="s">
        <v>0</v>
      </c>
      <c r="D32" s="180">
        <f>E32+M32</f>
        <v>3327514.11</v>
      </c>
      <c r="E32" s="181">
        <f>F32+I32+J32+K32+L32</f>
        <v>3327514.11</v>
      </c>
      <c r="F32" s="181">
        <f>G32+H32</f>
        <v>2747514.11</v>
      </c>
      <c r="G32" s="181">
        <v>0</v>
      </c>
      <c r="H32" s="181">
        <v>2747514.11</v>
      </c>
      <c r="I32" s="181">
        <v>580000</v>
      </c>
      <c r="J32" s="181">
        <v>0</v>
      </c>
      <c r="K32" s="181">
        <v>0</v>
      </c>
      <c r="L32" s="181">
        <v>0</v>
      </c>
      <c r="M32" s="181">
        <f>N32+P32</f>
        <v>0</v>
      </c>
      <c r="N32" s="181">
        <v>0</v>
      </c>
      <c r="O32" s="181">
        <v>0</v>
      </c>
      <c r="P32" s="181">
        <v>0</v>
      </c>
      <c r="Q32" s="182"/>
      <c r="R32" s="182"/>
      <c r="S32" s="182"/>
      <c r="T32" s="182"/>
      <c r="U32" s="182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idden="1">
      <c r="A33" s="842"/>
      <c r="B33" s="845"/>
      <c r="C33" s="178" t="s">
        <v>1</v>
      </c>
      <c r="D33" s="180">
        <f>E33+M33</f>
        <v>0</v>
      </c>
      <c r="E33" s="181">
        <f>F33+I33+J33+K33+L33</f>
        <v>0</v>
      </c>
      <c r="F33" s="181">
        <f>G33+H33</f>
        <v>0</v>
      </c>
      <c r="G33" s="181"/>
      <c r="H33" s="181"/>
      <c r="I33" s="181"/>
      <c r="J33" s="181"/>
      <c r="K33" s="181"/>
      <c r="L33" s="181"/>
      <c r="M33" s="181">
        <f>N33+P33</f>
        <v>0</v>
      </c>
      <c r="N33" s="181"/>
      <c r="O33" s="181"/>
      <c r="P33" s="181"/>
      <c r="Q33" s="182"/>
      <c r="R33" s="182"/>
      <c r="S33" s="182"/>
      <c r="T33" s="182"/>
      <c r="U33" s="182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idden="1">
      <c r="A34" s="843"/>
      <c r="B34" s="846"/>
      <c r="C34" s="178" t="s">
        <v>2</v>
      </c>
      <c r="D34" s="180">
        <f>D32+D33</f>
        <v>3327514.11</v>
      </c>
      <c r="E34" s="181">
        <f t="shared" ref="E34:P34" si="8">E32+E33</f>
        <v>3327514.11</v>
      </c>
      <c r="F34" s="181">
        <f t="shared" si="8"/>
        <v>2747514.11</v>
      </c>
      <c r="G34" s="181">
        <f t="shared" si="8"/>
        <v>0</v>
      </c>
      <c r="H34" s="181">
        <f t="shared" si="8"/>
        <v>2747514.11</v>
      </c>
      <c r="I34" s="181">
        <f t="shared" si="8"/>
        <v>580000</v>
      </c>
      <c r="J34" s="181">
        <f t="shared" si="8"/>
        <v>0</v>
      </c>
      <c r="K34" s="181">
        <f t="shared" si="8"/>
        <v>0</v>
      </c>
      <c r="L34" s="181">
        <f t="shared" si="8"/>
        <v>0</v>
      </c>
      <c r="M34" s="181">
        <f t="shared" si="8"/>
        <v>0</v>
      </c>
      <c r="N34" s="181">
        <f t="shared" si="8"/>
        <v>0</v>
      </c>
      <c r="O34" s="181">
        <f t="shared" si="8"/>
        <v>0</v>
      </c>
      <c r="P34" s="181">
        <f t="shared" si="8"/>
        <v>0</v>
      </c>
      <c r="Q34" s="182"/>
      <c r="R34" s="182"/>
      <c r="S34" s="182"/>
      <c r="T34" s="182"/>
      <c r="U34" s="182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5">
      <c r="A35" s="835" t="s">
        <v>43</v>
      </c>
      <c r="B35" s="838" t="s">
        <v>44</v>
      </c>
      <c r="C35" s="183" t="s">
        <v>0</v>
      </c>
      <c r="D35" s="184">
        <f>D38+D41</f>
        <v>155000</v>
      </c>
      <c r="E35" s="185">
        <f>E38+E41</f>
        <v>155000</v>
      </c>
      <c r="F35" s="185">
        <f t="shared" ref="F35:P36" si="9">F38+F41</f>
        <v>95000</v>
      </c>
      <c r="G35" s="185">
        <f t="shared" si="9"/>
        <v>95000</v>
      </c>
      <c r="H35" s="185">
        <f t="shared" si="9"/>
        <v>0</v>
      </c>
      <c r="I35" s="185">
        <f t="shared" si="9"/>
        <v>0</v>
      </c>
      <c r="J35" s="185">
        <f t="shared" si="9"/>
        <v>0</v>
      </c>
      <c r="K35" s="185">
        <f t="shared" si="9"/>
        <v>60000</v>
      </c>
      <c r="L35" s="185">
        <f t="shared" si="9"/>
        <v>0</v>
      </c>
      <c r="M35" s="185">
        <f t="shared" si="9"/>
        <v>0</v>
      </c>
      <c r="N35" s="185">
        <f t="shared" si="9"/>
        <v>0</v>
      </c>
      <c r="O35" s="185">
        <f t="shared" si="9"/>
        <v>0</v>
      </c>
      <c r="P35" s="185">
        <f t="shared" si="9"/>
        <v>0</v>
      </c>
      <c r="Q35" s="186"/>
      <c r="R35" s="186"/>
      <c r="S35" s="186"/>
      <c r="T35" s="186"/>
      <c r="U35" s="186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  <c r="IV35" s="187"/>
    </row>
    <row r="36" spans="1:256" ht="15">
      <c r="A36" s="836"/>
      <c r="B36" s="839"/>
      <c r="C36" s="183" t="s">
        <v>1</v>
      </c>
      <c r="D36" s="184">
        <f>D39+D42</f>
        <v>75000</v>
      </c>
      <c r="E36" s="185">
        <f>E39+E42</f>
        <v>75000</v>
      </c>
      <c r="F36" s="185">
        <f t="shared" si="9"/>
        <v>75000</v>
      </c>
      <c r="G36" s="185">
        <f t="shared" si="9"/>
        <v>60000</v>
      </c>
      <c r="H36" s="185">
        <f t="shared" si="9"/>
        <v>15000</v>
      </c>
      <c r="I36" s="185">
        <f t="shared" si="9"/>
        <v>0</v>
      </c>
      <c r="J36" s="185">
        <f t="shared" si="9"/>
        <v>0</v>
      </c>
      <c r="K36" s="185">
        <f t="shared" si="9"/>
        <v>0</v>
      </c>
      <c r="L36" s="185">
        <f t="shared" si="9"/>
        <v>0</v>
      </c>
      <c r="M36" s="185">
        <f t="shared" si="9"/>
        <v>0</v>
      </c>
      <c r="N36" s="185">
        <f t="shared" si="9"/>
        <v>0</v>
      </c>
      <c r="O36" s="185">
        <f t="shared" si="9"/>
        <v>0</v>
      </c>
      <c r="P36" s="185">
        <f t="shared" si="9"/>
        <v>0</v>
      </c>
      <c r="Q36" s="186"/>
      <c r="R36" s="186"/>
      <c r="S36" s="186"/>
      <c r="T36" s="186"/>
      <c r="U36" s="186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  <c r="IV36" s="187"/>
    </row>
    <row r="37" spans="1:256" ht="15">
      <c r="A37" s="837"/>
      <c r="B37" s="840"/>
      <c r="C37" s="183" t="s">
        <v>2</v>
      </c>
      <c r="D37" s="184">
        <f>D35+D36</f>
        <v>230000</v>
      </c>
      <c r="E37" s="185">
        <f t="shared" ref="E37:P37" si="10">E35+E36</f>
        <v>230000</v>
      </c>
      <c r="F37" s="185">
        <f t="shared" si="10"/>
        <v>170000</v>
      </c>
      <c r="G37" s="185">
        <f t="shared" si="10"/>
        <v>155000</v>
      </c>
      <c r="H37" s="185">
        <f t="shared" si="10"/>
        <v>15000</v>
      </c>
      <c r="I37" s="185">
        <f t="shared" si="10"/>
        <v>0</v>
      </c>
      <c r="J37" s="185">
        <f t="shared" si="10"/>
        <v>0</v>
      </c>
      <c r="K37" s="185">
        <f t="shared" si="10"/>
        <v>60000</v>
      </c>
      <c r="L37" s="185">
        <f t="shared" si="10"/>
        <v>0</v>
      </c>
      <c r="M37" s="185">
        <f t="shared" si="10"/>
        <v>0</v>
      </c>
      <c r="N37" s="185">
        <f t="shared" si="10"/>
        <v>0</v>
      </c>
      <c r="O37" s="185">
        <f t="shared" si="10"/>
        <v>0</v>
      </c>
      <c r="P37" s="185">
        <f t="shared" si="10"/>
        <v>0</v>
      </c>
      <c r="Q37" s="186"/>
      <c r="R37" s="186"/>
      <c r="S37" s="186"/>
      <c r="T37" s="186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  <c r="IV37" s="187"/>
    </row>
    <row r="38" spans="1:256" ht="22.5" customHeight="1">
      <c r="A38" s="862" t="s">
        <v>187</v>
      </c>
      <c r="B38" s="856" t="s">
        <v>188</v>
      </c>
      <c r="C38" s="178" t="s">
        <v>0</v>
      </c>
      <c r="D38" s="170">
        <f>E38+M38</f>
        <v>60000</v>
      </c>
      <c r="E38" s="171">
        <f>F38+I38+J38+K38+L38</f>
        <v>60000</v>
      </c>
      <c r="F38" s="171">
        <f>G38+H38</f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f>42000+18000</f>
        <v>60000</v>
      </c>
      <c r="L38" s="171">
        <v>0</v>
      </c>
      <c r="M38" s="171">
        <f>N38+P38</f>
        <v>0</v>
      </c>
      <c r="N38" s="171">
        <v>0</v>
      </c>
      <c r="O38" s="171">
        <v>0</v>
      </c>
      <c r="P38" s="171">
        <v>0</v>
      </c>
      <c r="Q38" s="172"/>
      <c r="R38" s="172"/>
      <c r="S38" s="172"/>
      <c r="T38" s="172"/>
      <c r="U38" s="17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163"/>
      <c r="IM38" s="163"/>
      <c r="IN38" s="163"/>
      <c r="IO38" s="163"/>
      <c r="IP38" s="163"/>
      <c r="IQ38" s="163"/>
      <c r="IR38" s="163"/>
      <c r="IS38" s="163"/>
      <c r="IT38" s="163"/>
      <c r="IU38" s="163"/>
      <c r="IV38" s="163"/>
    </row>
    <row r="39" spans="1:256" ht="22.5" customHeight="1">
      <c r="A39" s="863"/>
      <c r="B39" s="857"/>
      <c r="C39" s="178" t="s">
        <v>1</v>
      </c>
      <c r="D39" s="170">
        <f>E39+M39</f>
        <v>75000</v>
      </c>
      <c r="E39" s="171">
        <f>F39+I39+J39+K39+L39</f>
        <v>75000</v>
      </c>
      <c r="F39" s="171">
        <f>G39+H39</f>
        <v>75000</v>
      </c>
      <c r="G39" s="171">
        <f>49236+8403+1216+400+745</f>
        <v>60000</v>
      </c>
      <c r="H39" s="171">
        <f>3000+500+2000+2000+3000+500+3000+300+700</f>
        <v>15000</v>
      </c>
      <c r="I39" s="171"/>
      <c r="J39" s="171"/>
      <c r="K39" s="171"/>
      <c r="L39" s="171"/>
      <c r="M39" s="171">
        <f>N39+P39</f>
        <v>0</v>
      </c>
      <c r="N39" s="171"/>
      <c r="O39" s="171"/>
      <c r="P39" s="171"/>
      <c r="Q39" s="172"/>
      <c r="R39" s="172"/>
      <c r="S39" s="172"/>
      <c r="T39" s="172"/>
      <c r="U39" s="17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</row>
    <row r="40" spans="1:256" ht="22.5" customHeight="1">
      <c r="A40" s="864"/>
      <c r="B40" s="858"/>
      <c r="C40" s="178" t="s">
        <v>2</v>
      </c>
      <c r="D40" s="170">
        <f>D38+D39</f>
        <v>135000</v>
      </c>
      <c r="E40" s="171">
        <f t="shared" ref="E40:P40" si="11">E38+E39</f>
        <v>135000</v>
      </c>
      <c r="F40" s="171">
        <f t="shared" si="11"/>
        <v>75000</v>
      </c>
      <c r="G40" s="171">
        <f t="shared" si="11"/>
        <v>60000</v>
      </c>
      <c r="H40" s="171">
        <f t="shared" si="11"/>
        <v>15000</v>
      </c>
      <c r="I40" s="171">
        <f t="shared" si="11"/>
        <v>0</v>
      </c>
      <c r="J40" s="171">
        <f t="shared" si="11"/>
        <v>0</v>
      </c>
      <c r="K40" s="171">
        <f t="shared" si="11"/>
        <v>60000</v>
      </c>
      <c r="L40" s="171">
        <f t="shared" si="11"/>
        <v>0</v>
      </c>
      <c r="M40" s="171">
        <f t="shared" si="11"/>
        <v>0</v>
      </c>
      <c r="N40" s="171">
        <f t="shared" si="11"/>
        <v>0</v>
      </c>
      <c r="O40" s="171">
        <f t="shared" si="11"/>
        <v>0</v>
      </c>
      <c r="P40" s="171">
        <f t="shared" si="11"/>
        <v>0</v>
      </c>
      <c r="Q40" s="172"/>
      <c r="R40" s="172"/>
      <c r="S40" s="172"/>
      <c r="T40" s="172"/>
      <c r="U40" s="17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  <c r="IV40" s="163"/>
    </row>
    <row r="41" spans="1:256" hidden="1">
      <c r="A41" s="841" t="s">
        <v>189</v>
      </c>
      <c r="B41" s="844" t="s">
        <v>108</v>
      </c>
      <c r="C41" s="178" t="s">
        <v>0</v>
      </c>
      <c r="D41" s="180">
        <f>E41+M41</f>
        <v>95000</v>
      </c>
      <c r="E41" s="181">
        <f>F41+I41+J41+K41+L41</f>
        <v>95000</v>
      </c>
      <c r="F41" s="181">
        <f>G41+H41</f>
        <v>95000</v>
      </c>
      <c r="G41" s="181">
        <v>95000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f>N41+P41</f>
        <v>0</v>
      </c>
      <c r="N41" s="181">
        <v>0</v>
      </c>
      <c r="O41" s="181">
        <v>0</v>
      </c>
      <c r="P41" s="181">
        <v>0</v>
      </c>
      <c r="Q41" s="182"/>
      <c r="R41" s="182"/>
      <c r="S41" s="182"/>
      <c r="T41" s="182"/>
      <c r="U41" s="182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spans="1:256" hidden="1">
      <c r="A42" s="842"/>
      <c r="B42" s="845"/>
      <c r="C42" s="178" t="s">
        <v>1</v>
      </c>
      <c r="D42" s="180">
        <f>E42+M42</f>
        <v>0</v>
      </c>
      <c r="E42" s="181">
        <f>F42+I42+J42+K42+L42</f>
        <v>0</v>
      </c>
      <c r="F42" s="181">
        <f>G42+H42</f>
        <v>0</v>
      </c>
      <c r="G42" s="181"/>
      <c r="H42" s="181"/>
      <c r="I42" s="181"/>
      <c r="J42" s="181"/>
      <c r="K42" s="181"/>
      <c r="L42" s="181"/>
      <c r="M42" s="181">
        <f>N42+P42</f>
        <v>0</v>
      </c>
      <c r="N42" s="181"/>
      <c r="O42" s="181"/>
      <c r="P42" s="181"/>
      <c r="Q42" s="182"/>
      <c r="R42" s="182"/>
      <c r="S42" s="182"/>
      <c r="T42" s="182"/>
      <c r="U42" s="182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hidden="1">
      <c r="A43" s="843"/>
      <c r="B43" s="846"/>
      <c r="C43" s="178" t="s">
        <v>2</v>
      </c>
      <c r="D43" s="180">
        <f>D41+D42</f>
        <v>95000</v>
      </c>
      <c r="E43" s="181">
        <f t="shared" ref="E43:P43" si="12">E41+E42</f>
        <v>95000</v>
      </c>
      <c r="F43" s="181">
        <f t="shared" si="12"/>
        <v>95000</v>
      </c>
      <c r="G43" s="181">
        <f t="shared" si="12"/>
        <v>95000</v>
      </c>
      <c r="H43" s="181">
        <f t="shared" si="12"/>
        <v>0</v>
      </c>
      <c r="I43" s="181">
        <f t="shared" si="12"/>
        <v>0</v>
      </c>
      <c r="J43" s="181">
        <f t="shared" si="12"/>
        <v>0</v>
      </c>
      <c r="K43" s="181">
        <f t="shared" si="12"/>
        <v>0</v>
      </c>
      <c r="L43" s="181">
        <f t="shared" si="12"/>
        <v>0</v>
      </c>
      <c r="M43" s="181">
        <f t="shared" si="12"/>
        <v>0</v>
      </c>
      <c r="N43" s="181">
        <f t="shared" si="12"/>
        <v>0</v>
      </c>
      <c r="O43" s="181">
        <f t="shared" si="12"/>
        <v>0</v>
      </c>
      <c r="P43" s="181">
        <f t="shared" si="12"/>
        <v>0</v>
      </c>
      <c r="Q43" s="182"/>
      <c r="R43" s="182"/>
      <c r="S43" s="182"/>
      <c r="T43" s="182"/>
      <c r="U43" s="182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256" ht="15">
      <c r="A44" s="835" t="s">
        <v>87</v>
      </c>
      <c r="B44" s="838" t="s">
        <v>88</v>
      </c>
      <c r="C44" s="183" t="s">
        <v>0</v>
      </c>
      <c r="D44" s="174">
        <f>D50+D47+D53</f>
        <v>18424154</v>
      </c>
      <c r="E44" s="175">
        <f t="shared" ref="E44:P45" si="13">E50+E47+E53</f>
        <v>17824154</v>
      </c>
      <c r="F44" s="175">
        <f t="shared" si="13"/>
        <v>20000</v>
      </c>
      <c r="G44" s="175">
        <f t="shared" si="13"/>
        <v>5000</v>
      </c>
      <c r="H44" s="175">
        <f t="shared" si="13"/>
        <v>15000</v>
      </c>
      <c r="I44" s="175">
        <f t="shared" si="13"/>
        <v>0</v>
      </c>
      <c r="J44" s="175">
        <f t="shared" si="13"/>
        <v>0</v>
      </c>
      <c r="K44" s="175">
        <f t="shared" si="13"/>
        <v>17804154</v>
      </c>
      <c r="L44" s="175">
        <f t="shared" si="13"/>
        <v>0</v>
      </c>
      <c r="M44" s="175">
        <f t="shared" si="13"/>
        <v>600000</v>
      </c>
      <c r="N44" s="175">
        <f t="shared" si="13"/>
        <v>0</v>
      </c>
      <c r="O44" s="175">
        <f t="shared" si="13"/>
        <v>0</v>
      </c>
      <c r="P44" s="175">
        <f t="shared" si="13"/>
        <v>600000</v>
      </c>
      <c r="Q44" s="188"/>
      <c r="R44" s="188"/>
      <c r="S44" s="188"/>
      <c r="T44" s="188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  <c r="GK44" s="189"/>
      <c r="GL44" s="189"/>
      <c r="GM44" s="189"/>
      <c r="GN44" s="189"/>
      <c r="GO44" s="189"/>
      <c r="GP44" s="189"/>
      <c r="GQ44" s="189"/>
      <c r="GR44" s="189"/>
      <c r="GS44" s="189"/>
      <c r="GT44" s="189"/>
      <c r="GU44" s="189"/>
      <c r="GV44" s="189"/>
      <c r="GW44" s="189"/>
      <c r="GX44" s="189"/>
      <c r="GY44" s="189"/>
      <c r="GZ44" s="189"/>
      <c r="HA44" s="189"/>
      <c r="HB44" s="189"/>
      <c r="HC44" s="189"/>
      <c r="HD44" s="189"/>
      <c r="HE44" s="189"/>
      <c r="HF44" s="189"/>
      <c r="HG44" s="189"/>
      <c r="HH44" s="189"/>
      <c r="HI44" s="189"/>
      <c r="HJ44" s="189"/>
      <c r="HK44" s="189"/>
      <c r="HL44" s="189"/>
      <c r="HM44" s="189"/>
      <c r="HN44" s="189"/>
      <c r="HO44" s="189"/>
      <c r="HP44" s="189"/>
      <c r="HQ44" s="189"/>
      <c r="HR44" s="189"/>
      <c r="HS44" s="189"/>
      <c r="HT44" s="189"/>
      <c r="HU44" s="189"/>
      <c r="HV44" s="189"/>
      <c r="HW44" s="189"/>
      <c r="HX44" s="189"/>
      <c r="HY44" s="189"/>
      <c r="HZ44" s="189"/>
      <c r="IA44" s="189"/>
      <c r="IB44" s="189"/>
      <c r="IC44" s="189"/>
      <c r="ID44" s="189"/>
      <c r="IE44" s="189"/>
      <c r="IF44" s="189"/>
      <c r="IG44" s="189"/>
      <c r="IH44" s="189"/>
      <c r="II44" s="189"/>
      <c r="IJ44" s="189"/>
      <c r="IK44" s="189"/>
      <c r="IL44" s="189"/>
      <c r="IM44" s="189"/>
      <c r="IN44" s="189"/>
      <c r="IO44" s="189"/>
      <c r="IP44" s="189"/>
      <c r="IQ44" s="189"/>
      <c r="IR44" s="189"/>
      <c r="IS44" s="189"/>
      <c r="IT44" s="189"/>
      <c r="IU44" s="189"/>
      <c r="IV44" s="189"/>
    </row>
    <row r="45" spans="1:256" ht="15">
      <c r="A45" s="836"/>
      <c r="B45" s="839"/>
      <c r="C45" s="183" t="s">
        <v>1</v>
      </c>
      <c r="D45" s="174">
        <f>D51+D48+D54</f>
        <v>0</v>
      </c>
      <c r="E45" s="175">
        <f t="shared" si="13"/>
        <v>-37000</v>
      </c>
      <c r="F45" s="175">
        <f t="shared" si="13"/>
        <v>0</v>
      </c>
      <c r="G45" s="175">
        <f t="shared" si="13"/>
        <v>0</v>
      </c>
      <c r="H45" s="175">
        <f t="shared" si="13"/>
        <v>0</v>
      </c>
      <c r="I45" s="175">
        <f t="shared" si="13"/>
        <v>0</v>
      </c>
      <c r="J45" s="175">
        <f t="shared" si="13"/>
        <v>0</v>
      </c>
      <c r="K45" s="175">
        <f t="shared" si="13"/>
        <v>-37000</v>
      </c>
      <c r="L45" s="175">
        <f t="shared" si="13"/>
        <v>0</v>
      </c>
      <c r="M45" s="175">
        <f t="shared" si="13"/>
        <v>37000</v>
      </c>
      <c r="N45" s="175">
        <f t="shared" si="13"/>
        <v>37000</v>
      </c>
      <c r="O45" s="175">
        <f t="shared" si="13"/>
        <v>37000</v>
      </c>
      <c r="P45" s="175">
        <f t="shared" si="13"/>
        <v>0</v>
      </c>
      <c r="Q45" s="188"/>
      <c r="R45" s="188"/>
      <c r="S45" s="188"/>
      <c r="T45" s="188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  <c r="IV45" s="189"/>
    </row>
    <row r="46" spans="1:256" ht="15">
      <c r="A46" s="837"/>
      <c r="B46" s="840"/>
      <c r="C46" s="183" t="s">
        <v>2</v>
      </c>
      <c r="D46" s="174">
        <f>D44+D45</f>
        <v>18424154</v>
      </c>
      <c r="E46" s="175">
        <f t="shared" ref="E46:P46" si="14">E44+E45</f>
        <v>17787154</v>
      </c>
      <c r="F46" s="175">
        <f t="shared" si="14"/>
        <v>20000</v>
      </c>
      <c r="G46" s="175">
        <f t="shared" si="14"/>
        <v>5000</v>
      </c>
      <c r="H46" s="175">
        <f t="shared" si="14"/>
        <v>15000</v>
      </c>
      <c r="I46" s="175">
        <f t="shared" si="14"/>
        <v>0</v>
      </c>
      <c r="J46" s="175">
        <f t="shared" si="14"/>
        <v>0</v>
      </c>
      <c r="K46" s="175">
        <f t="shared" si="14"/>
        <v>17767154</v>
      </c>
      <c r="L46" s="175">
        <f t="shared" si="14"/>
        <v>0</v>
      </c>
      <c r="M46" s="175">
        <f t="shared" si="14"/>
        <v>637000</v>
      </c>
      <c r="N46" s="175">
        <f t="shared" si="14"/>
        <v>37000</v>
      </c>
      <c r="O46" s="175">
        <f t="shared" si="14"/>
        <v>37000</v>
      </c>
      <c r="P46" s="175">
        <f t="shared" si="14"/>
        <v>600000</v>
      </c>
      <c r="Q46" s="188"/>
      <c r="R46" s="188"/>
      <c r="S46" s="188"/>
      <c r="T46" s="188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89"/>
      <c r="GI46" s="189"/>
      <c r="GJ46" s="189"/>
      <c r="GK46" s="189"/>
      <c r="GL46" s="189"/>
      <c r="GM46" s="189"/>
      <c r="GN46" s="189"/>
      <c r="GO46" s="189"/>
      <c r="GP46" s="189"/>
      <c r="GQ46" s="189"/>
      <c r="GR46" s="189"/>
      <c r="GS46" s="189"/>
      <c r="GT46" s="189"/>
      <c r="GU46" s="189"/>
      <c r="GV46" s="189"/>
      <c r="GW46" s="189"/>
      <c r="GX46" s="189"/>
      <c r="GY46" s="189"/>
      <c r="GZ46" s="189"/>
      <c r="HA46" s="189"/>
      <c r="HB46" s="189"/>
      <c r="HC46" s="189"/>
      <c r="HD46" s="189"/>
      <c r="HE46" s="189"/>
      <c r="HF46" s="189"/>
      <c r="HG46" s="189"/>
      <c r="HH46" s="189"/>
      <c r="HI46" s="189"/>
      <c r="HJ46" s="189"/>
      <c r="HK46" s="189"/>
      <c r="HL46" s="189"/>
      <c r="HM46" s="189"/>
      <c r="HN46" s="189"/>
      <c r="HO46" s="189"/>
      <c r="HP46" s="189"/>
      <c r="HQ46" s="189"/>
      <c r="HR46" s="189"/>
      <c r="HS46" s="189"/>
      <c r="HT46" s="189"/>
      <c r="HU46" s="189"/>
      <c r="HV46" s="189"/>
      <c r="HW46" s="189"/>
      <c r="HX46" s="189"/>
      <c r="HY46" s="189"/>
      <c r="HZ46" s="189"/>
      <c r="IA46" s="189"/>
      <c r="IB46" s="189"/>
      <c r="IC46" s="189"/>
      <c r="ID46" s="189"/>
      <c r="IE46" s="189"/>
      <c r="IF46" s="189"/>
      <c r="IG46" s="189"/>
      <c r="IH46" s="189"/>
      <c r="II46" s="189"/>
      <c r="IJ46" s="189"/>
      <c r="IK46" s="189"/>
      <c r="IL46" s="189"/>
      <c r="IM46" s="189"/>
      <c r="IN46" s="189"/>
      <c r="IO46" s="189"/>
      <c r="IP46" s="189"/>
      <c r="IQ46" s="189"/>
      <c r="IR46" s="189"/>
      <c r="IS46" s="189"/>
      <c r="IT46" s="189"/>
      <c r="IU46" s="189"/>
      <c r="IV46" s="189"/>
    </row>
    <row r="47" spans="1:256" hidden="1">
      <c r="A47" s="841" t="s">
        <v>190</v>
      </c>
      <c r="B47" s="844" t="s">
        <v>191</v>
      </c>
      <c r="C47" s="190" t="s">
        <v>0</v>
      </c>
      <c r="D47" s="180">
        <f>E47+M47</f>
        <v>600000</v>
      </c>
      <c r="E47" s="181">
        <f>F47+I47+J47+K47+L47</f>
        <v>0</v>
      </c>
      <c r="F47" s="181">
        <f>G47+H47</f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f>N47+P47</f>
        <v>600000</v>
      </c>
      <c r="N47" s="181">
        <v>0</v>
      </c>
      <c r="O47" s="181">
        <v>0</v>
      </c>
      <c r="P47" s="181">
        <v>600000</v>
      </c>
      <c r="Q47" s="182"/>
      <c r="R47" s="182"/>
      <c r="S47" s="182"/>
      <c r="T47" s="182"/>
      <c r="U47" s="182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idden="1">
      <c r="A48" s="842"/>
      <c r="B48" s="845"/>
      <c r="C48" s="190" t="s">
        <v>1</v>
      </c>
      <c r="D48" s="180">
        <f>E48+M48</f>
        <v>0</v>
      </c>
      <c r="E48" s="181">
        <f>F48+I48+J48+K48+L48</f>
        <v>0</v>
      </c>
      <c r="F48" s="181">
        <f>G48+H48</f>
        <v>0</v>
      </c>
      <c r="G48" s="181"/>
      <c r="H48" s="181"/>
      <c r="I48" s="181"/>
      <c r="J48" s="181"/>
      <c r="K48" s="181"/>
      <c r="L48" s="181"/>
      <c r="M48" s="181">
        <f>N48+P48</f>
        <v>0</v>
      </c>
      <c r="N48" s="181"/>
      <c r="O48" s="181"/>
      <c r="P48" s="181"/>
      <c r="Q48" s="182"/>
      <c r="R48" s="182"/>
      <c r="S48" s="182"/>
      <c r="T48" s="182"/>
      <c r="U48" s="182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hidden="1">
      <c r="A49" s="843"/>
      <c r="B49" s="846"/>
      <c r="C49" s="190" t="s">
        <v>2</v>
      </c>
      <c r="D49" s="180">
        <f>D47+D48</f>
        <v>600000</v>
      </c>
      <c r="E49" s="181">
        <f t="shared" ref="E49:P49" si="15">E47+E48</f>
        <v>0</v>
      </c>
      <c r="F49" s="181">
        <f t="shared" si="15"/>
        <v>0</v>
      </c>
      <c r="G49" s="181">
        <f t="shared" si="15"/>
        <v>0</v>
      </c>
      <c r="H49" s="181">
        <f t="shared" si="15"/>
        <v>0</v>
      </c>
      <c r="I49" s="181">
        <f t="shared" si="15"/>
        <v>0</v>
      </c>
      <c r="J49" s="181">
        <f t="shared" si="15"/>
        <v>0</v>
      </c>
      <c r="K49" s="181">
        <f t="shared" si="15"/>
        <v>0</v>
      </c>
      <c r="L49" s="181">
        <f t="shared" si="15"/>
        <v>0</v>
      </c>
      <c r="M49" s="181">
        <f t="shared" si="15"/>
        <v>600000</v>
      </c>
      <c r="N49" s="181">
        <f t="shared" si="15"/>
        <v>0</v>
      </c>
      <c r="O49" s="181">
        <f t="shared" si="15"/>
        <v>0</v>
      </c>
      <c r="P49" s="181">
        <f t="shared" si="15"/>
        <v>600000</v>
      </c>
      <c r="Q49" s="182"/>
      <c r="R49" s="182"/>
      <c r="S49" s="182"/>
      <c r="T49" s="182"/>
      <c r="U49" s="182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>
      <c r="A50" s="841" t="s">
        <v>192</v>
      </c>
      <c r="B50" s="844" t="s">
        <v>193</v>
      </c>
      <c r="C50" s="190" t="s">
        <v>0</v>
      </c>
      <c r="D50" s="180">
        <f>E50+M50</f>
        <v>17644212</v>
      </c>
      <c r="E50" s="181">
        <f>F50+I50+J50+K50+L50</f>
        <v>17644212</v>
      </c>
      <c r="F50" s="181">
        <f>G50+H50</f>
        <v>20000</v>
      </c>
      <c r="G50" s="181">
        <v>5000</v>
      </c>
      <c r="H50" s="181">
        <f>17644211-17629211</f>
        <v>15000</v>
      </c>
      <c r="I50" s="181">
        <v>0</v>
      </c>
      <c r="J50" s="181">
        <v>0</v>
      </c>
      <c r="K50" s="181">
        <v>17624212</v>
      </c>
      <c r="L50" s="181">
        <v>0</v>
      </c>
      <c r="M50" s="181">
        <f>N50+P50</f>
        <v>0</v>
      </c>
      <c r="N50" s="181">
        <v>0</v>
      </c>
      <c r="O50" s="181">
        <v>0</v>
      </c>
      <c r="P50" s="181">
        <v>0</v>
      </c>
      <c r="Q50" s="182"/>
      <c r="R50" s="182"/>
      <c r="S50" s="182"/>
      <c r="T50" s="182"/>
      <c r="U50" s="182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  <c r="IV50" s="148"/>
    </row>
    <row r="51" spans="1:256">
      <c r="A51" s="842"/>
      <c r="B51" s="845"/>
      <c r="C51" s="190" t="s">
        <v>1</v>
      </c>
      <c r="D51" s="180">
        <f>E51+M51</f>
        <v>0</v>
      </c>
      <c r="E51" s="181">
        <f>F51+I51+J51+K51+L51</f>
        <v>-37000</v>
      </c>
      <c r="F51" s="181">
        <f>G51+H51</f>
        <v>0</v>
      </c>
      <c r="G51" s="181"/>
      <c r="H51" s="181"/>
      <c r="I51" s="181"/>
      <c r="J51" s="181"/>
      <c r="K51" s="181">
        <f>-33104-3896</f>
        <v>-37000</v>
      </c>
      <c r="L51" s="181"/>
      <c r="M51" s="181">
        <f>N51+P51</f>
        <v>37000</v>
      </c>
      <c r="N51" s="181">
        <f>33104+3896</f>
        <v>37000</v>
      </c>
      <c r="O51" s="181">
        <v>37000</v>
      </c>
      <c r="P51" s="181"/>
      <c r="Q51" s="182"/>
      <c r="R51" s="182"/>
      <c r="S51" s="182"/>
      <c r="T51" s="182"/>
      <c r="U51" s="182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  <c r="IV51" s="148"/>
    </row>
    <row r="52" spans="1:256">
      <c r="A52" s="843"/>
      <c r="B52" s="846"/>
      <c r="C52" s="190" t="s">
        <v>2</v>
      </c>
      <c r="D52" s="180">
        <f>D50+D51</f>
        <v>17644212</v>
      </c>
      <c r="E52" s="181">
        <f t="shared" ref="E52:P52" si="16">E50+E51</f>
        <v>17607212</v>
      </c>
      <c r="F52" s="181">
        <f t="shared" si="16"/>
        <v>20000</v>
      </c>
      <c r="G52" s="181">
        <f t="shared" si="16"/>
        <v>5000</v>
      </c>
      <c r="H52" s="181">
        <f t="shared" si="16"/>
        <v>15000</v>
      </c>
      <c r="I52" s="181">
        <f t="shared" si="16"/>
        <v>0</v>
      </c>
      <c r="J52" s="181">
        <f t="shared" si="16"/>
        <v>0</v>
      </c>
      <c r="K52" s="181">
        <f t="shared" si="16"/>
        <v>17587212</v>
      </c>
      <c r="L52" s="181">
        <f t="shared" si="16"/>
        <v>0</v>
      </c>
      <c r="M52" s="181">
        <f t="shared" si="16"/>
        <v>37000</v>
      </c>
      <c r="N52" s="181">
        <f t="shared" si="16"/>
        <v>37000</v>
      </c>
      <c r="O52" s="181">
        <f t="shared" si="16"/>
        <v>37000</v>
      </c>
      <c r="P52" s="181">
        <f t="shared" si="16"/>
        <v>0</v>
      </c>
      <c r="Q52" s="182"/>
      <c r="R52" s="182"/>
      <c r="S52" s="182"/>
      <c r="T52" s="182"/>
      <c r="U52" s="182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hidden="1">
      <c r="A53" s="841" t="s">
        <v>194</v>
      </c>
      <c r="B53" s="844" t="s">
        <v>108</v>
      </c>
      <c r="C53" s="190" t="s">
        <v>0</v>
      </c>
      <c r="D53" s="180">
        <f>E53+M53</f>
        <v>179942</v>
      </c>
      <c r="E53" s="181">
        <f>F53+I53+J53+K53+L53</f>
        <v>179942</v>
      </c>
      <c r="F53" s="181">
        <f>G53+H53</f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179942</v>
      </c>
      <c r="L53" s="181">
        <v>0</v>
      </c>
      <c r="M53" s="181">
        <f>N53+P53</f>
        <v>0</v>
      </c>
      <c r="N53" s="181">
        <v>0</v>
      </c>
      <c r="O53" s="181">
        <v>0</v>
      </c>
      <c r="P53" s="181">
        <v>0</v>
      </c>
      <c r="Q53" s="182"/>
      <c r="R53" s="182"/>
      <c r="S53" s="182"/>
      <c r="T53" s="182"/>
      <c r="U53" s="182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</row>
    <row r="54" spans="1:256" hidden="1">
      <c r="A54" s="842"/>
      <c r="B54" s="845"/>
      <c r="C54" s="190" t="s">
        <v>1</v>
      </c>
      <c r="D54" s="180">
        <f>E54+M54</f>
        <v>0</v>
      </c>
      <c r="E54" s="181">
        <f>F54+I54+J54+K54+L54</f>
        <v>0</v>
      </c>
      <c r="F54" s="181">
        <f>G54+H54</f>
        <v>0</v>
      </c>
      <c r="G54" s="181"/>
      <c r="H54" s="181"/>
      <c r="I54" s="181"/>
      <c r="J54" s="181"/>
      <c r="K54" s="181"/>
      <c r="L54" s="181"/>
      <c r="M54" s="181">
        <f>N54+P54</f>
        <v>0</v>
      </c>
      <c r="N54" s="181"/>
      <c r="O54" s="181"/>
      <c r="P54" s="181"/>
      <c r="Q54" s="182"/>
      <c r="R54" s="182"/>
      <c r="S54" s="182"/>
      <c r="T54" s="182"/>
      <c r="U54" s="182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</row>
    <row r="55" spans="1:256" hidden="1">
      <c r="A55" s="843"/>
      <c r="B55" s="846"/>
      <c r="C55" s="190" t="s">
        <v>2</v>
      </c>
      <c r="D55" s="180">
        <f>D53+D54</f>
        <v>179942</v>
      </c>
      <c r="E55" s="181">
        <f t="shared" ref="E55:P55" si="17">E53+E54</f>
        <v>179942</v>
      </c>
      <c r="F55" s="181">
        <f t="shared" si="17"/>
        <v>0</v>
      </c>
      <c r="G55" s="181">
        <f t="shared" si="17"/>
        <v>0</v>
      </c>
      <c r="H55" s="181">
        <f t="shared" si="17"/>
        <v>0</v>
      </c>
      <c r="I55" s="181">
        <f t="shared" si="17"/>
        <v>0</v>
      </c>
      <c r="J55" s="181">
        <f t="shared" si="17"/>
        <v>0</v>
      </c>
      <c r="K55" s="181">
        <f t="shared" si="17"/>
        <v>179942</v>
      </c>
      <c r="L55" s="181">
        <f t="shared" si="17"/>
        <v>0</v>
      </c>
      <c r="M55" s="181">
        <f t="shared" si="17"/>
        <v>0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182"/>
      <c r="R55" s="182"/>
      <c r="S55" s="182"/>
      <c r="T55" s="182"/>
      <c r="U55" s="182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  <c r="IV55" s="148"/>
    </row>
    <row r="56" spans="1:256" ht="15">
      <c r="A56" s="835" t="s">
        <v>45</v>
      </c>
      <c r="B56" s="838" t="s">
        <v>46</v>
      </c>
      <c r="C56" s="183" t="s">
        <v>0</v>
      </c>
      <c r="D56" s="191">
        <f>D59+D65+D71+D86+D74+D68+D83+D77+D80+D62</f>
        <v>817607698</v>
      </c>
      <c r="E56" s="175">
        <f>E59+E65+E71+E86+E74+E68+E83+E77+E80+E62</f>
        <v>360141519</v>
      </c>
      <c r="F56" s="175">
        <f t="shared" ref="F56:P57" si="18">F59+F65+F71+F86+F74+F68+F83+F77+F80+F62</f>
        <v>68042073</v>
      </c>
      <c r="G56" s="175">
        <f t="shared" si="18"/>
        <v>424000</v>
      </c>
      <c r="H56" s="175">
        <f t="shared" si="18"/>
        <v>67618073</v>
      </c>
      <c r="I56" s="175">
        <f t="shared" si="18"/>
        <v>291102065</v>
      </c>
      <c r="J56" s="175">
        <f t="shared" si="18"/>
        <v>0</v>
      </c>
      <c r="K56" s="175">
        <f t="shared" si="18"/>
        <v>997381</v>
      </c>
      <c r="L56" s="175">
        <f t="shared" si="18"/>
        <v>0</v>
      </c>
      <c r="M56" s="175">
        <f t="shared" si="18"/>
        <v>457466179</v>
      </c>
      <c r="N56" s="175">
        <f t="shared" si="18"/>
        <v>445966201</v>
      </c>
      <c r="O56" s="175">
        <f t="shared" si="18"/>
        <v>86787009</v>
      </c>
      <c r="P56" s="175">
        <f t="shared" si="18"/>
        <v>11499978</v>
      </c>
      <c r="Q56" s="188"/>
      <c r="R56" s="188"/>
      <c r="S56" s="188"/>
      <c r="T56" s="188"/>
      <c r="U56" s="188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  <c r="GV56" s="189"/>
      <c r="GW56" s="189"/>
      <c r="GX56" s="189"/>
      <c r="GY56" s="189"/>
      <c r="GZ56" s="189"/>
      <c r="HA56" s="189"/>
      <c r="HB56" s="189"/>
      <c r="HC56" s="189"/>
      <c r="HD56" s="189"/>
      <c r="HE56" s="189"/>
      <c r="HF56" s="189"/>
      <c r="HG56" s="189"/>
      <c r="HH56" s="189"/>
      <c r="HI56" s="189"/>
      <c r="HJ56" s="189"/>
      <c r="HK56" s="189"/>
      <c r="HL56" s="189"/>
      <c r="HM56" s="189"/>
      <c r="HN56" s="189"/>
      <c r="HO56" s="189"/>
      <c r="HP56" s="189"/>
      <c r="HQ56" s="189"/>
      <c r="HR56" s="189"/>
      <c r="HS56" s="189"/>
      <c r="HT56" s="189"/>
      <c r="HU56" s="189"/>
      <c r="HV56" s="189"/>
      <c r="HW56" s="189"/>
      <c r="HX56" s="189"/>
      <c r="HY56" s="189"/>
      <c r="HZ56" s="189"/>
      <c r="IA56" s="189"/>
      <c r="IB56" s="189"/>
      <c r="IC56" s="189"/>
      <c r="ID56" s="189"/>
      <c r="IE56" s="189"/>
      <c r="IF56" s="189"/>
      <c r="IG56" s="189"/>
      <c r="IH56" s="189"/>
      <c r="II56" s="189"/>
      <c r="IJ56" s="189"/>
      <c r="IK56" s="189"/>
      <c r="IL56" s="189"/>
      <c r="IM56" s="189"/>
      <c r="IN56" s="189"/>
      <c r="IO56" s="189"/>
      <c r="IP56" s="189"/>
      <c r="IQ56" s="189"/>
      <c r="IR56" s="189"/>
      <c r="IS56" s="189"/>
      <c r="IT56" s="189"/>
      <c r="IU56" s="189"/>
      <c r="IV56" s="189"/>
    </row>
    <row r="57" spans="1:256" ht="15">
      <c r="A57" s="836"/>
      <c r="B57" s="839"/>
      <c r="C57" s="183" t="s">
        <v>1</v>
      </c>
      <c r="D57" s="191">
        <f>D60+D66+D72+D87+D75+D69+D84+D78+D81+D63</f>
        <v>13497354</v>
      </c>
      <c r="E57" s="175">
        <f>E60+E66+E72+E87+E75+E69+E84+E78+E81+E63</f>
        <v>15471940</v>
      </c>
      <c r="F57" s="175">
        <f t="shared" si="18"/>
        <v>14822953</v>
      </c>
      <c r="G57" s="175">
        <f t="shared" si="18"/>
        <v>511400</v>
      </c>
      <c r="H57" s="175">
        <f t="shared" si="18"/>
        <v>14311553</v>
      </c>
      <c r="I57" s="175">
        <f t="shared" si="18"/>
        <v>648987</v>
      </c>
      <c r="J57" s="175">
        <f t="shared" si="18"/>
        <v>0</v>
      </c>
      <c r="K57" s="175">
        <f t="shared" si="18"/>
        <v>0</v>
      </c>
      <c r="L57" s="175">
        <f t="shared" si="18"/>
        <v>0</v>
      </c>
      <c r="M57" s="175">
        <f t="shared" si="18"/>
        <v>-1974586</v>
      </c>
      <c r="N57" s="175">
        <f t="shared" si="18"/>
        <v>-1974586</v>
      </c>
      <c r="O57" s="175">
        <f t="shared" si="18"/>
        <v>0</v>
      </c>
      <c r="P57" s="175">
        <f t="shared" si="18"/>
        <v>0</v>
      </c>
      <c r="Q57" s="188"/>
      <c r="R57" s="188"/>
      <c r="S57" s="188"/>
      <c r="T57" s="188"/>
      <c r="U57" s="188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189"/>
      <c r="GH57" s="189"/>
      <c r="GI57" s="189"/>
      <c r="GJ57" s="189"/>
      <c r="GK57" s="189"/>
      <c r="GL57" s="189"/>
      <c r="GM57" s="189"/>
      <c r="GN57" s="189"/>
      <c r="GO57" s="189"/>
      <c r="GP57" s="189"/>
      <c r="GQ57" s="189"/>
      <c r="GR57" s="189"/>
      <c r="GS57" s="189"/>
      <c r="GT57" s="189"/>
      <c r="GU57" s="189"/>
      <c r="GV57" s="189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189"/>
      <c r="HK57" s="189"/>
      <c r="HL57" s="189"/>
      <c r="HM57" s="189"/>
      <c r="HN57" s="189"/>
      <c r="HO57" s="189"/>
      <c r="HP57" s="189"/>
      <c r="HQ57" s="189"/>
      <c r="HR57" s="189"/>
      <c r="HS57" s="189"/>
      <c r="HT57" s="189"/>
      <c r="HU57" s="189"/>
      <c r="HV57" s="189"/>
      <c r="HW57" s="189"/>
      <c r="HX57" s="189"/>
      <c r="HY57" s="189"/>
      <c r="HZ57" s="189"/>
      <c r="IA57" s="189"/>
      <c r="IB57" s="189"/>
      <c r="IC57" s="189"/>
      <c r="ID57" s="189"/>
      <c r="IE57" s="189"/>
      <c r="IF57" s="189"/>
      <c r="IG57" s="189"/>
      <c r="IH57" s="189"/>
      <c r="II57" s="189"/>
      <c r="IJ57" s="189"/>
      <c r="IK57" s="189"/>
      <c r="IL57" s="189"/>
      <c r="IM57" s="189"/>
      <c r="IN57" s="189"/>
      <c r="IO57" s="189"/>
      <c r="IP57" s="189"/>
      <c r="IQ57" s="189"/>
      <c r="IR57" s="189"/>
      <c r="IS57" s="189"/>
      <c r="IT57" s="189"/>
      <c r="IU57" s="189"/>
      <c r="IV57" s="189"/>
    </row>
    <row r="58" spans="1:256" ht="15">
      <c r="A58" s="837"/>
      <c r="B58" s="840"/>
      <c r="C58" s="183" t="s">
        <v>2</v>
      </c>
      <c r="D58" s="191">
        <f>D56+D57</f>
        <v>831105052</v>
      </c>
      <c r="E58" s="175">
        <f t="shared" ref="E58:P58" si="19">E56+E57</f>
        <v>375613459</v>
      </c>
      <c r="F58" s="175">
        <f t="shared" si="19"/>
        <v>82865026</v>
      </c>
      <c r="G58" s="175">
        <f t="shared" si="19"/>
        <v>935400</v>
      </c>
      <c r="H58" s="175">
        <f t="shared" si="19"/>
        <v>81929626</v>
      </c>
      <c r="I58" s="175">
        <f t="shared" si="19"/>
        <v>291751052</v>
      </c>
      <c r="J58" s="175">
        <f t="shared" si="19"/>
        <v>0</v>
      </c>
      <c r="K58" s="175">
        <f t="shared" si="19"/>
        <v>997381</v>
      </c>
      <c r="L58" s="175">
        <f t="shared" si="19"/>
        <v>0</v>
      </c>
      <c r="M58" s="175">
        <f t="shared" si="19"/>
        <v>455491593</v>
      </c>
      <c r="N58" s="175">
        <f t="shared" si="19"/>
        <v>443991615</v>
      </c>
      <c r="O58" s="175">
        <f t="shared" si="19"/>
        <v>86787009</v>
      </c>
      <c r="P58" s="175">
        <f t="shared" si="19"/>
        <v>11499978</v>
      </c>
      <c r="Q58" s="188"/>
      <c r="R58" s="188"/>
      <c r="S58" s="188"/>
      <c r="T58" s="188"/>
      <c r="U58" s="188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  <c r="IB58" s="189"/>
      <c r="IC58" s="189"/>
      <c r="ID58" s="189"/>
      <c r="IE58" s="189"/>
      <c r="IF58" s="189"/>
      <c r="IG58" s="189"/>
      <c r="IH58" s="189"/>
      <c r="II58" s="189"/>
      <c r="IJ58" s="189"/>
      <c r="IK58" s="189"/>
      <c r="IL58" s="189"/>
      <c r="IM58" s="189"/>
      <c r="IN58" s="189"/>
      <c r="IO58" s="189"/>
      <c r="IP58" s="189"/>
      <c r="IQ58" s="189"/>
      <c r="IR58" s="189"/>
      <c r="IS58" s="189"/>
      <c r="IT58" s="189"/>
      <c r="IU58" s="189"/>
      <c r="IV58" s="189"/>
    </row>
    <row r="59" spans="1:256" hidden="1">
      <c r="A59" s="841" t="s">
        <v>195</v>
      </c>
      <c r="B59" s="844" t="s">
        <v>196</v>
      </c>
      <c r="C59" s="178" t="s">
        <v>0</v>
      </c>
      <c r="D59" s="180">
        <f>E59+M59</f>
        <v>227035753</v>
      </c>
      <c r="E59" s="181">
        <f>F59+I59+J59+K59+L59</f>
        <v>220160753</v>
      </c>
      <c r="F59" s="181">
        <f>G59+H59</f>
        <v>289138</v>
      </c>
      <c r="G59" s="181">
        <v>0</v>
      </c>
      <c r="H59" s="181">
        <v>289138</v>
      </c>
      <c r="I59" s="181">
        <v>219871615</v>
      </c>
      <c r="J59" s="181">
        <v>0</v>
      </c>
      <c r="K59" s="181">
        <v>0</v>
      </c>
      <c r="L59" s="181">
        <v>0</v>
      </c>
      <c r="M59" s="181">
        <f>N59+P59</f>
        <v>6875000</v>
      </c>
      <c r="N59" s="181">
        <v>6875000</v>
      </c>
      <c r="O59" s="181">
        <v>0</v>
      </c>
      <c r="P59" s="181">
        <v>0</v>
      </c>
      <c r="Q59" s="182"/>
      <c r="R59" s="182"/>
      <c r="S59" s="182"/>
      <c r="T59" s="182"/>
      <c r="U59" s="182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  <c r="IR59" s="148"/>
      <c r="IS59" s="148"/>
      <c r="IT59" s="148"/>
      <c r="IU59" s="148"/>
      <c r="IV59" s="148"/>
    </row>
    <row r="60" spans="1:256" hidden="1">
      <c r="A60" s="842"/>
      <c r="B60" s="845"/>
      <c r="C60" s="178" t="s">
        <v>1</v>
      </c>
      <c r="D60" s="180">
        <f>E60+M60</f>
        <v>0</v>
      </c>
      <c r="E60" s="181">
        <f>F60+I60+J60+K60+L60</f>
        <v>0</v>
      </c>
      <c r="F60" s="181">
        <f>G60+H60</f>
        <v>0</v>
      </c>
      <c r="G60" s="181"/>
      <c r="H60" s="181"/>
      <c r="I60" s="181"/>
      <c r="J60" s="181"/>
      <c r="K60" s="181"/>
      <c r="L60" s="181"/>
      <c r="M60" s="181">
        <f>N60+P60</f>
        <v>0</v>
      </c>
      <c r="N60" s="181"/>
      <c r="O60" s="181"/>
      <c r="P60" s="181"/>
      <c r="Q60" s="182"/>
      <c r="R60" s="182"/>
      <c r="S60" s="182"/>
      <c r="T60" s="182"/>
      <c r="U60" s="182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  <c r="IV60" s="148"/>
    </row>
    <row r="61" spans="1:256" hidden="1">
      <c r="A61" s="843"/>
      <c r="B61" s="846"/>
      <c r="C61" s="178" t="s">
        <v>2</v>
      </c>
      <c r="D61" s="180">
        <f>D59+D60</f>
        <v>227035753</v>
      </c>
      <c r="E61" s="181">
        <f t="shared" ref="E61:P61" si="20">E59+E60</f>
        <v>220160753</v>
      </c>
      <c r="F61" s="181">
        <f t="shared" si="20"/>
        <v>289138</v>
      </c>
      <c r="G61" s="181">
        <f t="shared" si="20"/>
        <v>0</v>
      </c>
      <c r="H61" s="181">
        <f t="shared" si="20"/>
        <v>289138</v>
      </c>
      <c r="I61" s="181">
        <f t="shared" si="20"/>
        <v>219871615</v>
      </c>
      <c r="J61" s="181">
        <f t="shared" si="20"/>
        <v>0</v>
      </c>
      <c r="K61" s="181">
        <f t="shared" si="20"/>
        <v>0</v>
      </c>
      <c r="L61" s="181">
        <f t="shared" si="20"/>
        <v>0</v>
      </c>
      <c r="M61" s="181">
        <f t="shared" si="20"/>
        <v>6875000</v>
      </c>
      <c r="N61" s="181">
        <f t="shared" si="20"/>
        <v>6875000</v>
      </c>
      <c r="O61" s="181">
        <f t="shared" si="20"/>
        <v>0</v>
      </c>
      <c r="P61" s="181">
        <f t="shared" si="20"/>
        <v>0</v>
      </c>
      <c r="Q61" s="182"/>
      <c r="R61" s="182"/>
      <c r="S61" s="182"/>
      <c r="T61" s="182"/>
      <c r="U61" s="182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  <c r="IR61" s="148"/>
      <c r="IS61" s="148"/>
      <c r="IT61" s="148"/>
      <c r="IU61" s="148"/>
      <c r="IV61" s="148"/>
    </row>
    <row r="62" spans="1:256" hidden="1">
      <c r="A62" s="841">
        <v>60002</v>
      </c>
      <c r="B62" s="844" t="s">
        <v>197</v>
      </c>
      <c r="C62" s="178" t="s">
        <v>0</v>
      </c>
      <c r="D62" s="180">
        <f>E62+M62</f>
        <v>200000</v>
      </c>
      <c r="E62" s="181">
        <f>F62+I62+J62+K62+L62</f>
        <v>0</v>
      </c>
      <c r="F62" s="181">
        <f>G62+H62</f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f>N62+P62</f>
        <v>200000</v>
      </c>
      <c r="N62" s="181">
        <v>200000</v>
      </c>
      <c r="O62" s="181">
        <v>0</v>
      </c>
      <c r="P62" s="181">
        <v>0</v>
      </c>
      <c r="Q62" s="182"/>
      <c r="R62" s="182"/>
      <c r="S62" s="182"/>
      <c r="T62" s="182"/>
      <c r="U62" s="182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  <row r="63" spans="1:256" hidden="1">
      <c r="A63" s="842"/>
      <c r="B63" s="845"/>
      <c r="C63" s="178" t="s">
        <v>1</v>
      </c>
      <c r="D63" s="180">
        <f>E63+M63</f>
        <v>0</v>
      </c>
      <c r="E63" s="181">
        <f>F63+I63+J63+K63+L63</f>
        <v>0</v>
      </c>
      <c r="F63" s="181">
        <f>G63+H63</f>
        <v>0</v>
      </c>
      <c r="G63" s="181"/>
      <c r="H63" s="181"/>
      <c r="I63" s="181"/>
      <c r="J63" s="181"/>
      <c r="K63" s="181"/>
      <c r="L63" s="181"/>
      <c r="M63" s="181">
        <f>N63+P63</f>
        <v>0</v>
      </c>
      <c r="N63" s="181"/>
      <c r="O63" s="181"/>
      <c r="P63" s="181"/>
      <c r="Q63" s="182"/>
      <c r="R63" s="182"/>
      <c r="S63" s="182"/>
      <c r="T63" s="182"/>
      <c r="U63" s="182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  <c r="IR63" s="148"/>
      <c r="IS63" s="148"/>
      <c r="IT63" s="148"/>
      <c r="IU63" s="148"/>
      <c r="IV63" s="148"/>
    </row>
    <row r="64" spans="1:256" hidden="1">
      <c r="A64" s="843"/>
      <c r="B64" s="846"/>
      <c r="C64" s="178" t="s">
        <v>2</v>
      </c>
      <c r="D64" s="180">
        <f>D62+D63</f>
        <v>200000</v>
      </c>
      <c r="E64" s="181">
        <f t="shared" ref="E64:P64" si="21">E62+E63</f>
        <v>0</v>
      </c>
      <c r="F64" s="181">
        <f t="shared" si="21"/>
        <v>0</v>
      </c>
      <c r="G64" s="181">
        <f t="shared" si="21"/>
        <v>0</v>
      </c>
      <c r="H64" s="181">
        <f t="shared" si="21"/>
        <v>0</v>
      </c>
      <c r="I64" s="181">
        <f t="shared" si="21"/>
        <v>0</v>
      </c>
      <c r="J64" s="181">
        <f t="shared" si="21"/>
        <v>0</v>
      </c>
      <c r="K64" s="181">
        <f t="shared" si="21"/>
        <v>0</v>
      </c>
      <c r="L64" s="181">
        <f t="shared" si="21"/>
        <v>0</v>
      </c>
      <c r="M64" s="181">
        <f t="shared" si="21"/>
        <v>200000</v>
      </c>
      <c r="N64" s="181">
        <f t="shared" si="21"/>
        <v>200000</v>
      </c>
      <c r="O64" s="181">
        <f t="shared" si="21"/>
        <v>0</v>
      </c>
      <c r="P64" s="181">
        <f t="shared" si="21"/>
        <v>0</v>
      </c>
      <c r="Q64" s="182"/>
      <c r="R64" s="182"/>
      <c r="S64" s="182"/>
      <c r="T64" s="182"/>
      <c r="U64" s="182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148"/>
      <c r="IV64" s="148"/>
    </row>
    <row r="65" spans="1:256">
      <c r="A65" s="841" t="s">
        <v>198</v>
      </c>
      <c r="B65" s="844" t="s">
        <v>120</v>
      </c>
      <c r="C65" s="178" t="s">
        <v>0</v>
      </c>
      <c r="D65" s="180">
        <f>E65+M65</f>
        <v>43421900</v>
      </c>
      <c r="E65" s="181">
        <f>F65+I65+J65+K65+L65</f>
        <v>43421900</v>
      </c>
      <c r="F65" s="181">
        <f>G65+H65</f>
        <v>32900</v>
      </c>
      <c r="G65" s="181">
        <v>0</v>
      </c>
      <c r="H65" s="181">
        <v>32900</v>
      </c>
      <c r="I65" s="181">
        <v>43389000</v>
      </c>
      <c r="J65" s="181">
        <v>0</v>
      </c>
      <c r="K65" s="181">
        <v>0</v>
      </c>
      <c r="L65" s="181">
        <v>0</v>
      </c>
      <c r="M65" s="181">
        <f>N65+P65</f>
        <v>0</v>
      </c>
      <c r="N65" s="181">
        <v>0</v>
      </c>
      <c r="O65" s="181">
        <v>0</v>
      </c>
      <c r="P65" s="181">
        <v>0</v>
      </c>
      <c r="Q65" s="182"/>
      <c r="R65" s="182"/>
      <c r="S65" s="182"/>
      <c r="T65" s="182"/>
      <c r="U65" s="182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  <c r="IR65" s="148"/>
      <c r="IS65" s="148"/>
      <c r="IT65" s="148"/>
      <c r="IU65" s="148"/>
      <c r="IV65" s="148"/>
    </row>
    <row r="66" spans="1:256">
      <c r="A66" s="842"/>
      <c r="B66" s="845"/>
      <c r="C66" s="178" t="s">
        <v>1</v>
      </c>
      <c r="D66" s="180">
        <f>E66+M66</f>
        <v>206440</v>
      </c>
      <c r="E66" s="181">
        <f>F66+I66+J66+K66+L66</f>
        <v>206440</v>
      </c>
      <c r="F66" s="181">
        <f>G66+H66</f>
        <v>57453</v>
      </c>
      <c r="G66" s="181"/>
      <c r="H66" s="181">
        <v>57453</v>
      </c>
      <c r="I66" s="181">
        <v>148987</v>
      </c>
      <c r="J66" s="181"/>
      <c r="K66" s="181"/>
      <c r="L66" s="181"/>
      <c r="M66" s="181">
        <f>N66+P66</f>
        <v>0</v>
      </c>
      <c r="N66" s="181"/>
      <c r="O66" s="181"/>
      <c r="P66" s="181"/>
      <c r="Q66" s="182"/>
      <c r="R66" s="182"/>
      <c r="S66" s="182"/>
      <c r="T66" s="182"/>
      <c r="U66" s="182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148"/>
      <c r="IV66" s="148"/>
    </row>
    <row r="67" spans="1:256">
      <c r="A67" s="843"/>
      <c r="B67" s="846"/>
      <c r="C67" s="178" t="s">
        <v>2</v>
      </c>
      <c r="D67" s="180">
        <f>D65+D66</f>
        <v>43628340</v>
      </c>
      <c r="E67" s="181">
        <f t="shared" ref="E67:P67" si="22">E65+E66</f>
        <v>43628340</v>
      </c>
      <c r="F67" s="181">
        <f t="shared" si="22"/>
        <v>90353</v>
      </c>
      <c r="G67" s="181">
        <f t="shared" si="22"/>
        <v>0</v>
      </c>
      <c r="H67" s="181">
        <f t="shared" si="22"/>
        <v>90353</v>
      </c>
      <c r="I67" s="181">
        <f t="shared" si="22"/>
        <v>43537987</v>
      </c>
      <c r="J67" s="181">
        <f t="shared" si="22"/>
        <v>0</v>
      </c>
      <c r="K67" s="181">
        <f t="shared" si="22"/>
        <v>0</v>
      </c>
      <c r="L67" s="181">
        <f t="shared" si="22"/>
        <v>0</v>
      </c>
      <c r="M67" s="181">
        <f t="shared" si="22"/>
        <v>0</v>
      </c>
      <c r="N67" s="181">
        <f t="shared" si="22"/>
        <v>0</v>
      </c>
      <c r="O67" s="181">
        <f t="shared" si="22"/>
        <v>0</v>
      </c>
      <c r="P67" s="181">
        <f t="shared" si="22"/>
        <v>0</v>
      </c>
      <c r="Q67" s="182"/>
      <c r="R67" s="182"/>
      <c r="S67" s="182"/>
      <c r="T67" s="182"/>
      <c r="U67" s="182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  <c r="IR67" s="148"/>
      <c r="IS67" s="148"/>
      <c r="IT67" s="148"/>
      <c r="IU67" s="148"/>
      <c r="IV67" s="148"/>
    </row>
    <row r="68" spans="1:256" hidden="1">
      <c r="A68" s="841">
        <v>60004</v>
      </c>
      <c r="B68" s="844" t="s">
        <v>199</v>
      </c>
      <c r="C68" s="178" t="s">
        <v>0</v>
      </c>
      <c r="D68" s="180">
        <f>E68+M68</f>
        <v>27841450</v>
      </c>
      <c r="E68" s="181">
        <f>F68+I68+J68+K68+L68</f>
        <v>27841450</v>
      </c>
      <c r="F68" s="181">
        <f>G68+H68</f>
        <v>50000</v>
      </c>
      <c r="G68" s="181">
        <v>0</v>
      </c>
      <c r="H68" s="181">
        <v>50000</v>
      </c>
      <c r="I68" s="181">
        <v>27791450</v>
      </c>
      <c r="J68" s="181">
        <v>0</v>
      </c>
      <c r="K68" s="181">
        <v>0</v>
      </c>
      <c r="L68" s="181">
        <v>0</v>
      </c>
      <c r="M68" s="181">
        <f>N68+P68</f>
        <v>0</v>
      </c>
      <c r="N68" s="181">
        <v>0</v>
      </c>
      <c r="O68" s="181">
        <v>0</v>
      </c>
      <c r="P68" s="181">
        <v>0</v>
      </c>
      <c r="Q68" s="182"/>
      <c r="R68" s="182"/>
      <c r="S68" s="182"/>
      <c r="T68" s="182"/>
      <c r="U68" s="182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  <c r="IR68" s="148"/>
      <c r="IS68" s="148"/>
      <c r="IT68" s="148"/>
      <c r="IU68" s="148"/>
      <c r="IV68" s="148"/>
    </row>
    <row r="69" spans="1:256" hidden="1">
      <c r="A69" s="842"/>
      <c r="B69" s="845"/>
      <c r="C69" s="178" t="s">
        <v>1</v>
      </c>
      <c r="D69" s="180">
        <f>E69+M69</f>
        <v>0</v>
      </c>
      <c r="E69" s="181">
        <f>F69+I69+J69+K69+L69</f>
        <v>0</v>
      </c>
      <c r="F69" s="181">
        <f>G69+H69</f>
        <v>0</v>
      </c>
      <c r="G69" s="181"/>
      <c r="H69" s="181"/>
      <c r="I69" s="181"/>
      <c r="J69" s="181"/>
      <c r="K69" s="181"/>
      <c r="L69" s="181"/>
      <c r="M69" s="181">
        <f>N69+P69</f>
        <v>0</v>
      </c>
      <c r="N69" s="181"/>
      <c r="O69" s="181"/>
      <c r="P69" s="181"/>
      <c r="Q69" s="182"/>
      <c r="R69" s="182"/>
      <c r="S69" s="182"/>
      <c r="T69" s="182"/>
      <c r="U69" s="182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  <c r="IV69" s="148"/>
    </row>
    <row r="70" spans="1:256" hidden="1">
      <c r="A70" s="843"/>
      <c r="B70" s="846"/>
      <c r="C70" s="178" t="s">
        <v>2</v>
      </c>
      <c r="D70" s="180">
        <f>D68+D69</f>
        <v>27841450</v>
      </c>
      <c r="E70" s="181">
        <f t="shared" ref="E70:P70" si="23">E68+E69</f>
        <v>27841450</v>
      </c>
      <c r="F70" s="181">
        <f t="shared" si="23"/>
        <v>50000</v>
      </c>
      <c r="G70" s="181">
        <f t="shared" si="23"/>
        <v>0</v>
      </c>
      <c r="H70" s="181">
        <f t="shared" si="23"/>
        <v>50000</v>
      </c>
      <c r="I70" s="181">
        <f t="shared" si="23"/>
        <v>27791450</v>
      </c>
      <c r="J70" s="181">
        <f t="shared" si="23"/>
        <v>0</v>
      </c>
      <c r="K70" s="181">
        <f t="shared" si="23"/>
        <v>0</v>
      </c>
      <c r="L70" s="181">
        <f t="shared" si="23"/>
        <v>0</v>
      </c>
      <c r="M70" s="181">
        <f t="shared" si="23"/>
        <v>0</v>
      </c>
      <c r="N70" s="181">
        <f t="shared" si="23"/>
        <v>0</v>
      </c>
      <c r="O70" s="181">
        <f t="shared" si="23"/>
        <v>0</v>
      </c>
      <c r="P70" s="181">
        <f t="shared" si="23"/>
        <v>0</v>
      </c>
      <c r="Q70" s="182"/>
      <c r="R70" s="182"/>
      <c r="S70" s="182"/>
      <c r="T70" s="182"/>
      <c r="U70" s="182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  <c r="IR70" s="148"/>
      <c r="IS70" s="148"/>
      <c r="IT70" s="148"/>
      <c r="IU70" s="148"/>
      <c r="IV70" s="148"/>
    </row>
    <row r="71" spans="1:256">
      <c r="A71" s="841" t="s">
        <v>200</v>
      </c>
      <c r="B71" s="844" t="s">
        <v>117</v>
      </c>
      <c r="C71" s="178" t="s">
        <v>0</v>
      </c>
      <c r="D71" s="180">
        <f>E71+M71</f>
        <v>475270380</v>
      </c>
      <c r="E71" s="181">
        <f>F71+I71+J71+K71+L71</f>
        <v>67017381</v>
      </c>
      <c r="F71" s="181">
        <f>G71+H71</f>
        <v>66020000</v>
      </c>
      <c r="G71" s="181">
        <v>175000</v>
      </c>
      <c r="H71" s="181">
        <v>65845000</v>
      </c>
      <c r="I71" s="181">
        <v>0</v>
      </c>
      <c r="J71" s="181">
        <v>0</v>
      </c>
      <c r="K71" s="181">
        <v>997381</v>
      </c>
      <c r="L71" s="181">
        <v>0</v>
      </c>
      <c r="M71" s="181">
        <f>N71+P71</f>
        <v>408252999</v>
      </c>
      <c r="N71" s="181">
        <v>408252999</v>
      </c>
      <c r="O71" s="181">
        <v>86787009</v>
      </c>
      <c r="P71" s="181">
        <v>0</v>
      </c>
      <c r="Q71" s="182"/>
      <c r="R71" s="182"/>
      <c r="S71" s="182"/>
      <c r="T71" s="182"/>
      <c r="U71" s="182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  <c r="IR71" s="148"/>
      <c r="IS71" s="148"/>
      <c r="IT71" s="148"/>
      <c r="IU71" s="148"/>
      <c r="IV71" s="148"/>
    </row>
    <row r="72" spans="1:256">
      <c r="A72" s="842"/>
      <c r="B72" s="845"/>
      <c r="C72" s="178" t="s">
        <v>1</v>
      </c>
      <c r="D72" s="180">
        <f>E72+M72</f>
        <v>12867237</v>
      </c>
      <c r="E72" s="181">
        <f>F72+I72+J72+K72+L72</f>
        <v>14765500</v>
      </c>
      <c r="F72" s="181">
        <f>G72+H72</f>
        <v>14765500</v>
      </c>
      <c r="G72" s="181">
        <f>511400</f>
        <v>511400</v>
      </c>
      <c r="H72" s="181">
        <f>3958250+10271150+24700</f>
        <v>14254100</v>
      </c>
      <c r="I72" s="181"/>
      <c r="J72" s="181"/>
      <c r="K72" s="181"/>
      <c r="L72" s="181"/>
      <c r="M72" s="181">
        <f>N72+P72</f>
        <v>-1898263</v>
      </c>
      <c r="N72" s="181">
        <f>-6848087+199824+4750000</f>
        <v>-1898263</v>
      </c>
      <c r="O72" s="181"/>
      <c r="P72" s="181"/>
      <c r="Q72" s="182"/>
      <c r="R72" s="182"/>
      <c r="S72" s="182"/>
      <c r="T72" s="182"/>
      <c r="U72" s="182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48"/>
      <c r="IV72" s="148"/>
    </row>
    <row r="73" spans="1:256">
      <c r="A73" s="843"/>
      <c r="B73" s="846"/>
      <c r="C73" s="178" t="s">
        <v>2</v>
      </c>
      <c r="D73" s="180">
        <f>D71+D72</f>
        <v>488137617</v>
      </c>
      <c r="E73" s="181">
        <f t="shared" ref="E73:P73" si="24">E71+E72</f>
        <v>81782881</v>
      </c>
      <c r="F73" s="181">
        <f t="shared" si="24"/>
        <v>80785500</v>
      </c>
      <c r="G73" s="181">
        <f t="shared" si="24"/>
        <v>686400</v>
      </c>
      <c r="H73" s="181">
        <f t="shared" si="24"/>
        <v>80099100</v>
      </c>
      <c r="I73" s="181">
        <f t="shared" si="24"/>
        <v>0</v>
      </c>
      <c r="J73" s="181">
        <f t="shared" si="24"/>
        <v>0</v>
      </c>
      <c r="K73" s="181">
        <f t="shared" si="24"/>
        <v>997381</v>
      </c>
      <c r="L73" s="181">
        <f t="shared" si="24"/>
        <v>0</v>
      </c>
      <c r="M73" s="181">
        <f t="shared" si="24"/>
        <v>406354736</v>
      </c>
      <c r="N73" s="181">
        <f t="shared" si="24"/>
        <v>406354736</v>
      </c>
      <c r="O73" s="181">
        <f t="shared" si="24"/>
        <v>86787009</v>
      </c>
      <c r="P73" s="181">
        <f t="shared" si="24"/>
        <v>0</v>
      </c>
      <c r="Q73" s="182"/>
      <c r="R73" s="182"/>
      <c r="S73" s="182"/>
      <c r="T73" s="182"/>
      <c r="U73" s="182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  <c r="IR73" s="148"/>
      <c r="IS73" s="148"/>
      <c r="IT73" s="148"/>
      <c r="IU73" s="148"/>
      <c r="IV73" s="148"/>
    </row>
    <row r="74" spans="1:256">
      <c r="A74" s="841" t="s">
        <v>201</v>
      </c>
      <c r="B74" s="844" t="s">
        <v>202</v>
      </c>
      <c r="C74" s="178" t="s">
        <v>0</v>
      </c>
      <c r="D74" s="180">
        <f>E74+M74</f>
        <v>3864000</v>
      </c>
      <c r="E74" s="181">
        <f>F74+I74+J74+K74+L74</f>
        <v>0</v>
      </c>
      <c r="F74" s="181">
        <f>G74+H74</f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f>N74+P74</f>
        <v>3864000</v>
      </c>
      <c r="N74" s="181">
        <v>3864000</v>
      </c>
      <c r="O74" s="181">
        <v>0</v>
      </c>
      <c r="P74" s="181">
        <v>0</v>
      </c>
      <c r="Q74" s="182"/>
      <c r="R74" s="182"/>
      <c r="S74" s="182"/>
      <c r="T74" s="182"/>
      <c r="U74" s="182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  <c r="IO74" s="148"/>
      <c r="IP74" s="148"/>
      <c r="IQ74" s="148"/>
      <c r="IR74" s="148"/>
      <c r="IS74" s="148"/>
      <c r="IT74" s="148"/>
      <c r="IU74" s="148"/>
      <c r="IV74" s="148"/>
    </row>
    <row r="75" spans="1:256">
      <c r="A75" s="842"/>
      <c r="B75" s="845"/>
      <c r="C75" s="178" t="s">
        <v>1</v>
      </c>
      <c r="D75" s="180">
        <f>E75+M75</f>
        <v>500000</v>
      </c>
      <c r="E75" s="181">
        <f>F75+I75+J75+K75+L75</f>
        <v>500000</v>
      </c>
      <c r="F75" s="181">
        <f>G75+H75</f>
        <v>0</v>
      </c>
      <c r="G75" s="181"/>
      <c r="H75" s="181"/>
      <c r="I75" s="181">
        <v>500000</v>
      </c>
      <c r="J75" s="181"/>
      <c r="K75" s="181"/>
      <c r="L75" s="181"/>
      <c r="M75" s="181">
        <f>N75+P75</f>
        <v>0</v>
      </c>
      <c r="N75" s="181"/>
      <c r="O75" s="181"/>
      <c r="P75" s="181"/>
      <c r="Q75" s="182"/>
      <c r="R75" s="182"/>
      <c r="S75" s="182"/>
      <c r="T75" s="182"/>
      <c r="U75" s="182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  <c r="IO75" s="148"/>
      <c r="IP75" s="148"/>
      <c r="IQ75" s="148"/>
      <c r="IR75" s="148"/>
      <c r="IS75" s="148"/>
      <c r="IT75" s="148"/>
      <c r="IU75" s="148"/>
      <c r="IV75" s="148"/>
    </row>
    <row r="76" spans="1:256">
      <c r="A76" s="843"/>
      <c r="B76" s="846"/>
      <c r="C76" s="178" t="s">
        <v>2</v>
      </c>
      <c r="D76" s="180">
        <f>D74+D75</f>
        <v>4364000</v>
      </c>
      <c r="E76" s="181">
        <f t="shared" ref="E76:P76" si="25">E74+E75</f>
        <v>500000</v>
      </c>
      <c r="F76" s="181">
        <f t="shared" si="25"/>
        <v>0</v>
      </c>
      <c r="G76" s="181">
        <f t="shared" si="25"/>
        <v>0</v>
      </c>
      <c r="H76" s="181">
        <f t="shared" si="25"/>
        <v>0</v>
      </c>
      <c r="I76" s="181">
        <f t="shared" si="25"/>
        <v>500000</v>
      </c>
      <c r="J76" s="181">
        <f t="shared" si="25"/>
        <v>0</v>
      </c>
      <c r="K76" s="181">
        <f t="shared" si="25"/>
        <v>0</v>
      </c>
      <c r="L76" s="181">
        <f t="shared" si="25"/>
        <v>0</v>
      </c>
      <c r="M76" s="181">
        <f t="shared" si="25"/>
        <v>3864000</v>
      </c>
      <c r="N76" s="181">
        <f t="shared" si="25"/>
        <v>3864000</v>
      </c>
      <c r="O76" s="181">
        <f t="shared" si="25"/>
        <v>0</v>
      </c>
      <c r="P76" s="181">
        <f t="shared" si="25"/>
        <v>0</v>
      </c>
      <c r="Q76" s="182"/>
      <c r="R76" s="182"/>
      <c r="S76" s="182"/>
      <c r="T76" s="182"/>
      <c r="U76" s="182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  <c r="II76" s="148"/>
      <c r="IJ76" s="148"/>
      <c r="IK76" s="148"/>
      <c r="IL76" s="148"/>
      <c r="IM76" s="148"/>
      <c r="IN76" s="148"/>
      <c r="IO76" s="148"/>
      <c r="IP76" s="148"/>
      <c r="IQ76" s="148"/>
      <c r="IR76" s="148"/>
      <c r="IS76" s="148"/>
      <c r="IT76" s="148"/>
      <c r="IU76" s="148"/>
      <c r="IV76" s="148"/>
    </row>
    <row r="77" spans="1:256">
      <c r="A77" s="841">
        <v>60016</v>
      </c>
      <c r="B77" s="844" t="s">
        <v>203</v>
      </c>
      <c r="C77" s="178" t="s">
        <v>0</v>
      </c>
      <c r="D77" s="180">
        <f>E77+M77</f>
        <v>150000</v>
      </c>
      <c r="E77" s="181">
        <f>F77+I77+J77+K77+L77</f>
        <v>0</v>
      </c>
      <c r="F77" s="181">
        <f>G77+H77</f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f>N77+P77</f>
        <v>150000</v>
      </c>
      <c r="N77" s="181">
        <v>150000</v>
      </c>
      <c r="O77" s="181">
        <v>0</v>
      </c>
      <c r="P77" s="181">
        <v>0</v>
      </c>
      <c r="Q77" s="182"/>
      <c r="R77" s="182"/>
      <c r="S77" s="182"/>
      <c r="T77" s="182"/>
      <c r="U77" s="182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  <c r="II77" s="148"/>
      <c r="IJ77" s="148"/>
      <c r="IK77" s="148"/>
      <c r="IL77" s="148"/>
      <c r="IM77" s="148"/>
      <c r="IN77" s="148"/>
      <c r="IO77" s="148"/>
      <c r="IP77" s="148"/>
      <c r="IQ77" s="148"/>
      <c r="IR77" s="148"/>
      <c r="IS77" s="148"/>
      <c r="IT77" s="148"/>
      <c r="IU77" s="148"/>
      <c r="IV77" s="148"/>
    </row>
    <row r="78" spans="1:256">
      <c r="A78" s="842"/>
      <c r="B78" s="845"/>
      <c r="C78" s="178" t="s">
        <v>1</v>
      </c>
      <c r="D78" s="180">
        <f>E78+M78</f>
        <v>-76323</v>
      </c>
      <c r="E78" s="181">
        <f>F78+I78+J78+K78+L78</f>
        <v>0</v>
      </c>
      <c r="F78" s="181">
        <f>G78+H78</f>
        <v>0</v>
      </c>
      <c r="G78" s="181"/>
      <c r="H78" s="181"/>
      <c r="I78" s="181"/>
      <c r="J78" s="181"/>
      <c r="K78" s="181"/>
      <c r="L78" s="181"/>
      <c r="M78" s="181">
        <f>N78+P78</f>
        <v>-76323</v>
      </c>
      <c r="N78" s="181">
        <v>-76323</v>
      </c>
      <c r="O78" s="181"/>
      <c r="P78" s="181"/>
      <c r="Q78" s="182"/>
      <c r="R78" s="182"/>
      <c r="S78" s="182"/>
      <c r="T78" s="182"/>
      <c r="U78" s="182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  <c r="II78" s="148"/>
      <c r="IJ78" s="148"/>
      <c r="IK78" s="148"/>
      <c r="IL78" s="148"/>
      <c r="IM78" s="148"/>
      <c r="IN78" s="148"/>
      <c r="IO78" s="148"/>
      <c r="IP78" s="148"/>
      <c r="IQ78" s="148"/>
      <c r="IR78" s="148"/>
      <c r="IS78" s="148"/>
      <c r="IT78" s="148"/>
      <c r="IU78" s="148"/>
      <c r="IV78" s="148"/>
    </row>
    <row r="79" spans="1:256">
      <c r="A79" s="843"/>
      <c r="B79" s="846"/>
      <c r="C79" s="178" t="s">
        <v>2</v>
      </c>
      <c r="D79" s="180">
        <f>D77+D78</f>
        <v>73677</v>
      </c>
      <c r="E79" s="181">
        <f t="shared" ref="E79:P79" si="26">E77+E78</f>
        <v>0</v>
      </c>
      <c r="F79" s="181">
        <f t="shared" si="26"/>
        <v>0</v>
      </c>
      <c r="G79" s="181">
        <f t="shared" si="26"/>
        <v>0</v>
      </c>
      <c r="H79" s="181">
        <f t="shared" si="26"/>
        <v>0</v>
      </c>
      <c r="I79" s="181">
        <f t="shared" si="26"/>
        <v>0</v>
      </c>
      <c r="J79" s="181">
        <f t="shared" si="26"/>
        <v>0</v>
      </c>
      <c r="K79" s="181">
        <f t="shared" si="26"/>
        <v>0</v>
      </c>
      <c r="L79" s="181">
        <f t="shared" si="26"/>
        <v>0</v>
      </c>
      <c r="M79" s="181">
        <f t="shared" si="26"/>
        <v>73677</v>
      </c>
      <c r="N79" s="181">
        <f t="shared" si="26"/>
        <v>73677</v>
      </c>
      <c r="O79" s="181">
        <f t="shared" si="26"/>
        <v>0</v>
      </c>
      <c r="P79" s="181">
        <f t="shared" si="26"/>
        <v>0</v>
      </c>
      <c r="Q79" s="182"/>
      <c r="R79" s="182"/>
      <c r="S79" s="182"/>
      <c r="T79" s="182"/>
      <c r="U79" s="182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  <c r="IR79" s="148"/>
      <c r="IS79" s="148"/>
      <c r="IT79" s="148"/>
      <c r="IU79" s="148"/>
      <c r="IV79" s="148"/>
    </row>
    <row r="80" spans="1:256" hidden="1">
      <c r="A80" s="841" t="s">
        <v>204</v>
      </c>
      <c r="B80" s="844" t="s">
        <v>205</v>
      </c>
      <c r="C80" s="178" t="s">
        <v>0</v>
      </c>
      <c r="D80" s="180">
        <f>E80+M80</f>
        <v>26624202</v>
      </c>
      <c r="E80" s="181">
        <f>F80+I80+J80+K80+L80</f>
        <v>0</v>
      </c>
      <c r="F80" s="181">
        <f>G80+H80</f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f>N80+P80</f>
        <v>26624202</v>
      </c>
      <c r="N80" s="181">
        <v>26624202</v>
      </c>
      <c r="O80" s="181">
        <v>0</v>
      </c>
      <c r="P80" s="181">
        <v>0</v>
      </c>
      <c r="Q80" s="182"/>
      <c r="R80" s="182"/>
      <c r="S80" s="182"/>
      <c r="T80" s="182"/>
      <c r="U80" s="182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/>
      <c r="IN80" s="148"/>
      <c r="IO80" s="148"/>
      <c r="IP80" s="148"/>
      <c r="IQ80" s="148"/>
      <c r="IR80" s="148"/>
      <c r="IS80" s="148"/>
      <c r="IT80" s="148"/>
      <c r="IU80" s="148"/>
      <c r="IV80" s="148"/>
    </row>
    <row r="81" spans="1:256" hidden="1">
      <c r="A81" s="842"/>
      <c r="B81" s="845"/>
      <c r="C81" s="178" t="s">
        <v>1</v>
      </c>
      <c r="D81" s="180">
        <f>E81+M81</f>
        <v>0</v>
      </c>
      <c r="E81" s="181">
        <f>F81+I81+J81+K81+L81</f>
        <v>0</v>
      </c>
      <c r="F81" s="181">
        <f>G81+H81</f>
        <v>0</v>
      </c>
      <c r="G81" s="181"/>
      <c r="H81" s="181"/>
      <c r="I81" s="181"/>
      <c r="J81" s="181"/>
      <c r="K81" s="181"/>
      <c r="L81" s="181"/>
      <c r="M81" s="181">
        <f>N81+P81</f>
        <v>0</v>
      </c>
      <c r="N81" s="181"/>
      <c r="O81" s="181"/>
      <c r="P81" s="181"/>
      <c r="Q81" s="182"/>
      <c r="R81" s="182"/>
      <c r="S81" s="182"/>
      <c r="T81" s="182"/>
      <c r="U81" s="182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  <c r="IR81" s="148"/>
      <c r="IS81" s="148"/>
      <c r="IT81" s="148"/>
      <c r="IU81" s="148"/>
      <c r="IV81" s="148"/>
    </row>
    <row r="82" spans="1:256" hidden="1">
      <c r="A82" s="843"/>
      <c r="B82" s="846"/>
      <c r="C82" s="178" t="s">
        <v>2</v>
      </c>
      <c r="D82" s="180">
        <f>D80+D81</f>
        <v>26624202</v>
      </c>
      <c r="E82" s="181">
        <f t="shared" ref="E82:P82" si="27">E80+E81</f>
        <v>0</v>
      </c>
      <c r="F82" s="181">
        <f t="shared" si="27"/>
        <v>0</v>
      </c>
      <c r="G82" s="181">
        <f t="shared" si="27"/>
        <v>0</v>
      </c>
      <c r="H82" s="181">
        <f t="shared" si="27"/>
        <v>0</v>
      </c>
      <c r="I82" s="181">
        <f t="shared" si="27"/>
        <v>0</v>
      </c>
      <c r="J82" s="181">
        <f t="shared" si="27"/>
        <v>0</v>
      </c>
      <c r="K82" s="181">
        <f t="shared" si="27"/>
        <v>0</v>
      </c>
      <c r="L82" s="181">
        <f t="shared" si="27"/>
        <v>0</v>
      </c>
      <c r="M82" s="181">
        <f t="shared" si="27"/>
        <v>26624202</v>
      </c>
      <c r="N82" s="181">
        <f t="shared" si="27"/>
        <v>26624202</v>
      </c>
      <c r="O82" s="181">
        <f t="shared" si="27"/>
        <v>0</v>
      </c>
      <c r="P82" s="181">
        <f t="shared" si="27"/>
        <v>0</v>
      </c>
      <c r="Q82" s="182"/>
      <c r="R82" s="182"/>
      <c r="S82" s="182"/>
      <c r="T82" s="182"/>
      <c r="U82" s="182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  <c r="HN82" s="148"/>
      <c r="HO82" s="148"/>
      <c r="HP82" s="148"/>
      <c r="HQ82" s="148"/>
      <c r="HR82" s="148"/>
      <c r="HS82" s="148"/>
      <c r="HT82" s="148"/>
      <c r="HU82" s="148"/>
      <c r="HV82" s="148"/>
      <c r="HW82" s="148"/>
      <c r="HX82" s="148"/>
      <c r="HY82" s="148"/>
      <c r="HZ82" s="148"/>
      <c r="IA82" s="148"/>
      <c r="IB82" s="148"/>
      <c r="IC82" s="148"/>
      <c r="ID82" s="148"/>
      <c r="IE82" s="148"/>
      <c r="IF82" s="148"/>
      <c r="IG82" s="148"/>
      <c r="IH82" s="148"/>
      <c r="II82" s="148"/>
      <c r="IJ82" s="148"/>
      <c r="IK82" s="148"/>
      <c r="IL82" s="148"/>
      <c r="IM82" s="148"/>
      <c r="IN82" s="148"/>
      <c r="IO82" s="148"/>
      <c r="IP82" s="148"/>
      <c r="IQ82" s="148"/>
      <c r="IR82" s="148"/>
      <c r="IS82" s="148"/>
      <c r="IT82" s="148"/>
      <c r="IU82" s="148"/>
      <c r="IV82" s="148"/>
    </row>
    <row r="83" spans="1:256" hidden="1">
      <c r="A83" s="841">
        <v>60041</v>
      </c>
      <c r="B83" s="844" t="s">
        <v>206</v>
      </c>
      <c r="C83" s="178" t="s">
        <v>0</v>
      </c>
      <c r="D83" s="180">
        <f>E83+M83</f>
        <v>11499978</v>
      </c>
      <c r="E83" s="181">
        <f>F83+I83+J83+K83+L83</f>
        <v>0</v>
      </c>
      <c r="F83" s="181">
        <f>G83+H83</f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f>N83+P83</f>
        <v>11499978</v>
      </c>
      <c r="N83" s="181">
        <v>0</v>
      </c>
      <c r="O83" s="181">
        <v>0</v>
      </c>
      <c r="P83" s="181">
        <v>11499978</v>
      </c>
      <c r="Q83" s="182"/>
      <c r="R83" s="182"/>
      <c r="S83" s="182"/>
      <c r="T83" s="182"/>
      <c r="U83" s="182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  <c r="HN83" s="148"/>
      <c r="HO83" s="148"/>
      <c r="HP83" s="148"/>
      <c r="HQ83" s="148"/>
      <c r="HR83" s="148"/>
      <c r="HS83" s="148"/>
      <c r="HT83" s="148"/>
      <c r="HU83" s="148"/>
      <c r="HV83" s="148"/>
      <c r="HW83" s="148"/>
      <c r="HX83" s="148"/>
      <c r="HY83" s="148"/>
      <c r="HZ83" s="148"/>
      <c r="IA83" s="148"/>
      <c r="IB83" s="148"/>
      <c r="IC83" s="148"/>
      <c r="ID83" s="148"/>
      <c r="IE83" s="148"/>
      <c r="IF83" s="148"/>
      <c r="IG83" s="148"/>
      <c r="IH83" s="148"/>
      <c r="II83" s="148"/>
      <c r="IJ83" s="148"/>
      <c r="IK83" s="148"/>
      <c r="IL83" s="148"/>
      <c r="IM83" s="148"/>
      <c r="IN83" s="148"/>
      <c r="IO83" s="148"/>
      <c r="IP83" s="148"/>
      <c r="IQ83" s="148"/>
      <c r="IR83" s="148"/>
      <c r="IS83" s="148"/>
      <c r="IT83" s="148"/>
      <c r="IU83" s="148"/>
      <c r="IV83" s="148"/>
    </row>
    <row r="84" spans="1:256" hidden="1">
      <c r="A84" s="842"/>
      <c r="B84" s="845"/>
      <c r="C84" s="178" t="s">
        <v>1</v>
      </c>
      <c r="D84" s="180">
        <f>E84+M84</f>
        <v>0</v>
      </c>
      <c r="E84" s="181">
        <f>F84+I84+J84+K84+L84</f>
        <v>0</v>
      </c>
      <c r="F84" s="181">
        <f>G84+H84</f>
        <v>0</v>
      </c>
      <c r="G84" s="181"/>
      <c r="H84" s="181"/>
      <c r="I84" s="181"/>
      <c r="J84" s="181"/>
      <c r="K84" s="181"/>
      <c r="L84" s="181"/>
      <c r="M84" s="181">
        <f>N84+P84</f>
        <v>0</v>
      </c>
      <c r="N84" s="181"/>
      <c r="O84" s="181"/>
      <c r="P84" s="181"/>
      <c r="Q84" s="182"/>
      <c r="R84" s="182"/>
      <c r="S84" s="182"/>
      <c r="T84" s="182"/>
      <c r="U84" s="182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  <c r="IO84" s="148"/>
      <c r="IP84" s="148"/>
      <c r="IQ84" s="148"/>
      <c r="IR84" s="148"/>
      <c r="IS84" s="148"/>
      <c r="IT84" s="148"/>
      <c r="IU84" s="148"/>
      <c r="IV84" s="148"/>
    </row>
    <row r="85" spans="1:256" hidden="1">
      <c r="A85" s="843"/>
      <c r="B85" s="846"/>
      <c r="C85" s="178" t="s">
        <v>2</v>
      </c>
      <c r="D85" s="180">
        <f>D83+D84</f>
        <v>11499978</v>
      </c>
      <c r="E85" s="181">
        <f t="shared" ref="E85:P85" si="28">E83+E84</f>
        <v>0</v>
      </c>
      <c r="F85" s="181">
        <f t="shared" si="28"/>
        <v>0</v>
      </c>
      <c r="G85" s="181">
        <f t="shared" si="28"/>
        <v>0</v>
      </c>
      <c r="H85" s="181">
        <f t="shared" si="28"/>
        <v>0</v>
      </c>
      <c r="I85" s="181">
        <f t="shared" si="28"/>
        <v>0</v>
      </c>
      <c r="J85" s="181">
        <f t="shared" si="28"/>
        <v>0</v>
      </c>
      <c r="K85" s="181">
        <f t="shared" si="28"/>
        <v>0</v>
      </c>
      <c r="L85" s="181">
        <f t="shared" si="28"/>
        <v>0</v>
      </c>
      <c r="M85" s="181">
        <f t="shared" si="28"/>
        <v>11499978</v>
      </c>
      <c r="N85" s="181">
        <f t="shared" si="28"/>
        <v>0</v>
      </c>
      <c r="O85" s="181">
        <f t="shared" si="28"/>
        <v>0</v>
      </c>
      <c r="P85" s="181">
        <f t="shared" si="28"/>
        <v>11499978</v>
      </c>
      <c r="Q85" s="182"/>
      <c r="R85" s="182"/>
      <c r="S85" s="182"/>
      <c r="T85" s="182"/>
      <c r="U85" s="182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  <c r="HQ85" s="148"/>
      <c r="HR85" s="148"/>
      <c r="HS85" s="148"/>
      <c r="HT85" s="148"/>
      <c r="HU85" s="148"/>
      <c r="HV85" s="148"/>
      <c r="HW85" s="148"/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  <c r="II85" s="148"/>
      <c r="IJ85" s="148"/>
      <c r="IK85" s="148"/>
      <c r="IL85" s="148"/>
      <c r="IM85" s="148"/>
      <c r="IN85" s="148"/>
      <c r="IO85" s="148"/>
      <c r="IP85" s="148"/>
      <c r="IQ85" s="148"/>
      <c r="IR85" s="148"/>
      <c r="IS85" s="148"/>
      <c r="IT85" s="148"/>
      <c r="IU85" s="148"/>
      <c r="IV85" s="148"/>
    </row>
    <row r="86" spans="1:256" hidden="1">
      <c r="A86" s="841" t="s">
        <v>207</v>
      </c>
      <c r="B86" s="844" t="s">
        <v>108</v>
      </c>
      <c r="C86" s="178" t="s">
        <v>0</v>
      </c>
      <c r="D86" s="180">
        <f>E86+M86</f>
        <v>1700035</v>
      </c>
      <c r="E86" s="181">
        <f>F86+I86+J86+K86+L86</f>
        <v>1700035</v>
      </c>
      <c r="F86" s="181">
        <f>G86+H86</f>
        <v>1650035</v>
      </c>
      <c r="G86" s="181">
        <v>249000</v>
      </c>
      <c r="H86" s="181">
        <f>1684035-283000</f>
        <v>1401035</v>
      </c>
      <c r="I86" s="181">
        <v>50000</v>
      </c>
      <c r="J86" s="181">
        <v>0</v>
      </c>
      <c r="K86" s="181">
        <v>0</v>
      </c>
      <c r="L86" s="181">
        <v>0</v>
      </c>
      <c r="M86" s="181">
        <f>N86+P86</f>
        <v>0</v>
      </c>
      <c r="N86" s="181">
        <v>0</v>
      </c>
      <c r="O86" s="181">
        <v>0</v>
      </c>
      <c r="P86" s="181">
        <v>0</v>
      </c>
      <c r="Q86" s="182"/>
      <c r="R86" s="182"/>
      <c r="S86" s="182"/>
      <c r="T86" s="182"/>
      <c r="U86" s="182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  <c r="HN86" s="148"/>
      <c r="HO86" s="148"/>
      <c r="HP86" s="148"/>
      <c r="HQ86" s="148"/>
      <c r="HR86" s="148"/>
      <c r="HS86" s="148"/>
      <c r="HT86" s="148"/>
      <c r="HU86" s="148"/>
      <c r="HV86" s="148"/>
      <c r="HW86" s="148"/>
      <c r="HX86" s="148"/>
      <c r="HY86" s="148"/>
      <c r="HZ86" s="148"/>
      <c r="IA86" s="148"/>
      <c r="IB86" s="148"/>
      <c r="IC86" s="148"/>
      <c r="ID86" s="148"/>
      <c r="IE86" s="148"/>
      <c r="IF86" s="148"/>
      <c r="IG86" s="148"/>
      <c r="IH86" s="148"/>
      <c r="II86" s="148"/>
      <c r="IJ86" s="148"/>
      <c r="IK86" s="148"/>
      <c r="IL86" s="148"/>
      <c r="IM86" s="148"/>
      <c r="IN86" s="148"/>
      <c r="IO86" s="148"/>
      <c r="IP86" s="148"/>
      <c r="IQ86" s="148"/>
      <c r="IR86" s="148"/>
      <c r="IS86" s="148"/>
      <c r="IT86" s="148"/>
      <c r="IU86" s="148"/>
      <c r="IV86" s="148"/>
    </row>
    <row r="87" spans="1:256" hidden="1">
      <c r="A87" s="842"/>
      <c r="B87" s="845"/>
      <c r="C87" s="178" t="s">
        <v>1</v>
      </c>
      <c r="D87" s="180">
        <f>E87+M87</f>
        <v>0</v>
      </c>
      <c r="E87" s="181">
        <f>F87+I87+J87+K87+L87</f>
        <v>0</v>
      </c>
      <c r="F87" s="181">
        <f>G87+H87</f>
        <v>0</v>
      </c>
      <c r="G87" s="181"/>
      <c r="H87" s="181"/>
      <c r="I87" s="181"/>
      <c r="J87" s="181"/>
      <c r="K87" s="181"/>
      <c r="L87" s="181"/>
      <c r="M87" s="181">
        <f>N87+P87</f>
        <v>0</v>
      </c>
      <c r="N87" s="181"/>
      <c r="O87" s="181"/>
      <c r="P87" s="181"/>
      <c r="Q87" s="182"/>
      <c r="R87" s="182"/>
      <c r="S87" s="182"/>
      <c r="T87" s="182"/>
      <c r="U87" s="182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  <c r="HQ87" s="148"/>
      <c r="HR87" s="148"/>
      <c r="HS87" s="148"/>
      <c r="HT87" s="148"/>
      <c r="HU87" s="148"/>
      <c r="HV87" s="148"/>
      <c r="HW87" s="148"/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  <c r="II87" s="148"/>
      <c r="IJ87" s="148"/>
      <c r="IK87" s="148"/>
      <c r="IL87" s="148"/>
      <c r="IM87" s="148"/>
      <c r="IN87" s="148"/>
      <c r="IO87" s="148"/>
      <c r="IP87" s="148"/>
      <c r="IQ87" s="148"/>
      <c r="IR87" s="148"/>
      <c r="IS87" s="148"/>
      <c r="IT87" s="148"/>
      <c r="IU87" s="148"/>
      <c r="IV87" s="148"/>
    </row>
    <row r="88" spans="1:256" hidden="1">
      <c r="A88" s="843"/>
      <c r="B88" s="846"/>
      <c r="C88" s="178" t="s">
        <v>2</v>
      </c>
      <c r="D88" s="180">
        <f>D86+D87</f>
        <v>1700035</v>
      </c>
      <c r="E88" s="181">
        <f t="shared" ref="E88:P88" si="29">E86+E87</f>
        <v>1700035</v>
      </c>
      <c r="F88" s="181">
        <f t="shared" si="29"/>
        <v>1650035</v>
      </c>
      <c r="G88" s="181">
        <f t="shared" si="29"/>
        <v>249000</v>
      </c>
      <c r="H88" s="181">
        <f t="shared" si="29"/>
        <v>1401035</v>
      </c>
      <c r="I88" s="181">
        <f t="shared" si="29"/>
        <v>50000</v>
      </c>
      <c r="J88" s="181">
        <f t="shared" si="29"/>
        <v>0</v>
      </c>
      <c r="K88" s="181">
        <f t="shared" si="29"/>
        <v>0</v>
      </c>
      <c r="L88" s="181">
        <f t="shared" si="29"/>
        <v>0</v>
      </c>
      <c r="M88" s="181">
        <f t="shared" si="29"/>
        <v>0</v>
      </c>
      <c r="N88" s="181">
        <f t="shared" si="29"/>
        <v>0</v>
      </c>
      <c r="O88" s="181">
        <f t="shared" si="29"/>
        <v>0</v>
      </c>
      <c r="P88" s="181">
        <f t="shared" si="29"/>
        <v>0</v>
      </c>
      <c r="Q88" s="182"/>
      <c r="R88" s="182"/>
      <c r="S88" s="182"/>
      <c r="T88" s="182"/>
      <c r="U88" s="182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  <c r="HQ88" s="148"/>
      <c r="HR88" s="148"/>
      <c r="HS88" s="148"/>
      <c r="HT88" s="148"/>
      <c r="HU88" s="148"/>
      <c r="HV88" s="148"/>
      <c r="HW88" s="148"/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  <c r="II88" s="148"/>
      <c r="IJ88" s="148"/>
      <c r="IK88" s="148"/>
      <c r="IL88" s="148"/>
      <c r="IM88" s="148"/>
      <c r="IN88" s="148"/>
      <c r="IO88" s="148"/>
      <c r="IP88" s="148"/>
      <c r="IQ88" s="148"/>
      <c r="IR88" s="148"/>
      <c r="IS88" s="148"/>
      <c r="IT88" s="148"/>
      <c r="IU88" s="148"/>
      <c r="IV88" s="148"/>
    </row>
    <row r="89" spans="1:256" ht="15">
      <c r="A89" s="835" t="s">
        <v>91</v>
      </c>
      <c r="B89" s="838" t="s">
        <v>92</v>
      </c>
      <c r="C89" s="183" t="s">
        <v>0</v>
      </c>
      <c r="D89" s="174">
        <f>D92</f>
        <v>2146900</v>
      </c>
      <c r="E89" s="175">
        <f>E92</f>
        <v>2146900</v>
      </c>
      <c r="F89" s="175">
        <f t="shared" ref="F89:P90" si="30">F92</f>
        <v>1896900</v>
      </c>
      <c r="G89" s="175">
        <f t="shared" si="30"/>
        <v>239000</v>
      </c>
      <c r="H89" s="175">
        <f t="shared" si="30"/>
        <v>1657900</v>
      </c>
      <c r="I89" s="175">
        <f t="shared" si="30"/>
        <v>250000</v>
      </c>
      <c r="J89" s="175">
        <f t="shared" si="30"/>
        <v>0</v>
      </c>
      <c r="K89" s="175">
        <f t="shared" si="30"/>
        <v>0</v>
      </c>
      <c r="L89" s="175">
        <f t="shared" si="30"/>
        <v>0</v>
      </c>
      <c r="M89" s="175">
        <f t="shared" si="30"/>
        <v>0</v>
      </c>
      <c r="N89" s="175">
        <f t="shared" si="30"/>
        <v>0</v>
      </c>
      <c r="O89" s="175">
        <f t="shared" si="30"/>
        <v>0</v>
      </c>
      <c r="P89" s="175">
        <f t="shared" si="30"/>
        <v>0</v>
      </c>
      <c r="Q89" s="188"/>
      <c r="R89" s="188"/>
      <c r="S89" s="188"/>
      <c r="T89" s="188"/>
      <c r="U89" s="188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/>
      <c r="FV89" s="189"/>
      <c r="FW89" s="189"/>
      <c r="FX89" s="189"/>
      <c r="FY89" s="189"/>
      <c r="FZ89" s="189"/>
      <c r="GA89" s="189"/>
      <c r="GB89" s="189"/>
      <c r="GC89" s="189"/>
      <c r="GD89" s="189"/>
      <c r="GE89" s="189"/>
      <c r="GF89" s="189"/>
      <c r="GG89" s="189"/>
      <c r="GH89" s="189"/>
      <c r="GI89" s="189"/>
      <c r="GJ89" s="189"/>
      <c r="GK89" s="189"/>
      <c r="GL89" s="189"/>
      <c r="GM89" s="189"/>
      <c r="GN89" s="189"/>
      <c r="GO89" s="189"/>
      <c r="GP89" s="189"/>
      <c r="GQ89" s="189"/>
      <c r="GR89" s="189"/>
      <c r="GS89" s="189"/>
      <c r="GT89" s="189"/>
      <c r="GU89" s="189"/>
      <c r="GV89" s="189"/>
      <c r="GW89" s="189"/>
      <c r="GX89" s="189"/>
      <c r="GY89" s="189"/>
      <c r="GZ89" s="189"/>
      <c r="HA89" s="189"/>
      <c r="HB89" s="189"/>
      <c r="HC89" s="189"/>
      <c r="HD89" s="189"/>
      <c r="HE89" s="189"/>
      <c r="HF89" s="189"/>
      <c r="HG89" s="189"/>
      <c r="HH89" s="189"/>
      <c r="HI89" s="189"/>
      <c r="HJ89" s="189"/>
      <c r="HK89" s="189"/>
      <c r="HL89" s="189"/>
      <c r="HM89" s="189"/>
      <c r="HN89" s="189"/>
      <c r="HO89" s="189"/>
      <c r="HP89" s="189"/>
      <c r="HQ89" s="189"/>
      <c r="HR89" s="189"/>
      <c r="HS89" s="189"/>
      <c r="HT89" s="189"/>
      <c r="HU89" s="189"/>
      <c r="HV89" s="189"/>
      <c r="HW89" s="189"/>
      <c r="HX89" s="189"/>
      <c r="HY89" s="189"/>
      <c r="HZ89" s="189"/>
      <c r="IA89" s="189"/>
      <c r="IB89" s="189"/>
      <c r="IC89" s="189"/>
      <c r="ID89" s="189"/>
      <c r="IE89" s="189"/>
      <c r="IF89" s="189"/>
      <c r="IG89" s="189"/>
      <c r="IH89" s="189"/>
      <c r="II89" s="189"/>
      <c r="IJ89" s="189"/>
      <c r="IK89" s="189"/>
      <c r="IL89" s="189"/>
      <c r="IM89" s="189"/>
      <c r="IN89" s="189"/>
      <c r="IO89" s="189"/>
      <c r="IP89" s="189"/>
      <c r="IQ89" s="189"/>
      <c r="IR89" s="189"/>
      <c r="IS89" s="189"/>
      <c r="IT89" s="189"/>
      <c r="IU89" s="189"/>
      <c r="IV89" s="189"/>
    </row>
    <row r="90" spans="1:256" ht="15">
      <c r="A90" s="836"/>
      <c r="B90" s="839"/>
      <c r="C90" s="183" t="s">
        <v>1</v>
      </c>
      <c r="D90" s="174">
        <f>D93</f>
        <v>450000</v>
      </c>
      <c r="E90" s="175">
        <f>E93</f>
        <v>450000</v>
      </c>
      <c r="F90" s="175">
        <f t="shared" si="30"/>
        <v>450000</v>
      </c>
      <c r="G90" s="175">
        <f t="shared" si="30"/>
        <v>0</v>
      </c>
      <c r="H90" s="175">
        <f t="shared" si="30"/>
        <v>450000</v>
      </c>
      <c r="I90" s="175">
        <f t="shared" si="30"/>
        <v>0</v>
      </c>
      <c r="J90" s="175">
        <f t="shared" si="30"/>
        <v>0</v>
      </c>
      <c r="K90" s="175">
        <f t="shared" si="30"/>
        <v>0</v>
      </c>
      <c r="L90" s="175">
        <f t="shared" si="30"/>
        <v>0</v>
      </c>
      <c r="M90" s="175">
        <f t="shared" si="30"/>
        <v>0</v>
      </c>
      <c r="N90" s="175">
        <f t="shared" si="30"/>
        <v>0</v>
      </c>
      <c r="O90" s="175">
        <f t="shared" si="30"/>
        <v>0</v>
      </c>
      <c r="P90" s="175">
        <f t="shared" si="30"/>
        <v>0</v>
      </c>
      <c r="Q90" s="188"/>
      <c r="R90" s="188"/>
      <c r="S90" s="188"/>
      <c r="T90" s="188"/>
      <c r="U90" s="188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  <c r="GV90" s="189"/>
      <c r="GW90" s="189"/>
      <c r="GX90" s="189"/>
      <c r="GY90" s="189"/>
      <c r="GZ90" s="189"/>
      <c r="HA90" s="189"/>
      <c r="HB90" s="189"/>
      <c r="HC90" s="189"/>
      <c r="HD90" s="189"/>
      <c r="HE90" s="189"/>
      <c r="HF90" s="189"/>
      <c r="HG90" s="189"/>
      <c r="HH90" s="189"/>
      <c r="HI90" s="189"/>
      <c r="HJ90" s="189"/>
      <c r="HK90" s="189"/>
      <c r="HL90" s="189"/>
      <c r="HM90" s="189"/>
      <c r="HN90" s="189"/>
      <c r="HO90" s="189"/>
      <c r="HP90" s="189"/>
      <c r="HQ90" s="189"/>
      <c r="HR90" s="189"/>
      <c r="HS90" s="189"/>
      <c r="HT90" s="189"/>
      <c r="HU90" s="189"/>
      <c r="HV90" s="189"/>
      <c r="HW90" s="189"/>
      <c r="HX90" s="189"/>
      <c r="HY90" s="189"/>
      <c r="HZ90" s="189"/>
      <c r="IA90" s="189"/>
      <c r="IB90" s="189"/>
      <c r="IC90" s="189"/>
      <c r="ID90" s="189"/>
      <c r="IE90" s="189"/>
      <c r="IF90" s="189"/>
      <c r="IG90" s="189"/>
      <c r="IH90" s="189"/>
      <c r="II90" s="189"/>
      <c r="IJ90" s="189"/>
      <c r="IK90" s="189"/>
      <c r="IL90" s="189"/>
      <c r="IM90" s="189"/>
      <c r="IN90" s="189"/>
      <c r="IO90" s="189"/>
      <c r="IP90" s="189"/>
      <c r="IQ90" s="189"/>
      <c r="IR90" s="189"/>
      <c r="IS90" s="189"/>
      <c r="IT90" s="189"/>
      <c r="IU90" s="189"/>
      <c r="IV90" s="189"/>
    </row>
    <row r="91" spans="1:256" ht="15">
      <c r="A91" s="837"/>
      <c r="B91" s="840"/>
      <c r="C91" s="183" t="s">
        <v>2</v>
      </c>
      <c r="D91" s="174">
        <f>D89+D90</f>
        <v>2596900</v>
      </c>
      <c r="E91" s="175">
        <f t="shared" ref="E91:P91" si="31">E89+E90</f>
        <v>2596900</v>
      </c>
      <c r="F91" s="175">
        <f t="shared" si="31"/>
        <v>2346900</v>
      </c>
      <c r="G91" s="175">
        <f t="shared" si="31"/>
        <v>239000</v>
      </c>
      <c r="H91" s="175">
        <f t="shared" si="31"/>
        <v>2107900</v>
      </c>
      <c r="I91" s="175">
        <f t="shared" si="31"/>
        <v>250000</v>
      </c>
      <c r="J91" s="175">
        <f t="shared" si="31"/>
        <v>0</v>
      </c>
      <c r="K91" s="175">
        <f t="shared" si="31"/>
        <v>0</v>
      </c>
      <c r="L91" s="175">
        <f t="shared" si="31"/>
        <v>0</v>
      </c>
      <c r="M91" s="175">
        <f t="shared" si="31"/>
        <v>0</v>
      </c>
      <c r="N91" s="175">
        <f t="shared" si="31"/>
        <v>0</v>
      </c>
      <c r="O91" s="175">
        <f t="shared" si="31"/>
        <v>0</v>
      </c>
      <c r="P91" s="175">
        <f t="shared" si="31"/>
        <v>0</v>
      </c>
      <c r="Q91" s="188"/>
      <c r="R91" s="188"/>
      <c r="S91" s="188"/>
      <c r="T91" s="188"/>
      <c r="U91" s="188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/>
      <c r="FV91" s="189"/>
      <c r="FW91" s="189"/>
      <c r="FX91" s="189"/>
      <c r="FY91" s="189"/>
      <c r="FZ91" s="189"/>
      <c r="GA91" s="189"/>
      <c r="GB91" s="189"/>
      <c r="GC91" s="189"/>
      <c r="GD91" s="189"/>
      <c r="GE91" s="189"/>
      <c r="GF91" s="189"/>
      <c r="GG91" s="189"/>
      <c r="GH91" s="189"/>
      <c r="GI91" s="189"/>
      <c r="GJ91" s="189"/>
      <c r="GK91" s="189"/>
      <c r="GL91" s="189"/>
      <c r="GM91" s="189"/>
      <c r="GN91" s="189"/>
      <c r="GO91" s="189"/>
      <c r="GP91" s="189"/>
      <c r="GQ91" s="189"/>
      <c r="GR91" s="189"/>
      <c r="GS91" s="189"/>
      <c r="GT91" s="189"/>
      <c r="GU91" s="189"/>
      <c r="GV91" s="189"/>
      <c r="GW91" s="189"/>
      <c r="GX91" s="189"/>
      <c r="GY91" s="189"/>
      <c r="GZ91" s="189"/>
      <c r="HA91" s="189"/>
      <c r="HB91" s="189"/>
      <c r="HC91" s="189"/>
      <c r="HD91" s="189"/>
      <c r="HE91" s="189"/>
      <c r="HF91" s="189"/>
      <c r="HG91" s="189"/>
      <c r="HH91" s="189"/>
      <c r="HI91" s="189"/>
      <c r="HJ91" s="189"/>
      <c r="HK91" s="189"/>
      <c r="HL91" s="189"/>
      <c r="HM91" s="189"/>
      <c r="HN91" s="189"/>
      <c r="HO91" s="189"/>
      <c r="HP91" s="189"/>
      <c r="HQ91" s="189"/>
      <c r="HR91" s="189"/>
      <c r="HS91" s="189"/>
      <c r="HT91" s="189"/>
      <c r="HU91" s="189"/>
      <c r="HV91" s="189"/>
      <c r="HW91" s="189"/>
      <c r="HX91" s="189"/>
      <c r="HY91" s="189"/>
      <c r="HZ91" s="189"/>
      <c r="IA91" s="189"/>
      <c r="IB91" s="189"/>
      <c r="IC91" s="189"/>
      <c r="ID91" s="189"/>
      <c r="IE91" s="189"/>
      <c r="IF91" s="189"/>
      <c r="IG91" s="189"/>
      <c r="IH91" s="189"/>
      <c r="II91" s="189"/>
      <c r="IJ91" s="189"/>
      <c r="IK91" s="189"/>
      <c r="IL91" s="189"/>
      <c r="IM91" s="189"/>
      <c r="IN91" s="189"/>
      <c r="IO91" s="189"/>
      <c r="IP91" s="189"/>
      <c r="IQ91" s="189"/>
      <c r="IR91" s="189"/>
      <c r="IS91" s="189"/>
      <c r="IT91" s="189"/>
      <c r="IU91" s="189"/>
      <c r="IV91" s="189"/>
    </row>
    <row r="92" spans="1:256">
      <c r="A92" s="841" t="s">
        <v>208</v>
      </c>
      <c r="B92" s="844" t="s">
        <v>108</v>
      </c>
      <c r="C92" s="178" t="s">
        <v>0</v>
      </c>
      <c r="D92" s="180">
        <f>E92+M92</f>
        <v>2146900</v>
      </c>
      <c r="E92" s="181">
        <f>F92+I92+J92+K92+L92</f>
        <v>2146900</v>
      </c>
      <c r="F92" s="181">
        <f>G92+H92</f>
        <v>1896900</v>
      </c>
      <c r="G92" s="181">
        <v>239000</v>
      </c>
      <c r="H92" s="181">
        <v>1657900</v>
      </c>
      <c r="I92" s="181">
        <v>250000</v>
      </c>
      <c r="J92" s="181">
        <v>0</v>
      </c>
      <c r="K92" s="181">
        <v>0</v>
      </c>
      <c r="L92" s="181">
        <v>0</v>
      </c>
      <c r="M92" s="181">
        <f>N92+P92</f>
        <v>0</v>
      </c>
      <c r="N92" s="181">
        <v>0</v>
      </c>
      <c r="O92" s="181">
        <v>0</v>
      </c>
      <c r="P92" s="181">
        <v>0</v>
      </c>
      <c r="Q92" s="182"/>
      <c r="R92" s="182"/>
      <c r="S92" s="182"/>
      <c r="T92" s="182"/>
      <c r="U92" s="182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  <c r="IV92" s="148"/>
    </row>
    <row r="93" spans="1:256">
      <c r="A93" s="842"/>
      <c r="B93" s="845"/>
      <c r="C93" s="178" t="s">
        <v>1</v>
      </c>
      <c r="D93" s="180">
        <f>E93+M93</f>
        <v>450000</v>
      </c>
      <c r="E93" s="181">
        <f>F93+I93+J93+K93+L93</f>
        <v>450000</v>
      </c>
      <c r="F93" s="181">
        <f>G93+H93</f>
        <v>450000</v>
      </c>
      <c r="G93" s="181"/>
      <c r="H93" s="181">
        <v>450000</v>
      </c>
      <c r="I93" s="181"/>
      <c r="J93" s="181"/>
      <c r="K93" s="181"/>
      <c r="L93" s="181"/>
      <c r="M93" s="181">
        <f>N93+P93</f>
        <v>0</v>
      </c>
      <c r="N93" s="181"/>
      <c r="O93" s="181"/>
      <c r="P93" s="181"/>
      <c r="Q93" s="182"/>
      <c r="R93" s="182"/>
      <c r="S93" s="182"/>
      <c r="T93" s="182"/>
      <c r="U93" s="182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  <c r="HN93" s="148"/>
      <c r="HO93" s="148"/>
      <c r="HP93" s="148"/>
      <c r="HQ93" s="148"/>
      <c r="HR93" s="148"/>
      <c r="HS93" s="148"/>
      <c r="HT93" s="148"/>
      <c r="HU93" s="148"/>
      <c r="HV93" s="148"/>
      <c r="HW93" s="148"/>
      <c r="HX93" s="148"/>
      <c r="HY93" s="148"/>
      <c r="HZ93" s="148"/>
      <c r="IA93" s="148"/>
      <c r="IB93" s="148"/>
      <c r="IC93" s="148"/>
      <c r="ID93" s="148"/>
      <c r="IE93" s="148"/>
      <c r="IF93" s="148"/>
      <c r="IG93" s="148"/>
      <c r="IH93" s="148"/>
      <c r="II93" s="148"/>
      <c r="IJ93" s="148"/>
      <c r="IK93" s="148"/>
      <c r="IL93" s="148"/>
      <c r="IM93" s="148"/>
      <c r="IN93" s="148"/>
      <c r="IO93" s="148"/>
      <c r="IP93" s="148"/>
      <c r="IQ93" s="148"/>
      <c r="IR93" s="148"/>
      <c r="IS93" s="148"/>
      <c r="IT93" s="148"/>
      <c r="IU93" s="148"/>
      <c r="IV93" s="148"/>
    </row>
    <row r="94" spans="1:256">
      <c r="A94" s="843"/>
      <c r="B94" s="846"/>
      <c r="C94" s="178" t="s">
        <v>2</v>
      </c>
      <c r="D94" s="180">
        <f>D92+D93</f>
        <v>2596900</v>
      </c>
      <c r="E94" s="181">
        <f t="shared" ref="E94:P94" si="32">E92+E93</f>
        <v>2596900</v>
      </c>
      <c r="F94" s="181">
        <f t="shared" si="32"/>
        <v>2346900</v>
      </c>
      <c r="G94" s="181">
        <f t="shared" si="32"/>
        <v>239000</v>
      </c>
      <c r="H94" s="181">
        <f t="shared" si="32"/>
        <v>2107900</v>
      </c>
      <c r="I94" s="181">
        <f t="shared" si="32"/>
        <v>250000</v>
      </c>
      <c r="J94" s="181">
        <f t="shared" si="32"/>
        <v>0</v>
      </c>
      <c r="K94" s="181">
        <f t="shared" si="32"/>
        <v>0</v>
      </c>
      <c r="L94" s="181">
        <f t="shared" si="32"/>
        <v>0</v>
      </c>
      <c r="M94" s="181">
        <f t="shared" si="32"/>
        <v>0</v>
      </c>
      <c r="N94" s="181">
        <f t="shared" si="32"/>
        <v>0</v>
      </c>
      <c r="O94" s="181">
        <f t="shared" si="32"/>
        <v>0</v>
      </c>
      <c r="P94" s="181">
        <f t="shared" si="32"/>
        <v>0</v>
      </c>
      <c r="Q94" s="182"/>
      <c r="R94" s="182"/>
      <c r="S94" s="182"/>
      <c r="T94" s="182"/>
      <c r="U94" s="182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148"/>
      <c r="HA94" s="148"/>
      <c r="HB94" s="148"/>
      <c r="HC94" s="148"/>
      <c r="HD94" s="148"/>
      <c r="HE94" s="148"/>
      <c r="HF94" s="148"/>
      <c r="HG94" s="148"/>
      <c r="HH94" s="148"/>
      <c r="HI94" s="148"/>
      <c r="HJ94" s="148"/>
      <c r="HK94" s="148"/>
      <c r="HL94" s="148"/>
      <c r="HM94" s="148"/>
      <c r="HN94" s="148"/>
      <c r="HO94" s="148"/>
      <c r="HP94" s="148"/>
      <c r="HQ94" s="148"/>
      <c r="HR94" s="148"/>
      <c r="HS94" s="148"/>
      <c r="HT94" s="148"/>
      <c r="HU94" s="148"/>
      <c r="HV94" s="148"/>
      <c r="HW94" s="148"/>
      <c r="HX94" s="148"/>
      <c r="HY94" s="148"/>
      <c r="HZ94" s="148"/>
      <c r="IA94" s="148"/>
      <c r="IB94" s="148"/>
      <c r="IC94" s="148"/>
      <c r="ID94" s="148"/>
      <c r="IE94" s="148"/>
      <c r="IF94" s="148"/>
      <c r="IG94" s="148"/>
      <c r="IH94" s="148"/>
      <c r="II94" s="148"/>
      <c r="IJ94" s="148"/>
      <c r="IK94" s="148"/>
      <c r="IL94" s="148"/>
      <c r="IM94" s="148"/>
      <c r="IN94" s="148"/>
      <c r="IO94" s="148"/>
      <c r="IP94" s="148"/>
      <c r="IQ94" s="148"/>
      <c r="IR94" s="148"/>
      <c r="IS94" s="148"/>
      <c r="IT94" s="148"/>
      <c r="IU94" s="148"/>
      <c r="IV94" s="148"/>
    </row>
    <row r="95" spans="1:256" ht="15">
      <c r="A95" s="835" t="s">
        <v>47</v>
      </c>
      <c r="B95" s="838" t="s">
        <v>48</v>
      </c>
      <c r="C95" s="183" t="s">
        <v>0</v>
      </c>
      <c r="D95" s="191">
        <f>D98</f>
        <v>1472099</v>
      </c>
      <c r="E95" s="175">
        <f>E98</f>
        <v>872500</v>
      </c>
      <c r="F95" s="175">
        <f t="shared" ref="F95:P96" si="33">F98</f>
        <v>872500</v>
      </c>
      <c r="G95" s="175">
        <f t="shared" si="33"/>
        <v>0</v>
      </c>
      <c r="H95" s="175">
        <f t="shared" si="33"/>
        <v>872500</v>
      </c>
      <c r="I95" s="175">
        <f t="shared" si="33"/>
        <v>0</v>
      </c>
      <c r="J95" s="175">
        <f t="shared" si="33"/>
        <v>0</v>
      </c>
      <c r="K95" s="175">
        <f t="shared" si="33"/>
        <v>0</v>
      </c>
      <c r="L95" s="175">
        <f t="shared" si="33"/>
        <v>0</v>
      </c>
      <c r="M95" s="175">
        <f t="shared" si="33"/>
        <v>599599</v>
      </c>
      <c r="N95" s="175">
        <f t="shared" si="33"/>
        <v>599599</v>
      </c>
      <c r="O95" s="175">
        <f t="shared" si="33"/>
        <v>0</v>
      </c>
      <c r="P95" s="175">
        <f t="shared" si="33"/>
        <v>0</v>
      </c>
      <c r="Q95" s="188"/>
      <c r="R95" s="188"/>
      <c r="S95" s="188"/>
      <c r="T95" s="188"/>
      <c r="U95" s="188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189"/>
      <c r="EU95" s="189"/>
      <c r="EV95" s="189"/>
      <c r="EW95" s="189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  <c r="FH95" s="189"/>
      <c r="FI95" s="189"/>
      <c r="FJ95" s="189"/>
      <c r="FK95" s="189"/>
      <c r="FL95" s="189"/>
      <c r="FM95" s="189"/>
      <c r="FN95" s="189"/>
      <c r="FO95" s="189"/>
      <c r="FP95" s="189"/>
      <c r="FQ95" s="189"/>
      <c r="FR95" s="189"/>
      <c r="FS95" s="189"/>
      <c r="FT95" s="189"/>
      <c r="FU95" s="189"/>
      <c r="FV95" s="189"/>
      <c r="FW95" s="189"/>
      <c r="FX95" s="189"/>
      <c r="FY95" s="189"/>
      <c r="FZ95" s="189"/>
      <c r="GA95" s="189"/>
      <c r="GB95" s="189"/>
      <c r="GC95" s="189"/>
      <c r="GD95" s="189"/>
      <c r="GE95" s="189"/>
      <c r="GF95" s="189"/>
      <c r="GG95" s="189"/>
      <c r="GH95" s="189"/>
      <c r="GI95" s="189"/>
      <c r="GJ95" s="189"/>
      <c r="GK95" s="189"/>
      <c r="GL95" s="189"/>
      <c r="GM95" s="189"/>
      <c r="GN95" s="189"/>
      <c r="GO95" s="189"/>
      <c r="GP95" s="189"/>
      <c r="GQ95" s="189"/>
      <c r="GR95" s="189"/>
      <c r="GS95" s="189"/>
      <c r="GT95" s="189"/>
      <c r="GU95" s="189"/>
      <c r="GV95" s="189"/>
      <c r="GW95" s="189"/>
      <c r="GX95" s="189"/>
      <c r="GY95" s="189"/>
      <c r="GZ95" s="189"/>
      <c r="HA95" s="189"/>
      <c r="HB95" s="189"/>
      <c r="HC95" s="189"/>
      <c r="HD95" s="189"/>
      <c r="HE95" s="189"/>
      <c r="HF95" s="189"/>
      <c r="HG95" s="189"/>
      <c r="HH95" s="189"/>
      <c r="HI95" s="189"/>
      <c r="HJ95" s="189"/>
      <c r="HK95" s="189"/>
      <c r="HL95" s="189"/>
      <c r="HM95" s="189"/>
      <c r="HN95" s="189"/>
      <c r="HO95" s="189"/>
      <c r="HP95" s="189"/>
      <c r="HQ95" s="189"/>
      <c r="HR95" s="189"/>
      <c r="HS95" s="189"/>
      <c r="HT95" s="189"/>
      <c r="HU95" s="189"/>
      <c r="HV95" s="189"/>
      <c r="HW95" s="189"/>
      <c r="HX95" s="189"/>
      <c r="HY95" s="189"/>
      <c r="HZ95" s="189"/>
      <c r="IA95" s="189"/>
      <c r="IB95" s="189"/>
      <c r="IC95" s="189"/>
      <c r="ID95" s="189"/>
      <c r="IE95" s="189"/>
      <c r="IF95" s="189"/>
      <c r="IG95" s="189"/>
      <c r="IH95" s="189"/>
      <c r="II95" s="189"/>
      <c r="IJ95" s="189"/>
      <c r="IK95" s="189"/>
      <c r="IL95" s="189"/>
      <c r="IM95" s="189"/>
      <c r="IN95" s="189"/>
      <c r="IO95" s="189"/>
      <c r="IP95" s="189"/>
      <c r="IQ95" s="189"/>
      <c r="IR95" s="189"/>
      <c r="IS95" s="189"/>
      <c r="IT95" s="189"/>
      <c r="IU95" s="189"/>
      <c r="IV95" s="189"/>
    </row>
    <row r="96" spans="1:256" ht="15">
      <c r="A96" s="836"/>
      <c r="B96" s="839"/>
      <c r="C96" s="183" t="s">
        <v>1</v>
      </c>
      <c r="D96" s="191">
        <f>D99</f>
        <v>17000</v>
      </c>
      <c r="E96" s="175">
        <f>E99</f>
        <v>0</v>
      </c>
      <c r="F96" s="175">
        <f t="shared" si="33"/>
        <v>0</v>
      </c>
      <c r="G96" s="175">
        <f t="shared" si="33"/>
        <v>0</v>
      </c>
      <c r="H96" s="175">
        <f t="shared" si="33"/>
        <v>0</v>
      </c>
      <c r="I96" s="175">
        <f t="shared" si="33"/>
        <v>0</v>
      </c>
      <c r="J96" s="175">
        <f t="shared" si="33"/>
        <v>0</v>
      </c>
      <c r="K96" s="175">
        <f t="shared" si="33"/>
        <v>0</v>
      </c>
      <c r="L96" s="175">
        <f t="shared" si="33"/>
        <v>0</v>
      </c>
      <c r="M96" s="175">
        <f t="shared" si="33"/>
        <v>17000</v>
      </c>
      <c r="N96" s="175">
        <f t="shared" si="33"/>
        <v>17000</v>
      </c>
      <c r="O96" s="175">
        <f t="shared" si="33"/>
        <v>0</v>
      </c>
      <c r="P96" s="175">
        <f t="shared" si="33"/>
        <v>0</v>
      </c>
      <c r="Q96" s="188"/>
      <c r="R96" s="188"/>
      <c r="S96" s="188"/>
      <c r="T96" s="188"/>
      <c r="U96" s="188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189"/>
      <c r="FO96" s="189"/>
      <c r="FP96" s="189"/>
      <c r="FQ96" s="189"/>
      <c r="FR96" s="189"/>
      <c r="FS96" s="189"/>
      <c r="FT96" s="189"/>
      <c r="FU96" s="189"/>
      <c r="FV96" s="189"/>
      <c r="FW96" s="189"/>
      <c r="FX96" s="189"/>
      <c r="FY96" s="189"/>
      <c r="FZ96" s="189"/>
      <c r="GA96" s="189"/>
      <c r="GB96" s="189"/>
      <c r="GC96" s="189"/>
      <c r="GD96" s="189"/>
      <c r="GE96" s="189"/>
      <c r="GF96" s="189"/>
      <c r="GG96" s="189"/>
      <c r="GH96" s="189"/>
      <c r="GI96" s="189"/>
      <c r="GJ96" s="189"/>
      <c r="GK96" s="189"/>
      <c r="GL96" s="189"/>
      <c r="GM96" s="189"/>
      <c r="GN96" s="189"/>
      <c r="GO96" s="189"/>
      <c r="GP96" s="189"/>
      <c r="GQ96" s="189"/>
      <c r="GR96" s="189"/>
      <c r="GS96" s="189"/>
      <c r="GT96" s="189"/>
      <c r="GU96" s="189"/>
      <c r="GV96" s="189"/>
      <c r="GW96" s="189"/>
      <c r="GX96" s="189"/>
      <c r="GY96" s="189"/>
      <c r="GZ96" s="189"/>
      <c r="HA96" s="189"/>
      <c r="HB96" s="189"/>
      <c r="HC96" s="189"/>
      <c r="HD96" s="189"/>
      <c r="HE96" s="189"/>
      <c r="HF96" s="189"/>
      <c r="HG96" s="189"/>
      <c r="HH96" s="189"/>
      <c r="HI96" s="189"/>
      <c r="HJ96" s="189"/>
      <c r="HK96" s="189"/>
      <c r="HL96" s="189"/>
      <c r="HM96" s="189"/>
      <c r="HN96" s="189"/>
      <c r="HO96" s="189"/>
      <c r="HP96" s="189"/>
      <c r="HQ96" s="189"/>
      <c r="HR96" s="189"/>
      <c r="HS96" s="189"/>
      <c r="HT96" s="189"/>
      <c r="HU96" s="189"/>
      <c r="HV96" s="189"/>
      <c r="HW96" s="189"/>
      <c r="HX96" s="189"/>
      <c r="HY96" s="189"/>
      <c r="HZ96" s="189"/>
      <c r="IA96" s="189"/>
      <c r="IB96" s="189"/>
      <c r="IC96" s="189"/>
      <c r="ID96" s="189"/>
      <c r="IE96" s="189"/>
      <c r="IF96" s="189"/>
      <c r="IG96" s="189"/>
      <c r="IH96" s="189"/>
      <c r="II96" s="189"/>
      <c r="IJ96" s="189"/>
      <c r="IK96" s="189"/>
      <c r="IL96" s="189"/>
      <c r="IM96" s="189"/>
      <c r="IN96" s="189"/>
      <c r="IO96" s="189"/>
      <c r="IP96" s="189"/>
      <c r="IQ96" s="189"/>
      <c r="IR96" s="189"/>
      <c r="IS96" s="189"/>
      <c r="IT96" s="189"/>
      <c r="IU96" s="189"/>
      <c r="IV96" s="189"/>
    </row>
    <row r="97" spans="1:256" ht="15">
      <c r="A97" s="837"/>
      <c r="B97" s="840"/>
      <c r="C97" s="183" t="s">
        <v>2</v>
      </c>
      <c r="D97" s="191">
        <f>D95+D96</f>
        <v>1489099</v>
      </c>
      <c r="E97" s="175">
        <f t="shared" ref="E97:P97" si="34">E95+E96</f>
        <v>872500</v>
      </c>
      <c r="F97" s="175">
        <f t="shared" si="34"/>
        <v>872500</v>
      </c>
      <c r="G97" s="175">
        <f t="shared" si="34"/>
        <v>0</v>
      </c>
      <c r="H97" s="175">
        <f t="shared" si="34"/>
        <v>872500</v>
      </c>
      <c r="I97" s="175">
        <f t="shared" si="34"/>
        <v>0</v>
      </c>
      <c r="J97" s="175">
        <f t="shared" si="34"/>
        <v>0</v>
      </c>
      <c r="K97" s="175">
        <f t="shared" si="34"/>
        <v>0</v>
      </c>
      <c r="L97" s="175">
        <f t="shared" si="34"/>
        <v>0</v>
      </c>
      <c r="M97" s="175">
        <f t="shared" si="34"/>
        <v>616599</v>
      </c>
      <c r="N97" s="175">
        <f t="shared" si="34"/>
        <v>616599</v>
      </c>
      <c r="O97" s="175">
        <f t="shared" si="34"/>
        <v>0</v>
      </c>
      <c r="P97" s="175">
        <f t="shared" si="34"/>
        <v>0</v>
      </c>
      <c r="Q97" s="188"/>
      <c r="R97" s="188"/>
      <c r="S97" s="188"/>
      <c r="T97" s="188"/>
      <c r="U97" s="188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  <c r="IN97" s="189"/>
      <c r="IO97" s="189"/>
      <c r="IP97" s="189"/>
      <c r="IQ97" s="189"/>
      <c r="IR97" s="189"/>
      <c r="IS97" s="189"/>
      <c r="IT97" s="189"/>
      <c r="IU97" s="189"/>
      <c r="IV97" s="189"/>
    </row>
    <row r="98" spans="1:256">
      <c r="A98" s="841" t="s">
        <v>209</v>
      </c>
      <c r="B98" s="844" t="s">
        <v>210</v>
      </c>
      <c r="C98" s="178" t="s">
        <v>0</v>
      </c>
      <c r="D98" s="180">
        <f>E98+M98</f>
        <v>1472099</v>
      </c>
      <c r="E98" s="181">
        <f>F98+I98+J98+K98+L98</f>
        <v>872500</v>
      </c>
      <c r="F98" s="181">
        <f>G98+H98</f>
        <v>872500</v>
      </c>
      <c r="G98" s="181">
        <v>0</v>
      </c>
      <c r="H98" s="181">
        <f>895140-22640</f>
        <v>872500</v>
      </c>
      <c r="I98" s="181">
        <v>0</v>
      </c>
      <c r="J98" s="181">
        <v>0</v>
      </c>
      <c r="K98" s="181">
        <v>0</v>
      </c>
      <c r="L98" s="181">
        <v>0</v>
      </c>
      <c r="M98" s="181">
        <f>N98+P98</f>
        <v>599599</v>
      </c>
      <c r="N98" s="181">
        <v>599599</v>
      </c>
      <c r="O98" s="181">
        <v>0</v>
      </c>
      <c r="P98" s="181">
        <v>0</v>
      </c>
      <c r="Q98" s="182"/>
      <c r="R98" s="182"/>
      <c r="S98" s="182"/>
      <c r="T98" s="182"/>
      <c r="U98" s="182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  <c r="HN98" s="148"/>
      <c r="HO98" s="148"/>
      <c r="HP98" s="148"/>
      <c r="HQ98" s="148"/>
      <c r="HR98" s="148"/>
      <c r="HS98" s="148"/>
      <c r="HT98" s="148"/>
      <c r="HU98" s="148"/>
      <c r="HV98" s="148"/>
      <c r="HW98" s="148"/>
      <c r="HX98" s="148"/>
      <c r="HY98" s="148"/>
      <c r="HZ98" s="148"/>
      <c r="IA98" s="148"/>
      <c r="IB98" s="148"/>
      <c r="IC98" s="148"/>
      <c r="ID98" s="148"/>
      <c r="IE98" s="148"/>
      <c r="IF98" s="148"/>
      <c r="IG98" s="148"/>
      <c r="IH98" s="148"/>
      <c r="II98" s="148"/>
      <c r="IJ98" s="148"/>
      <c r="IK98" s="148"/>
      <c r="IL98" s="148"/>
      <c r="IM98" s="148"/>
      <c r="IN98" s="148"/>
      <c r="IO98" s="148"/>
      <c r="IP98" s="148"/>
      <c r="IQ98" s="148"/>
      <c r="IR98" s="148"/>
      <c r="IS98" s="148"/>
      <c r="IT98" s="148"/>
      <c r="IU98" s="148"/>
      <c r="IV98" s="148"/>
    </row>
    <row r="99" spans="1:256">
      <c r="A99" s="842"/>
      <c r="B99" s="845"/>
      <c r="C99" s="178" t="s">
        <v>1</v>
      </c>
      <c r="D99" s="180">
        <f>E99+M99</f>
        <v>17000</v>
      </c>
      <c r="E99" s="181">
        <f>F99+I99+J99+K99+L99</f>
        <v>0</v>
      </c>
      <c r="F99" s="181">
        <f>G99+H99</f>
        <v>0</v>
      </c>
      <c r="G99" s="181"/>
      <c r="H99" s="181"/>
      <c r="I99" s="181"/>
      <c r="J99" s="181"/>
      <c r="K99" s="181"/>
      <c r="L99" s="181"/>
      <c r="M99" s="181">
        <f>N99+P99</f>
        <v>17000</v>
      </c>
      <c r="N99" s="181">
        <v>17000</v>
      </c>
      <c r="O99" s="181"/>
      <c r="P99" s="181"/>
      <c r="Q99" s="182"/>
      <c r="R99" s="182"/>
      <c r="S99" s="182"/>
      <c r="T99" s="182"/>
      <c r="U99" s="182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148"/>
      <c r="GU99" s="148"/>
      <c r="GV99" s="148"/>
      <c r="GW99" s="148"/>
      <c r="GX99" s="148"/>
      <c r="GY99" s="148"/>
      <c r="GZ99" s="148"/>
      <c r="HA99" s="148"/>
      <c r="HB99" s="148"/>
      <c r="HC99" s="148"/>
      <c r="HD99" s="148"/>
      <c r="HE99" s="148"/>
      <c r="HF99" s="148"/>
      <c r="HG99" s="148"/>
      <c r="HH99" s="148"/>
      <c r="HI99" s="148"/>
      <c r="HJ99" s="148"/>
      <c r="HK99" s="148"/>
      <c r="HL99" s="148"/>
      <c r="HM99" s="148"/>
      <c r="HN99" s="148"/>
      <c r="HO99" s="148"/>
      <c r="HP99" s="148"/>
      <c r="HQ99" s="148"/>
      <c r="HR99" s="148"/>
      <c r="HS99" s="148"/>
      <c r="HT99" s="148"/>
      <c r="HU99" s="148"/>
      <c r="HV99" s="148"/>
      <c r="HW99" s="148"/>
      <c r="HX99" s="148"/>
      <c r="HY99" s="148"/>
      <c r="HZ99" s="148"/>
      <c r="IA99" s="148"/>
      <c r="IB99" s="148"/>
      <c r="IC99" s="148"/>
      <c r="ID99" s="148"/>
      <c r="IE99" s="148"/>
      <c r="IF99" s="148"/>
      <c r="IG99" s="148"/>
      <c r="IH99" s="148"/>
      <c r="II99" s="148"/>
      <c r="IJ99" s="148"/>
      <c r="IK99" s="148"/>
      <c r="IL99" s="148"/>
      <c r="IM99" s="148"/>
      <c r="IN99" s="148"/>
      <c r="IO99" s="148"/>
      <c r="IP99" s="148"/>
      <c r="IQ99" s="148"/>
      <c r="IR99" s="148"/>
      <c r="IS99" s="148"/>
      <c r="IT99" s="148"/>
      <c r="IU99" s="148"/>
      <c r="IV99" s="148"/>
    </row>
    <row r="100" spans="1:256">
      <c r="A100" s="843"/>
      <c r="B100" s="846"/>
      <c r="C100" s="178" t="s">
        <v>2</v>
      </c>
      <c r="D100" s="180">
        <f>D98+D99</f>
        <v>1489099</v>
      </c>
      <c r="E100" s="181">
        <f t="shared" ref="E100:P100" si="35">E98+E99</f>
        <v>872500</v>
      </c>
      <c r="F100" s="181">
        <f t="shared" si="35"/>
        <v>872500</v>
      </c>
      <c r="G100" s="181">
        <f t="shared" si="35"/>
        <v>0</v>
      </c>
      <c r="H100" s="181">
        <f t="shared" si="35"/>
        <v>872500</v>
      </c>
      <c r="I100" s="181">
        <f t="shared" si="35"/>
        <v>0</v>
      </c>
      <c r="J100" s="181">
        <f t="shared" si="35"/>
        <v>0</v>
      </c>
      <c r="K100" s="181">
        <f t="shared" si="35"/>
        <v>0</v>
      </c>
      <c r="L100" s="181">
        <f t="shared" si="35"/>
        <v>0</v>
      </c>
      <c r="M100" s="181">
        <f t="shared" si="35"/>
        <v>616599</v>
      </c>
      <c r="N100" s="181">
        <f t="shared" si="35"/>
        <v>616599</v>
      </c>
      <c r="O100" s="181">
        <f t="shared" si="35"/>
        <v>0</v>
      </c>
      <c r="P100" s="181">
        <f t="shared" si="35"/>
        <v>0</v>
      </c>
      <c r="Q100" s="182"/>
      <c r="R100" s="182"/>
      <c r="S100" s="182"/>
      <c r="T100" s="182"/>
      <c r="U100" s="182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  <c r="IP100" s="148"/>
      <c r="IQ100" s="148"/>
      <c r="IR100" s="148"/>
      <c r="IS100" s="148"/>
      <c r="IT100" s="148"/>
      <c r="IU100" s="148"/>
      <c r="IV100" s="148"/>
    </row>
    <row r="101" spans="1:256" ht="15">
      <c r="A101" s="835" t="s">
        <v>49</v>
      </c>
      <c r="B101" s="838" t="s">
        <v>50</v>
      </c>
      <c r="C101" s="183" t="s">
        <v>0</v>
      </c>
      <c r="D101" s="191">
        <f>D104+D107+D110+D113+D116</f>
        <v>9273499</v>
      </c>
      <c r="E101" s="175">
        <f t="shared" ref="E101:P102" si="36">E104+E107+E110+E113+E116</f>
        <v>6940499</v>
      </c>
      <c r="F101" s="175">
        <f t="shared" si="36"/>
        <v>6935499</v>
      </c>
      <c r="G101" s="175">
        <f t="shared" si="36"/>
        <v>5901549</v>
      </c>
      <c r="H101" s="175">
        <f t="shared" si="36"/>
        <v>1033950</v>
      </c>
      <c r="I101" s="175">
        <f t="shared" si="36"/>
        <v>0</v>
      </c>
      <c r="J101" s="175">
        <f t="shared" si="36"/>
        <v>5000</v>
      </c>
      <c r="K101" s="175">
        <f t="shared" si="36"/>
        <v>0</v>
      </c>
      <c r="L101" s="175">
        <f t="shared" si="36"/>
        <v>0</v>
      </c>
      <c r="M101" s="175">
        <f t="shared" si="36"/>
        <v>2333000</v>
      </c>
      <c r="N101" s="175">
        <f t="shared" si="36"/>
        <v>35000</v>
      </c>
      <c r="O101" s="175">
        <f t="shared" si="36"/>
        <v>0</v>
      </c>
      <c r="P101" s="175">
        <f t="shared" si="36"/>
        <v>2298000</v>
      </c>
      <c r="Q101" s="188"/>
      <c r="R101" s="188"/>
      <c r="S101" s="188"/>
      <c r="T101" s="188"/>
      <c r="U101" s="188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89"/>
      <c r="DF101" s="189"/>
      <c r="DG101" s="189"/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189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  <c r="FH101" s="189"/>
      <c r="FI101" s="189"/>
      <c r="FJ101" s="189"/>
      <c r="FK101" s="189"/>
      <c r="FL101" s="189"/>
      <c r="FM101" s="189"/>
      <c r="FN101" s="189"/>
      <c r="FO101" s="189"/>
      <c r="FP101" s="189"/>
      <c r="FQ101" s="189"/>
      <c r="FR101" s="189"/>
      <c r="FS101" s="189"/>
      <c r="FT101" s="189"/>
      <c r="FU101" s="189"/>
      <c r="FV101" s="189"/>
      <c r="FW101" s="189"/>
      <c r="FX101" s="189"/>
      <c r="FY101" s="189"/>
      <c r="FZ101" s="189"/>
      <c r="GA101" s="189"/>
      <c r="GB101" s="189"/>
      <c r="GC101" s="189"/>
      <c r="GD101" s="189"/>
      <c r="GE101" s="189"/>
      <c r="GF101" s="189"/>
      <c r="GG101" s="189"/>
      <c r="GH101" s="189"/>
      <c r="GI101" s="189"/>
      <c r="GJ101" s="189"/>
      <c r="GK101" s="189"/>
      <c r="GL101" s="189"/>
      <c r="GM101" s="189"/>
      <c r="GN101" s="189"/>
      <c r="GO101" s="189"/>
      <c r="GP101" s="189"/>
      <c r="GQ101" s="189"/>
      <c r="GR101" s="189"/>
      <c r="GS101" s="189"/>
      <c r="GT101" s="189"/>
      <c r="GU101" s="189"/>
      <c r="GV101" s="189"/>
      <c r="GW101" s="189"/>
      <c r="GX101" s="189"/>
      <c r="GY101" s="189"/>
      <c r="GZ101" s="189"/>
      <c r="HA101" s="189"/>
      <c r="HB101" s="189"/>
      <c r="HC101" s="189"/>
      <c r="HD101" s="189"/>
      <c r="HE101" s="189"/>
      <c r="HF101" s="189"/>
      <c r="HG101" s="189"/>
      <c r="HH101" s="189"/>
      <c r="HI101" s="189"/>
      <c r="HJ101" s="189"/>
      <c r="HK101" s="189"/>
      <c r="HL101" s="189"/>
      <c r="HM101" s="189"/>
      <c r="HN101" s="189"/>
      <c r="HO101" s="189"/>
      <c r="HP101" s="189"/>
      <c r="HQ101" s="189"/>
      <c r="HR101" s="189"/>
      <c r="HS101" s="189"/>
      <c r="HT101" s="189"/>
      <c r="HU101" s="189"/>
      <c r="HV101" s="189"/>
      <c r="HW101" s="189"/>
      <c r="HX101" s="189"/>
      <c r="HY101" s="189"/>
      <c r="HZ101" s="189"/>
      <c r="IA101" s="189"/>
      <c r="IB101" s="189"/>
      <c r="IC101" s="189"/>
      <c r="ID101" s="189"/>
      <c r="IE101" s="189"/>
      <c r="IF101" s="189"/>
      <c r="IG101" s="189"/>
      <c r="IH101" s="189"/>
      <c r="II101" s="189"/>
      <c r="IJ101" s="189"/>
      <c r="IK101" s="189"/>
      <c r="IL101" s="189"/>
      <c r="IM101" s="189"/>
      <c r="IN101" s="189"/>
      <c r="IO101" s="189"/>
      <c r="IP101" s="189"/>
      <c r="IQ101" s="189"/>
      <c r="IR101" s="189"/>
      <c r="IS101" s="189"/>
      <c r="IT101" s="189"/>
      <c r="IU101" s="189"/>
      <c r="IV101" s="189"/>
    </row>
    <row r="102" spans="1:256" ht="15">
      <c r="A102" s="836"/>
      <c r="B102" s="839"/>
      <c r="C102" s="183" t="s">
        <v>1</v>
      </c>
      <c r="D102" s="191">
        <f>D105+D108+D111+D114+D117</f>
        <v>2250000</v>
      </c>
      <c r="E102" s="175">
        <f t="shared" si="36"/>
        <v>0</v>
      </c>
      <c r="F102" s="175">
        <f t="shared" si="36"/>
        <v>0</v>
      </c>
      <c r="G102" s="175">
        <f t="shared" si="36"/>
        <v>0</v>
      </c>
      <c r="H102" s="175">
        <f t="shared" si="36"/>
        <v>0</v>
      </c>
      <c r="I102" s="175">
        <f t="shared" si="36"/>
        <v>0</v>
      </c>
      <c r="J102" s="175">
        <f t="shared" si="36"/>
        <v>0</v>
      </c>
      <c r="K102" s="175">
        <f t="shared" si="36"/>
        <v>0</v>
      </c>
      <c r="L102" s="175">
        <f t="shared" si="36"/>
        <v>0</v>
      </c>
      <c r="M102" s="175">
        <f t="shared" si="36"/>
        <v>2250000</v>
      </c>
      <c r="N102" s="175">
        <f t="shared" si="36"/>
        <v>0</v>
      </c>
      <c r="O102" s="175">
        <f t="shared" si="36"/>
        <v>0</v>
      </c>
      <c r="P102" s="175">
        <f t="shared" si="36"/>
        <v>2250000</v>
      </c>
      <c r="Q102" s="188"/>
      <c r="R102" s="188"/>
      <c r="S102" s="188"/>
      <c r="T102" s="188"/>
      <c r="U102" s="188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  <c r="FH102" s="189"/>
      <c r="FI102" s="189"/>
      <c r="FJ102" s="189"/>
      <c r="FK102" s="189"/>
      <c r="FL102" s="189"/>
      <c r="FM102" s="189"/>
      <c r="FN102" s="189"/>
      <c r="FO102" s="189"/>
      <c r="FP102" s="189"/>
      <c r="FQ102" s="189"/>
      <c r="FR102" s="189"/>
      <c r="FS102" s="189"/>
      <c r="FT102" s="189"/>
      <c r="FU102" s="189"/>
      <c r="FV102" s="189"/>
      <c r="FW102" s="189"/>
      <c r="FX102" s="189"/>
      <c r="FY102" s="189"/>
      <c r="FZ102" s="189"/>
      <c r="GA102" s="189"/>
      <c r="GB102" s="189"/>
      <c r="GC102" s="189"/>
      <c r="GD102" s="189"/>
      <c r="GE102" s="189"/>
      <c r="GF102" s="189"/>
      <c r="GG102" s="189"/>
      <c r="GH102" s="189"/>
      <c r="GI102" s="189"/>
      <c r="GJ102" s="189"/>
      <c r="GK102" s="189"/>
      <c r="GL102" s="189"/>
      <c r="GM102" s="189"/>
      <c r="GN102" s="189"/>
      <c r="GO102" s="189"/>
      <c r="GP102" s="189"/>
      <c r="GQ102" s="189"/>
      <c r="GR102" s="189"/>
      <c r="GS102" s="189"/>
      <c r="GT102" s="189"/>
      <c r="GU102" s="189"/>
      <c r="GV102" s="189"/>
      <c r="GW102" s="189"/>
      <c r="GX102" s="189"/>
      <c r="GY102" s="189"/>
      <c r="GZ102" s="189"/>
      <c r="HA102" s="189"/>
      <c r="HB102" s="189"/>
      <c r="HC102" s="189"/>
      <c r="HD102" s="189"/>
      <c r="HE102" s="189"/>
      <c r="HF102" s="189"/>
      <c r="HG102" s="189"/>
      <c r="HH102" s="189"/>
      <c r="HI102" s="189"/>
      <c r="HJ102" s="189"/>
      <c r="HK102" s="189"/>
      <c r="HL102" s="189"/>
      <c r="HM102" s="189"/>
      <c r="HN102" s="189"/>
      <c r="HO102" s="189"/>
      <c r="HP102" s="189"/>
      <c r="HQ102" s="189"/>
      <c r="HR102" s="189"/>
      <c r="HS102" s="189"/>
      <c r="HT102" s="189"/>
      <c r="HU102" s="189"/>
      <c r="HV102" s="189"/>
      <c r="HW102" s="189"/>
      <c r="HX102" s="189"/>
      <c r="HY102" s="189"/>
      <c r="HZ102" s="189"/>
      <c r="IA102" s="189"/>
      <c r="IB102" s="189"/>
      <c r="IC102" s="189"/>
      <c r="ID102" s="189"/>
      <c r="IE102" s="189"/>
      <c r="IF102" s="189"/>
      <c r="IG102" s="189"/>
      <c r="IH102" s="189"/>
      <c r="II102" s="189"/>
      <c r="IJ102" s="189"/>
      <c r="IK102" s="189"/>
      <c r="IL102" s="189"/>
      <c r="IM102" s="189"/>
      <c r="IN102" s="189"/>
      <c r="IO102" s="189"/>
      <c r="IP102" s="189"/>
      <c r="IQ102" s="189"/>
      <c r="IR102" s="189"/>
      <c r="IS102" s="189"/>
      <c r="IT102" s="189"/>
      <c r="IU102" s="189"/>
      <c r="IV102" s="189"/>
    </row>
    <row r="103" spans="1:256" ht="15">
      <c r="A103" s="837"/>
      <c r="B103" s="840"/>
      <c r="C103" s="183" t="s">
        <v>2</v>
      </c>
      <c r="D103" s="191">
        <f>D101+D102</f>
        <v>11523499</v>
      </c>
      <c r="E103" s="175">
        <f t="shared" ref="E103:P103" si="37">E101+E102</f>
        <v>6940499</v>
      </c>
      <c r="F103" s="175">
        <f t="shared" si="37"/>
        <v>6935499</v>
      </c>
      <c r="G103" s="175">
        <f t="shared" si="37"/>
        <v>5901549</v>
      </c>
      <c r="H103" s="175">
        <f t="shared" si="37"/>
        <v>1033950</v>
      </c>
      <c r="I103" s="175">
        <f t="shared" si="37"/>
        <v>0</v>
      </c>
      <c r="J103" s="175">
        <f t="shared" si="37"/>
        <v>5000</v>
      </c>
      <c r="K103" s="175">
        <f t="shared" si="37"/>
        <v>0</v>
      </c>
      <c r="L103" s="175">
        <f t="shared" si="37"/>
        <v>0</v>
      </c>
      <c r="M103" s="175">
        <f t="shared" si="37"/>
        <v>4583000</v>
      </c>
      <c r="N103" s="175">
        <f t="shared" si="37"/>
        <v>35000</v>
      </c>
      <c r="O103" s="175">
        <f t="shared" si="37"/>
        <v>0</v>
      </c>
      <c r="P103" s="175">
        <f t="shared" si="37"/>
        <v>4548000</v>
      </c>
      <c r="Q103" s="188"/>
      <c r="R103" s="188"/>
      <c r="S103" s="188"/>
      <c r="T103" s="188"/>
      <c r="U103" s="188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  <c r="IN103" s="189"/>
      <c r="IO103" s="189"/>
      <c r="IP103" s="189"/>
      <c r="IQ103" s="189"/>
      <c r="IR103" s="189"/>
      <c r="IS103" s="189"/>
      <c r="IT103" s="189"/>
      <c r="IU103" s="189"/>
      <c r="IV103" s="189"/>
    </row>
    <row r="104" spans="1:256" hidden="1">
      <c r="A104" s="841" t="s">
        <v>211</v>
      </c>
      <c r="B104" s="844" t="s">
        <v>212</v>
      </c>
      <c r="C104" s="178" t="s">
        <v>0</v>
      </c>
      <c r="D104" s="180">
        <f>E104+M104</f>
        <v>6394499</v>
      </c>
      <c r="E104" s="181">
        <f>F104+I104+J104+K104+L104</f>
        <v>6394499</v>
      </c>
      <c r="F104" s="181">
        <f>G104+H104</f>
        <v>6389499</v>
      </c>
      <c r="G104" s="181">
        <v>5564549</v>
      </c>
      <c r="H104" s="181">
        <v>824950</v>
      </c>
      <c r="I104" s="181">
        <v>0</v>
      </c>
      <c r="J104" s="181">
        <v>5000</v>
      </c>
      <c r="K104" s="181">
        <v>0</v>
      </c>
      <c r="L104" s="181">
        <v>0</v>
      </c>
      <c r="M104" s="181">
        <f>N104+P104</f>
        <v>0</v>
      </c>
      <c r="N104" s="181">
        <v>0</v>
      </c>
      <c r="O104" s="181">
        <v>0</v>
      </c>
      <c r="P104" s="181">
        <v>0</v>
      </c>
      <c r="Q104" s="182"/>
      <c r="R104" s="182"/>
      <c r="S104" s="182"/>
      <c r="T104" s="182"/>
      <c r="U104" s="182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  <c r="IP104" s="148"/>
      <c r="IQ104" s="148"/>
      <c r="IR104" s="148"/>
      <c r="IS104" s="148"/>
      <c r="IT104" s="148"/>
      <c r="IU104" s="148"/>
      <c r="IV104" s="148"/>
    </row>
    <row r="105" spans="1:256" hidden="1">
      <c r="A105" s="842"/>
      <c r="B105" s="845"/>
      <c r="C105" s="178" t="s">
        <v>1</v>
      </c>
      <c r="D105" s="180">
        <f>E105+M105</f>
        <v>0</v>
      </c>
      <c r="E105" s="181">
        <f>F105+I105+J105+K105+L105</f>
        <v>0</v>
      </c>
      <c r="F105" s="181">
        <f>G105+H105</f>
        <v>0</v>
      </c>
      <c r="G105" s="181"/>
      <c r="H105" s="181"/>
      <c r="I105" s="181"/>
      <c r="J105" s="181"/>
      <c r="K105" s="181"/>
      <c r="L105" s="181"/>
      <c r="M105" s="181">
        <f>N105+P105</f>
        <v>0</v>
      </c>
      <c r="N105" s="181"/>
      <c r="O105" s="181"/>
      <c r="P105" s="181"/>
      <c r="Q105" s="182"/>
      <c r="R105" s="182"/>
      <c r="S105" s="182"/>
      <c r="T105" s="182"/>
      <c r="U105" s="182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  <c r="IP105" s="148"/>
      <c r="IQ105" s="148"/>
      <c r="IR105" s="148"/>
      <c r="IS105" s="148"/>
      <c r="IT105" s="148"/>
      <c r="IU105" s="148"/>
      <c r="IV105" s="148"/>
    </row>
    <row r="106" spans="1:256" hidden="1">
      <c r="A106" s="843"/>
      <c r="B106" s="846"/>
      <c r="C106" s="178" t="s">
        <v>2</v>
      </c>
      <c r="D106" s="180">
        <f>D104+D105</f>
        <v>6394499</v>
      </c>
      <c r="E106" s="181">
        <f t="shared" ref="E106:P106" si="38">E104+E105</f>
        <v>6394499</v>
      </c>
      <c r="F106" s="181">
        <f t="shared" si="38"/>
        <v>6389499</v>
      </c>
      <c r="G106" s="181">
        <f t="shared" si="38"/>
        <v>5564549</v>
      </c>
      <c r="H106" s="181">
        <f t="shared" si="38"/>
        <v>824950</v>
      </c>
      <c r="I106" s="181">
        <f t="shared" si="38"/>
        <v>0</v>
      </c>
      <c r="J106" s="181">
        <f t="shared" si="38"/>
        <v>5000</v>
      </c>
      <c r="K106" s="181">
        <f t="shared" si="38"/>
        <v>0</v>
      </c>
      <c r="L106" s="181">
        <f t="shared" si="38"/>
        <v>0</v>
      </c>
      <c r="M106" s="181">
        <f t="shared" si="38"/>
        <v>0</v>
      </c>
      <c r="N106" s="181">
        <f t="shared" si="38"/>
        <v>0</v>
      </c>
      <c r="O106" s="181">
        <f t="shared" si="38"/>
        <v>0</v>
      </c>
      <c r="P106" s="181">
        <f t="shared" si="38"/>
        <v>0</v>
      </c>
      <c r="Q106" s="182"/>
      <c r="R106" s="182"/>
      <c r="S106" s="182"/>
      <c r="T106" s="182"/>
      <c r="U106" s="182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  <c r="IP106" s="148"/>
      <c r="IQ106" s="148"/>
      <c r="IR106" s="148"/>
      <c r="IS106" s="148"/>
      <c r="IT106" s="148"/>
      <c r="IU106" s="148"/>
      <c r="IV106" s="148"/>
    </row>
    <row r="107" spans="1:256" hidden="1">
      <c r="A107" s="841" t="s">
        <v>213</v>
      </c>
      <c r="B107" s="844" t="s">
        <v>214</v>
      </c>
      <c r="C107" s="178" t="s">
        <v>0</v>
      </c>
      <c r="D107" s="180">
        <f>E107+M107</f>
        <v>55000</v>
      </c>
      <c r="E107" s="181">
        <f>F107+I107+J107+K107+L107</f>
        <v>20000</v>
      </c>
      <c r="F107" s="181">
        <f>G107+H107</f>
        <v>20000</v>
      </c>
      <c r="G107" s="181">
        <v>5000</v>
      </c>
      <c r="H107" s="181">
        <f>20000-5000</f>
        <v>15000</v>
      </c>
      <c r="I107" s="181">
        <v>0</v>
      </c>
      <c r="J107" s="181">
        <v>0</v>
      </c>
      <c r="K107" s="181">
        <v>0</v>
      </c>
      <c r="L107" s="181">
        <v>0</v>
      </c>
      <c r="M107" s="181">
        <f>N107+P107</f>
        <v>35000</v>
      </c>
      <c r="N107" s="181">
        <v>35000</v>
      </c>
      <c r="O107" s="181">
        <v>0</v>
      </c>
      <c r="P107" s="181">
        <v>0</v>
      </c>
      <c r="Q107" s="182"/>
      <c r="R107" s="182"/>
      <c r="S107" s="182"/>
      <c r="T107" s="182"/>
      <c r="U107" s="182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  <c r="IP107" s="148"/>
      <c r="IQ107" s="148"/>
      <c r="IR107" s="148"/>
      <c r="IS107" s="148"/>
      <c r="IT107" s="148"/>
      <c r="IU107" s="148"/>
      <c r="IV107" s="148"/>
    </row>
    <row r="108" spans="1:256" hidden="1">
      <c r="A108" s="842"/>
      <c r="B108" s="845"/>
      <c r="C108" s="178" t="s">
        <v>1</v>
      </c>
      <c r="D108" s="180">
        <f>E108+M108</f>
        <v>0</v>
      </c>
      <c r="E108" s="181">
        <f>F108+I108+J108+K108+L108</f>
        <v>0</v>
      </c>
      <c r="F108" s="181">
        <f>G108+H108</f>
        <v>0</v>
      </c>
      <c r="G108" s="181"/>
      <c r="H108" s="181"/>
      <c r="I108" s="181"/>
      <c r="J108" s="181"/>
      <c r="K108" s="181"/>
      <c r="L108" s="181"/>
      <c r="M108" s="181">
        <f>N108+P108</f>
        <v>0</v>
      </c>
      <c r="N108" s="181"/>
      <c r="O108" s="181"/>
      <c r="P108" s="181"/>
      <c r="Q108" s="182"/>
      <c r="R108" s="182"/>
      <c r="S108" s="182"/>
      <c r="T108" s="182"/>
      <c r="U108" s="182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</row>
    <row r="109" spans="1:256" hidden="1">
      <c r="A109" s="843"/>
      <c r="B109" s="846"/>
      <c r="C109" s="178" t="s">
        <v>2</v>
      </c>
      <c r="D109" s="180">
        <f>D107+D108</f>
        <v>55000</v>
      </c>
      <c r="E109" s="181">
        <f t="shared" ref="E109:P109" si="39">E107+E108</f>
        <v>20000</v>
      </c>
      <c r="F109" s="181">
        <f t="shared" si="39"/>
        <v>20000</v>
      </c>
      <c r="G109" s="181">
        <f t="shared" si="39"/>
        <v>5000</v>
      </c>
      <c r="H109" s="181">
        <f t="shared" si="39"/>
        <v>15000</v>
      </c>
      <c r="I109" s="181">
        <f t="shared" si="39"/>
        <v>0</v>
      </c>
      <c r="J109" s="181">
        <f t="shared" si="39"/>
        <v>0</v>
      </c>
      <c r="K109" s="181">
        <f t="shared" si="39"/>
        <v>0</v>
      </c>
      <c r="L109" s="181">
        <f t="shared" si="39"/>
        <v>0</v>
      </c>
      <c r="M109" s="181">
        <f t="shared" si="39"/>
        <v>35000</v>
      </c>
      <c r="N109" s="181">
        <f t="shared" si="39"/>
        <v>35000</v>
      </c>
      <c r="O109" s="181">
        <f t="shared" si="39"/>
        <v>0</v>
      </c>
      <c r="P109" s="181">
        <f t="shared" si="39"/>
        <v>0</v>
      </c>
      <c r="Q109" s="182"/>
      <c r="R109" s="182"/>
      <c r="S109" s="182"/>
      <c r="T109" s="182"/>
      <c r="U109" s="182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</row>
    <row r="110" spans="1:256" hidden="1">
      <c r="A110" s="841" t="s">
        <v>215</v>
      </c>
      <c r="B110" s="844" t="s">
        <v>216</v>
      </c>
      <c r="C110" s="178" t="s">
        <v>0</v>
      </c>
      <c r="D110" s="180">
        <f>E110+M110</f>
        <v>336000</v>
      </c>
      <c r="E110" s="181">
        <f>F110+I110+J110+K110+L110</f>
        <v>336000</v>
      </c>
      <c r="F110" s="181">
        <f>G110+H110</f>
        <v>336000</v>
      </c>
      <c r="G110" s="181">
        <v>332000</v>
      </c>
      <c r="H110" s="181">
        <v>4000</v>
      </c>
      <c r="I110" s="181">
        <v>0</v>
      </c>
      <c r="J110" s="181">
        <v>0</v>
      </c>
      <c r="K110" s="181">
        <v>0</v>
      </c>
      <c r="L110" s="181">
        <v>0</v>
      </c>
      <c r="M110" s="181">
        <f>N110+P110</f>
        <v>0</v>
      </c>
      <c r="N110" s="181">
        <v>0</v>
      </c>
      <c r="O110" s="181">
        <v>0</v>
      </c>
      <c r="P110" s="181">
        <v>0</v>
      </c>
      <c r="Q110" s="182"/>
      <c r="R110" s="182"/>
      <c r="S110" s="182"/>
      <c r="T110" s="182"/>
      <c r="U110" s="182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  <c r="IP110" s="148"/>
      <c r="IQ110" s="148"/>
      <c r="IR110" s="148"/>
      <c r="IS110" s="148"/>
      <c r="IT110" s="148"/>
      <c r="IU110" s="148"/>
      <c r="IV110" s="148"/>
    </row>
    <row r="111" spans="1:256" hidden="1">
      <c r="A111" s="842"/>
      <c r="B111" s="845"/>
      <c r="C111" s="178" t="s">
        <v>1</v>
      </c>
      <c r="D111" s="180">
        <f>E111+M111</f>
        <v>0</v>
      </c>
      <c r="E111" s="181">
        <f>F111+I111+J111+K111+L111</f>
        <v>0</v>
      </c>
      <c r="F111" s="181">
        <f>G111+H111</f>
        <v>0</v>
      </c>
      <c r="G111" s="181"/>
      <c r="H111" s="181"/>
      <c r="I111" s="181"/>
      <c r="J111" s="181"/>
      <c r="K111" s="181"/>
      <c r="L111" s="181"/>
      <c r="M111" s="181">
        <f>N111+P111</f>
        <v>0</v>
      </c>
      <c r="N111" s="181"/>
      <c r="O111" s="181"/>
      <c r="P111" s="181"/>
      <c r="Q111" s="182"/>
      <c r="R111" s="182"/>
      <c r="S111" s="182"/>
      <c r="T111" s="182"/>
      <c r="U111" s="18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  <c r="IP111" s="148"/>
      <c r="IQ111" s="148"/>
      <c r="IR111" s="148"/>
      <c r="IS111" s="148"/>
      <c r="IT111" s="148"/>
      <c r="IU111" s="148"/>
      <c r="IV111" s="148"/>
    </row>
    <row r="112" spans="1:256" hidden="1">
      <c r="A112" s="843"/>
      <c r="B112" s="846"/>
      <c r="C112" s="178" t="s">
        <v>2</v>
      </c>
      <c r="D112" s="180">
        <f>D110+D111</f>
        <v>336000</v>
      </c>
      <c r="E112" s="181">
        <f t="shared" ref="E112:P112" si="40">E110+E111</f>
        <v>336000</v>
      </c>
      <c r="F112" s="181">
        <f t="shared" si="40"/>
        <v>336000</v>
      </c>
      <c r="G112" s="181">
        <f t="shared" si="40"/>
        <v>332000</v>
      </c>
      <c r="H112" s="181">
        <f t="shared" si="40"/>
        <v>4000</v>
      </c>
      <c r="I112" s="181">
        <f t="shared" si="40"/>
        <v>0</v>
      </c>
      <c r="J112" s="181">
        <f t="shared" si="40"/>
        <v>0</v>
      </c>
      <c r="K112" s="181">
        <f t="shared" si="40"/>
        <v>0</v>
      </c>
      <c r="L112" s="181">
        <f t="shared" si="40"/>
        <v>0</v>
      </c>
      <c r="M112" s="181">
        <f t="shared" si="40"/>
        <v>0</v>
      </c>
      <c r="N112" s="181">
        <f t="shared" si="40"/>
        <v>0</v>
      </c>
      <c r="O112" s="181">
        <f t="shared" si="40"/>
        <v>0</v>
      </c>
      <c r="P112" s="181">
        <f t="shared" si="40"/>
        <v>0</v>
      </c>
      <c r="Q112" s="182"/>
      <c r="R112" s="182"/>
      <c r="S112" s="182"/>
      <c r="T112" s="182"/>
      <c r="U112" s="182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  <c r="IP112" s="148"/>
      <c r="IQ112" s="148"/>
      <c r="IR112" s="148"/>
      <c r="IS112" s="148"/>
      <c r="IT112" s="148"/>
      <c r="IU112" s="148"/>
      <c r="IV112" s="148"/>
    </row>
    <row r="113" spans="1:256" hidden="1">
      <c r="A113" s="841" t="s">
        <v>217</v>
      </c>
      <c r="B113" s="844" t="s">
        <v>218</v>
      </c>
      <c r="C113" s="178" t="s">
        <v>0</v>
      </c>
      <c r="D113" s="180">
        <f>E113+M113</f>
        <v>190000</v>
      </c>
      <c r="E113" s="181">
        <f>F113+I113+J113+K113+L113</f>
        <v>190000</v>
      </c>
      <c r="F113" s="181">
        <f>G113+H113</f>
        <v>190000</v>
      </c>
      <c r="G113" s="181">
        <v>0</v>
      </c>
      <c r="H113" s="181">
        <v>190000</v>
      </c>
      <c r="I113" s="181">
        <v>0</v>
      </c>
      <c r="J113" s="181">
        <v>0</v>
      </c>
      <c r="K113" s="181">
        <v>0</v>
      </c>
      <c r="L113" s="181">
        <v>0</v>
      </c>
      <c r="M113" s="181">
        <f>N113+P113</f>
        <v>0</v>
      </c>
      <c r="N113" s="181">
        <v>0</v>
      </c>
      <c r="O113" s="181">
        <v>0</v>
      </c>
      <c r="P113" s="181">
        <v>0</v>
      </c>
      <c r="Q113" s="182"/>
      <c r="R113" s="182"/>
      <c r="S113" s="182"/>
      <c r="T113" s="182"/>
      <c r="U113" s="182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  <c r="IP113" s="148"/>
      <c r="IQ113" s="148"/>
      <c r="IR113" s="148"/>
      <c r="IS113" s="148"/>
      <c r="IT113" s="148"/>
      <c r="IU113" s="148"/>
      <c r="IV113" s="148"/>
    </row>
    <row r="114" spans="1:256" hidden="1">
      <c r="A114" s="842"/>
      <c r="B114" s="845"/>
      <c r="C114" s="178" t="s">
        <v>1</v>
      </c>
      <c r="D114" s="180">
        <f>E114+M114</f>
        <v>0</v>
      </c>
      <c r="E114" s="181">
        <f>F114+I114+J114+K114+L114</f>
        <v>0</v>
      </c>
      <c r="F114" s="181">
        <f>G114+H114</f>
        <v>0</v>
      </c>
      <c r="G114" s="181"/>
      <c r="H114" s="181"/>
      <c r="I114" s="181"/>
      <c r="J114" s="181"/>
      <c r="K114" s="181"/>
      <c r="L114" s="181"/>
      <c r="M114" s="181">
        <f>N114+P114</f>
        <v>0</v>
      </c>
      <c r="N114" s="181"/>
      <c r="O114" s="181"/>
      <c r="P114" s="181"/>
      <c r="Q114" s="182"/>
      <c r="R114" s="182"/>
      <c r="S114" s="182"/>
      <c r="T114" s="182"/>
      <c r="U114" s="182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  <c r="HQ114" s="148"/>
      <c r="HR114" s="148"/>
      <c r="HS114" s="148"/>
      <c r="HT114" s="148"/>
      <c r="HU114" s="148"/>
      <c r="HV114" s="148"/>
      <c r="HW114" s="148"/>
      <c r="HX114" s="148"/>
      <c r="HY114" s="148"/>
      <c r="HZ114" s="148"/>
      <c r="IA114" s="148"/>
      <c r="IB114" s="148"/>
      <c r="IC114" s="148"/>
      <c r="ID114" s="148"/>
      <c r="IE114" s="148"/>
      <c r="IF114" s="148"/>
      <c r="IG114" s="148"/>
      <c r="IH114" s="148"/>
      <c r="II114" s="148"/>
      <c r="IJ114" s="148"/>
      <c r="IK114" s="148"/>
      <c r="IL114" s="148"/>
      <c r="IM114" s="148"/>
      <c r="IN114" s="148"/>
      <c r="IO114" s="148"/>
      <c r="IP114" s="148"/>
      <c r="IQ114" s="148"/>
      <c r="IR114" s="148"/>
      <c r="IS114" s="148"/>
      <c r="IT114" s="148"/>
      <c r="IU114" s="148"/>
      <c r="IV114" s="148"/>
    </row>
    <row r="115" spans="1:256" hidden="1">
      <c r="A115" s="843"/>
      <c r="B115" s="846"/>
      <c r="C115" s="178" t="s">
        <v>2</v>
      </c>
      <c r="D115" s="180">
        <f>D113+D114</f>
        <v>190000</v>
      </c>
      <c r="E115" s="181">
        <f t="shared" ref="E115:P115" si="41">E113+E114</f>
        <v>190000</v>
      </c>
      <c r="F115" s="181">
        <f t="shared" si="41"/>
        <v>190000</v>
      </c>
      <c r="G115" s="181">
        <f t="shared" si="41"/>
        <v>0</v>
      </c>
      <c r="H115" s="181">
        <f t="shared" si="41"/>
        <v>190000</v>
      </c>
      <c r="I115" s="181">
        <f t="shared" si="41"/>
        <v>0</v>
      </c>
      <c r="J115" s="181">
        <f t="shared" si="41"/>
        <v>0</v>
      </c>
      <c r="K115" s="181">
        <f t="shared" si="41"/>
        <v>0</v>
      </c>
      <c r="L115" s="181">
        <f t="shared" si="41"/>
        <v>0</v>
      </c>
      <c r="M115" s="181">
        <f t="shared" si="41"/>
        <v>0</v>
      </c>
      <c r="N115" s="181">
        <f t="shared" si="41"/>
        <v>0</v>
      </c>
      <c r="O115" s="181">
        <f t="shared" si="41"/>
        <v>0</v>
      </c>
      <c r="P115" s="181">
        <f t="shared" si="41"/>
        <v>0</v>
      </c>
      <c r="Q115" s="182"/>
      <c r="R115" s="182"/>
      <c r="S115" s="182"/>
      <c r="T115" s="182"/>
      <c r="U115" s="182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  <c r="IP115" s="148"/>
      <c r="IQ115" s="148"/>
      <c r="IR115" s="148"/>
      <c r="IS115" s="148"/>
      <c r="IT115" s="148"/>
      <c r="IU115" s="148"/>
      <c r="IV115" s="148"/>
    </row>
    <row r="116" spans="1:256">
      <c r="A116" s="841" t="s">
        <v>219</v>
      </c>
      <c r="B116" s="844" t="s">
        <v>108</v>
      </c>
      <c r="C116" s="178" t="s">
        <v>0</v>
      </c>
      <c r="D116" s="180">
        <f>E116+M116</f>
        <v>2298000</v>
      </c>
      <c r="E116" s="181">
        <f>F116+I116+J116+K116+L116</f>
        <v>0</v>
      </c>
      <c r="F116" s="181">
        <f>G116+H116</f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f>N116+P116</f>
        <v>2298000</v>
      </c>
      <c r="N116" s="181">
        <v>0</v>
      </c>
      <c r="O116" s="181">
        <v>0</v>
      </c>
      <c r="P116" s="181">
        <v>2298000</v>
      </c>
      <c r="Q116" s="182"/>
      <c r="R116" s="182"/>
      <c r="S116" s="182"/>
      <c r="T116" s="182"/>
      <c r="U116" s="182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  <c r="GR116" s="148"/>
      <c r="GS116" s="148"/>
      <c r="GT116" s="148"/>
      <c r="GU116" s="148"/>
      <c r="GV116" s="148"/>
      <c r="GW116" s="148"/>
      <c r="GX116" s="148"/>
      <c r="GY116" s="148"/>
      <c r="GZ116" s="148"/>
      <c r="HA116" s="148"/>
      <c r="HB116" s="148"/>
      <c r="HC116" s="148"/>
      <c r="HD116" s="148"/>
      <c r="HE116" s="148"/>
      <c r="HF116" s="148"/>
      <c r="HG116" s="148"/>
      <c r="HH116" s="148"/>
      <c r="HI116" s="148"/>
      <c r="HJ116" s="148"/>
      <c r="HK116" s="148"/>
      <c r="HL116" s="148"/>
      <c r="HM116" s="148"/>
      <c r="HN116" s="148"/>
      <c r="HO116" s="148"/>
      <c r="HP116" s="148"/>
      <c r="HQ116" s="148"/>
      <c r="HR116" s="148"/>
      <c r="HS116" s="148"/>
      <c r="HT116" s="148"/>
      <c r="HU116" s="148"/>
      <c r="HV116" s="148"/>
      <c r="HW116" s="148"/>
      <c r="HX116" s="148"/>
      <c r="HY116" s="148"/>
      <c r="HZ116" s="148"/>
      <c r="IA116" s="148"/>
      <c r="IB116" s="148"/>
      <c r="IC116" s="148"/>
      <c r="ID116" s="148"/>
      <c r="IE116" s="148"/>
      <c r="IF116" s="148"/>
      <c r="IG116" s="148"/>
      <c r="IH116" s="148"/>
      <c r="II116" s="148"/>
      <c r="IJ116" s="148"/>
      <c r="IK116" s="148"/>
      <c r="IL116" s="148"/>
      <c r="IM116" s="148"/>
      <c r="IN116" s="148"/>
      <c r="IO116" s="148"/>
      <c r="IP116" s="148"/>
      <c r="IQ116" s="148"/>
      <c r="IR116" s="148"/>
      <c r="IS116" s="148"/>
      <c r="IT116" s="148"/>
      <c r="IU116" s="148"/>
      <c r="IV116" s="148"/>
    </row>
    <row r="117" spans="1:256">
      <c r="A117" s="842"/>
      <c r="B117" s="845"/>
      <c r="C117" s="178" t="s">
        <v>1</v>
      </c>
      <c r="D117" s="180">
        <f>E117+M117</f>
        <v>2250000</v>
      </c>
      <c r="E117" s="181">
        <f>F117+I117+J117+K117+L117</f>
        <v>0</v>
      </c>
      <c r="F117" s="181">
        <f>G117+H117</f>
        <v>0</v>
      </c>
      <c r="G117" s="181"/>
      <c r="H117" s="181"/>
      <c r="I117" s="181"/>
      <c r="J117" s="181"/>
      <c r="K117" s="181"/>
      <c r="L117" s="181"/>
      <c r="M117" s="181">
        <f>N117+P117</f>
        <v>2250000</v>
      </c>
      <c r="N117" s="181"/>
      <c r="O117" s="181"/>
      <c r="P117" s="181">
        <v>2250000</v>
      </c>
      <c r="Q117" s="182"/>
      <c r="R117" s="182"/>
      <c r="S117" s="182"/>
      <c r="T117" s="182"/>
      <c r="U117" s="182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  <c r="GR117" s="148"/>
      <c r="GS117" s="148"/>
      <c r="GT117" s="148"/>
      <c r="GU117" s="148"/>
      <c r="GV117" s="148"/>
      <c r="GW117" s="148"/>
      <c r="GX117" s="148"/>
      <c r="GY117" s="148"/>
      <c r="GZ117" s="148"/>
      <c r="HA117" s="148"/>
      <c r="HB117" s="148"/>
      <c r="HC117" s="148"/>
      <c r="HD117" s="148"/>
      <c r="HE117" s="148"/>
      <c r="HF117" s="148"/>
      <c r="HG117" s="148"/>
      <c r="HH117" s="148"/>
      <c r="HI117" s="148"/>
      <c r="HJ117" s="148"/>
      <c r="HK117" s="148"/>
      <c r="HL117" s="148"/>
      <c r="HM117" s="148"/>
      <c r="HN117" s="148"/>
      <c r="HO117" s="148"/>
      <c r="HP117" s="148"/>
      <c r="HQ117" s="148"/>
      <c r="HR117" s="148"/>
      <c r="HS117" s="148"/>
      <c r="HT117" s="148"/>
      <c r="HU117" s="148"/>
      <c r="HV117" s="148"/>
      <c r="HW117" s="148"/>
      <c r="HX117" s="148"/>
      <c r="HY117" s="148"/>
      <c r="HZ117" s="148"/>
      <c r="IA117" s="148"/>
      <c r="IB117" s="148"/>
      <c r="IC117" s="148"/>
      <c r="ID117" s="148"/>
      <c r="IE117" s="148"/>
      <c r="IF117" s="148"/>
      <c r="IG117" s="148"/>
      <c r="IH117" s="148"/>
      <c r="II117" s="148"/>
      <c r="IJ117" s="148"/>
      <c r="IK117" s="148"/>
      <c r="IL117" s="148"/>
      <c r="IM117" s="148"/>
      <c r="IN117" s="148"/>
      <c r="IO117" s="148"/>
      <c r="IP117" s="148"/>
      <c r="IQ117" s="148"/>
      <c r="IR117" s="148"/>
      <c r="IS117" s="148"/>
      <c r="IT117" s="148"/>
      <c r="IU117" s="148"/>
      <c r="IV117" s="148"/>
    </row>
    <row r="118" spans="1:256">
      <c r="A118" s="843"/>
      <c r="B118" s="846"/>
      <c r="C118" s="178" t="s">
        <v>2</v>
      </c>
      <c r="D118" s="180">
        <f>D116+D117</f>
        <v>4548000</v>
      </c>
      <c r="E118" s="181">
        <f t="shared" ref="E118:P118" si="42">E116+E117</f>
        <v>0</v>
      </c>
      <c r="F118" s="181">
        <f t="shared" si="42"/>
        <v>0</v>
      </c>
      <c r="G118" s="181">
        <f t="shared" si="42"/>
        <v>0</v>
      </c>
      <c r="H118" s="181">
        <f t="shared" si="42"/>
        <v>0</v>
      </c>
      <c r="I118" s="181">
        <f t="shared" si="42"/>
        <v>0</v>
      </c>
      <c r="J118" s="181">
        <f t="shared" si="42"/>
        <v>0</v>
      </c>
      <c r="K118" s="181">
        <f t="shared" si="42"/>
        <v>0</v>
      </c>
      <c r="L118" s="181">
        <f t="shared" si="42"/>
        <v>0</v>
      </c>
      <c r="M118" s="181">
        <f t="shared" si="42"/>
        <v>4548000</v>
      </c>
      <c r="N118" s="181">
        <f t="shared" si="42"/>
        <v>0</v>
      </c>
      <c r="O118" s="181">
        <f t="shared" si="42"/>
        <v>0</v>
      </c>
      <c r="P118" s="181">
        <f t="shared" si="42"/>
        <v>4548000</v>
      </c>
      <c r="Q118" s="182"/>
      <c r="R118" s="182"/>
      <c r="S118" s="182"/>
      <c r="T118" s="182"/>
      <c r="U118" s="182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  <c r="GR118" s="148"/>
      <c r="GS118" s="148"/>
      <c r="GT118" s="148"/>
      <c r="GU118" s="148"/>
      <c r="GV118" s="148"/>
      <c r="GW118" s="148"/>
      <c r="GX118" s="148"/>
      <c r="GY118" s="148"/>
      <c r="GZ118" s="148"/>
      <c r="HA118" s="148"/>
      <c r="HB118" s="148"/>
      <c r="HC118" s="148"/>
      <c r="HD118" s="148"/>
      <c r="HE118" s="148"/>
      <c r="HF118" s="148"/>
      <c r="HG118" s="148"/>
      <c r="HH118" s="148"/>
      <c r="HI118" s="148"/>
      <c r="HJ118" s="148"/>
      <c r="HK118" s="148"/>
      <c r="HL118" s="148"/>
      <c r="HM118" s="148"/>
      <c r="HN118" s="148"/>
      <c r="HO118" s="148"/>
      <c r="HP118" s="148"/>
      <c r="HQ118" s="148"/>
      <c r="HR118" s="148"/>
      <c r="HS118" s="148"/>
      <c r="HT118" s="148"/>
      <c r="HU118" s="148"/>
      <c r="HV118" s="148"/>
      <c r="HW118" s="148"/>
      <c r="HX118" s="148"/>
      <c r="HY118" s="148"/>
      <c r="HZ118" s="148"/>
      <c r="IA118" s="148"/>
      <c r="IB118" s="148"/>
      <c r="IC118" s="148"/>
      <c r="ID118" s="148"/>
      <c r="IE118" s="148"/>
      <c r="IF118" s="148"/>
      <c r="IG118" s="148"/>
      <c r="IH118" s="148"/>
      <c r="II118" s="148"/>
      <c r="IJ118" s="148"/>
      <c r="IK118" s="148"/>
      <c r="IL118" s="148"/>
      <c r="IM118" s="148"/>
      <c r="IN118" s="148"/>
      <c r="IO118" s="148"/>
      <c r="IP118" s="148"/>
      <c r="IQ118" s="148"/>
      <c r="IR118" s="148"/>
      <c r="IS118" s="148"/>
      <c r="IT118" s="148"/>
      <c r="IU118" s="148"/>
      <c r="IV118" s="148"/>
    </row>
    <row r="119" spans="1:256" ht="15" hidden="1">
      <c r="A119" s="835" t="s">
        <v>51</v>
      </c>
      <c r="B119" s="838" t="s">
        <v>52</v>
      </c>
      <c r="C119" s="183" t="s">
        <v>0</v>
      </c>
      <c r="D119" s="174">
        <f t="shared" ref="D119:P120" si="43">D122</f>
        <v>27500289</v>
      </c>
      <c r="E119" s="175">
        <f t="shared" si="43"/>
        <v>1162285</v>
      </c>
      <c r="F119" s="175">
        <f t="shared" si="43"/>
        <v>500000</v>
      </c>
      <c r="G119" s="175">
        <f t="shared" si="43"/>
        <v>25000</v>
      </c>
      <c r="H119" s="175">
        <f t="shared" si="43"/>
        <v>475000</v>
      </c>
      <c r="I119" s="175">
        <f t="shared" si="43"/>
        <v>0</v>
      </c>
      <c r="J119" s="175">
        <f t="shared" si="43"/>
        <v>0</v>
      </c>
      <c r="K119" s="175">
        <f t="shared" si="43"/>
        <v>662285</v>
      </c>
      <c r="L119" s="175">
        <f t="shared" si="43"/>
        <v>0</v>
      </c>
      <c r="M119" s="175">
        <f t="shared" si="43"/>
        <v>26338004</v>
      </c>
      <c r="N119" s="175">
        <f t="shared" si="43"/>
        <v>26338004</v>
      </c>
      <c r="O119" s="175">
        <f>O122</f>
        <v>26229365</v>
      </c>
      <c r="P119" s="175">
        <f t="shared" si="43"/>
        <v>0</v>
      </c>
      <c r="Q119" s="188"/>
      <c r="R119" s="188"/>
      <c r="S119" s="188"/>
      <c r="T119" s="188"/>
      <c r="U119" s="188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189"/>
      <c r="FG119" s="189"/>
      <c r="FH119" s="189"/>
      <c r="FI119" s="189"/>
      <c r="FJ119" s="189"/>
      <c r="FK119" s="189"/>
      <c r="FL119" s="189"/>
      <c r="FM119" s="189"/>
      <c r="FN119" s="189"/>
      <c r="FO119" s="189"/>
      <c r="FP119" s="189"/>
      <c r="FQ119" s="189"/>
      <c r="FR119" s="189"/>
      <c r="FS119" s="189"/>
      <c r="FT119" s="189"/>
      <c r="FU119" s="189"/>
      <c r="FV119" s="189"/>
      <c r="FW119" s="189"/>
      <c r="FX119" s="189"/>
      <c r="FY119" s="189"/>
      <c r="FZ119" s="189"/>
      <c r="GA119" s="189"/>
      <c r="GB119" s="189"/>
      <c r="GC119" s="189"/>
      <c r="GD119" s="189"/>
      <c r="GE119" s="189"/>
      <c r="GF119" s="189"/>
      <c r="GG119" s="189"/>
      <c r="GH119" s="189"/>
      <c r="GI119" s="189"/>
      <c r="GJ119" s="189"/>
      <c r="GK119" s="189"/>
      <c r="GL119" s="189"/>
      <c r="GM119" s="189"/>
      <c r="GN119" s="189"/>
      <c r="GO119" s="189"/>
      <c r="GP119" s="189"/>
      <c r="GQ119" s="189"/>
      <c r="GR119" s="189"/>
      <c r="GS119" s="189"/>
      <c r="GT119" s="189"/>
      <c r="GU119" s="189"/>
      <c r="GV119" s="189"/>
      <c r="GW119" s="189"/>
      <c r="GX119" s="189"/>
      <c r="GY119" s="189"/>
      <c r="GZ119" s="189"/>
      <c r="HA119" s="189"/>
      <c r="HB119" s="189"/>
      <c r="HC119" s="189"/>
      <c r="HD119" s="189"/>
      <c r="HE119" s="189"/>
      <c r="HF119" s="189"/>
      <c r="HG119" s="189"/>
      <c r="HH119" s="189"/>
      <c r="HI119" s="189"/>
      <c r="HJ119" s="189"/>
      <c r="HK119" s="189"/>
      <c r="HL119" s="189"/>
      <c r="HM119" s="189"/>
      <c r="HN119" s="189"/>
      <c r="HO119" s="189"/>
      <c r="HP119" s="189"/>
      <c r="HQ119" s="189"/>
      <c r="HR119" s="189"/>
      <c r="HS119" s="189"/>
      <c r="HT119" s="189"/>
      <c r="HU119" s="189"/>
      <c r="HV119" s="189"/>
      <c r="HW119" s="189"/>
      <c r="HX119" s="189"/>
      <c r="HY119" s="189"/>
      <c r="HZ119" s="189"/>
      <c r="IA119" s="189"/>
      <c r="IB119" s="189"/>
      <c r="IC119" s="189"/>
      <c r="ID119" s="189"/>
      <c r="IE119" s="189"/>
      <c r="IF119" s="189"/>
      <c r="IG119" s="189"/>
      <c r="IH119" s="189"/>
      <c r="II119" s="189"/>
      <c r="IJ119" s="189"/>
      <c r="IK119" s="189"/>
      <c r="IL119" s="189"/>
      <c r="IM119" s="189"/>
      <c r="IN119" s="189"/>
      <c r="IO119" s="189"/>
      <c r="IP119" s="189"/>
      <c r="IQ119" s="189"/>
      <c r="IR119" s="189"/>
      <c r="IS119" s="189"/>
      <c r="IT119" s="189"/>
      <c r="IU119" s="189"/>
      <c r="IV119" s="189"/>
    </row>
    <row r="120" spans="1:256" ht="15" hidden="1">
      <c r="A120" s="836"/>
      <c r="B120" s="839"/>
      <c r="C120" s="183" t="s">
        <v>1</v>
      </c>
      <c r="D120" s="174">
        <f t="shared" si="43"/>
        <v>0</v>
      </c>
      <c r="E120" s="175">
        <f t="shared" si="43"/>
        <v>0</v>
      </c>
      <c r="F120" s="175">
        <f t="shared" si="43"/>
        <v>0</v>
      </c>
      <c r="G120" s="175">
        <f t="shared" si="43"/>
        <v>0</v>
      </c>
      <c r="H120" s="175">
        <f t="shared" si="43"/>
        <v>0</v>
      </c>
      <c r="I120" s="175">
        <f t="shared" si="43"/>
        <v>0</v>
      </c>
      <c r="J120" s="175">
        <f t="shared" si="43"/>
        <v>0</v>
      </c>
      <c r="K120" s="175">
        <f t="shared" si="43"/>
        <v>0</v>
      </c>
      <c r="L120" s="175">
        <f t="shared" si="43"/>
        <v>0</v>
      </c>
      <c r="M120" s="175">
        <f t="shared" si="43"/>
        <v>0</v>
      </c>
      <c r="N120" s="175">
        <f t="shared" si="43"/>
        <v>0</v>
      </c>
      <c r="O120" s="175">
        <f>O123</f>
        <v>0</v>
      </c>
      <c r="P120" s="175">
        <f t="shared" si="43"/>
        <v>0</v>
      </c>
      <c r="Q120" s="188"/>
      <c r="R120" s="188"/>
      <c r="S120" s="188"/>
      <c r="T120" s="188"/>
      <c r="U120" s="188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  <c r="CW120" s="189"/>
      <c r="CX120" s="189"/>
      <c r="CY120" s="189"/>
      <c r="CZ120" s="189"/>
      <c r="DA120" s="189"/>
      <c r="DB120" s="189"/>
      <c r="DC120" s="189"/>
      <c r="DD120" s="189"/>
      <c r="DE120" s="189"/>
      <c r="DF120" s="189"/>
      <c r="DG120" s="189"/>
      <c r="DH120" s="189"/>
      <c r="DI120" s="189"/>
      <c r="DJ120" s="189"/>
      <c r="DK120" s="189"/>
      <c r="DL120" s="189"/>
      <c r="DM120" s="189"/>
      <c r="DN120" s="189"/>
      <c r="DO120" s="189"/>
      <c r="DP120" s="189"/>
      <c r="DQ120" s="189"/>
      <c r="DR120" s="189"/>
      <c r="DS120" s="189"/>
      <c r="DT120" s="189"/>
      <c r="DU120" s="189"/>
      <c r="DV120" s="189"/>
      <c r="DW120" s="189"/>
      <c r="DX120" s="189"/>
      <c r="DY120" s="189"/>
      <c r="DZ120" s="189"/>
      <c r="EA120" s="189"/>
      <c r="EB120" s="189"/>
      <c r="EC120" s="189"/>
      <c r="ED120" s="189"/>
      <c r="EE120" s="189"/>
      <c r="EF120" s="189"/>
      <c r="EG120" s="189"/>
      <c r="EH120" s="189"/>
      <c r="EI120" s="189"/>
      <c r="EJ120" s="189"/>
      <c r="EK120" s="189"/>
      <c r="EL120" s="189"/>
      <c r="EM120" s="189"/>
      <c r="EN120" s="189"/>
      <c r="EO120" s="189"/>
      <c r="EP120" s="189"/>
      <c r="EQ120" s="189"/>
      <c r="ER120" s="189"/>
      <c r="ES120" s="189"/>
      <c r="ET120" s="189"/>
      <c r="EU120" s="189"/>
      <c r="EV120" s="189"/>
      <c r="EW120" s="189"/>
      <c r="EX120" s="189"/>
      <c r="EY120" s="189"/>
      <c r="EZ120" s="189"/>
      <c r="FA120" s="189"/>
      <c r="FB120" s="189"/>
      <c r="FC120" s="189"/>
      <c r="FD120" s="189"/>
      <c r="FE120" s="189"/>
      <c r="FF120" s="189"/>
      <c r="FG120" s="189"/>
      <c r="FH120" s="189"/>
      <c r="FI120" s="189"/>
      <c r="FJ120" s="189"/>
      <c r="FK120" s="189"/>
      <c r="FL120" s="189"/>
      <c r="FM120" s="189"/>
      <c r="FN120" s="189"/>
      <c r="FO120" s="189"/>
      <c r="FP120" s="189"/>
      <c r="FQ120" s="189"/>
      <c r="FR120" s="189"/>
      <c r="FS120" s="189"/>
      <c r="FT120" s="189"/>
      <c r="FU120" s="189"/>
      <c r="FV120" s="189"/>
      <c r="FW120" s="189"/>
      <c r="FX120" s="189"/>
      <c r="FY120" s="189"/>
      <c r="FZ120" s="189"/>
      <c r="GA120" s="189"/>
      <c r="GB120" s="189"/>
      <c r="GC120" s="189"/>
      <c r="GD120" s="189"/>
      <c r="GE120" s="189"/>
      <c r="GF120" s="189"/>
      <c r="GG120" s="189"/>
      <c r="GH120" s="189"/>
      <c r="GI120" s="189"/>
      <c r="GJ120" s="189"/>
      <c r="GK120" s="189"/>
      <c r="GL120" s="189"/>
      <c r="GM120" s="189"/>
      <c r="GN120" s="189"/>
      <c r="GO120" s="189"/>
      <c r="GP120" s="189"/>
      <c r="GQ120" s="189"/>
      <c r="GR120" s="189"/>
      <c r="GS120" s="189"/>
      <c r="GT120" s="189"/>
      <c r="GU120" s="189"/>
      <c r="GV120" s="189"/>
      <c r="GW120" s="189"/>
      <c r="GX120" s="189"/>
      <c r="GY120" s="189"/>
      <c r="GZ120" s="189"/>
      <c r="HA120" s="189"/>
      <c r="HB120" s="189"/>
      <c r="HC120" s="189"/>
      <c r="HD120" s="189"/>
      <c r="HE120" s="189"/>
      <c r="HF120" s="189"/>
      <c r="HG120" s="189"/>
      <c r="HH120" s="189"/>
      <c r="HI120" s="189"/>
      <c r="HJ120" s="189"/>
      <c r="HK120" s="189"/>
      <c r="HL120" s="189"/>
      <c r="HM120" s="189"/>
      <c r="HN120" s="189"/>
      <c r="HO120" s="189"/>
      <c r="HP120" s="189"/>
      <c r="HQ120" s="189"/>
      <c r="HR120" s="189"/>
      <c r="HS120" s="189"/>
      <c r="HT120" s="189"/>
      <c r="HU120" s="189"/>
      <c r="HV120" s="189"/>
      <c r="HW120" s="189"/>
      <c r="HX120" s="189"/>
      <c r="HY120" s="189"/>
      <c r="HZ120" s="189"/>
      <c r="IA120" s="189"/>
      <c r="IB120" s="189"/>
      <c r="IC120" s="189"/>
      <c r="ID120" s="189"/>
      <c r="IE120" s="189"/>
      <c r="IF120" s="189"/>
      <c r="IG120" s="189"/>
      <c r="IH120" s="189"/>
      <c r="II120" s="189"/>
      <c r="IJ120" s="189"/>
      <c r="IK120" s="189"/>
      <c r="IL120" s="189"/>
      <c r="IM120" s="189"/>
      <c r="IN120" s="189"/>
      <c r="IO120" s="189"/>
      <c r="IP120" s="189"/>
      <c r="IQ120" s="189"/>
      <c r="IR120" s="189"/>
      <c r="IS120" s="189"/>
      <c r="IT120" s="189"/>
      <c r="IU120" s="189"/>
      <c r="IV120" s="189"/>
    </row>
    <row r="121" spans="1:256" ht="15" hidden="1">
      <c r="A121" s="837"/>
      <c r="B121" s="840"/>
      <c r="C121" s="183" t="s">
        <v>2</v>
      </c>
      <c r="D121" s="174">
        <f>D119+D120</f>
        <v>27500289</v>
      </c>
      <c r="E121" s="175">
        <f t="shared" ref="E121:P121" si="44">E119+E120</f>
        <v>1162285</v>
      </c>
      <c r="F121" s="175">
        <f t="shared" si="44"/>
        <v>500000</v>
      </c>
      <c r="G121" s="175">
        <f t="shared" si="44"/>
        <v>25000</v>
      </c>
      <c r="H121" s="175">
        <f t="shared" si="44"/>
        <v>475000</v>
      </c>
      <c r="I121" s="175">
        <f t="shared" si="44"/>
        <v>0</v>
      </c>
      <c r="J121" s="175">
        <f t="shared" si="44"/>
        <v>0</v>
      </c>
      <c r="K121" s="175">
        <f t="shared" si="44"/>
        <v>662285</v>
      </c>
      <c r="L121" s="175">
        <f t="shared" si="44"/>
        <v>0</v>
      </c>
      <c r="M121" s="175">
        <f t="shared" si="44"/>
        <v>26338004</v>
      </c>
      <c r="N121" s="175">
        <f t="shared" si="44"/>
        <v>26338004</v>
      </c>
      <c r="O121" s="175">
        <f t="shared" si="44"/>
        <v>26229365</v>
      </c>
      <c r="P121" s="175">
        <f t="shared" si="44"/>
        <v>0</v>
      </c>
      <c r="Q121" s="188"/>
      <c r="R121" s="188"/>
      <c r="S121" s="188"/>
      <c r="T121" s="188"/>
      <c r="U121" s="188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/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89"/>
      <c r="FF121" s="189"/>
      <c r="FG121" s="189"/>
      <c r="FH121" s="189"/>
      <c r="FI121" s="189"/>
      <c r="FJ121" s="189"/>
      <c r="FK121" s="189"/>
      <c r="FL121" s="189"/>
      <c r="FM121" s="189"/>
      <c r="FN121" s="189"/>
      <c r="FO121" s="189"/>
      <c r="FP121" s="189"/>
      <c r="FQ121" s="189"/>
      <c r="FR121" s="189"/>
      <c r="FS121" s="189"/>
      <c r="FT121" s="189"/>
      <c r="FU121" s="189"/>
      <c r="FV121" s="189"/>
      <c r="FW121" s="189"/>
      <c r="FX121" s="189"/>
      <c r="FY121" s="189"/>
      <c r="FZ121" s="189"/>
      <c r="GA121" s="189"/>
      <c r="GB121" s="189"/>
      <c r="GC121" s="189"/>
      <c r="GD121" s="189"/>
      <c r="GE121" s="189"/>
      <c r="GF121" s="189"/>
      <c r="GG121" s="189"/>
      <c r="GH121" s="189"/>
      <c r="GI121" s="189"/>
      <c r="GJ121" s="189"/>
      <c r="GK121" s="189"/>
      <c r="GL121" s="189"/>
      <c r="GM121" s="189"/>
      <c r="GN121" s="189"/>
      <c r="GO121" s="189"/>
      <c r="GP121" s="189"/>
      <c r="GQ121" s="189"/>
      <c r="GR121" s="189"/>
      <c r="GS121" s="189"/>
      <c r="GT121" s="189"/>
      <c r="GU121" s="189"/>
      <c r="GV121" s="189"/>
      <c r="GW121" s="189"/>
      <c r="GX121" s="189"/>
      <c r="GY121" s="189"/>
      <c r="GZ121" s="189"/>
      <c r="HA121" s="189"/>
      <c r="HB121" s="189"/>
      <c r="HC121" s="189"/>
      <c r="HD121" s="189"/>
      <c r="HE121" s="189"/>
      <c r="HF121" s="189"/>
      <c r="HG121" s="189"/>
      <c r="HH121" s="189"/>
      <c r="HI121" s="189"/>
      <c r="HJ121" s="189"/>
      <c r="HK121" s="189"/>
      <c r="HL121" s="189"/>
      <c r="HM121" s="189"/>
      <c r="HN121" s="189"/>
      <c r="HO121" s="189"/>
      <c r="HP121" s="189"/>
      <c r="HQ121" s="189"/>
      <c r="HR121" s="189"/>
      <c r="HS121" s="189"/>
      <c r="HT121" s="189"/>
      <c r="HU121" s="189"/>
      <c r="HV121" s="189"/>
      <c r="HW121" s="189"/>
      <c r="HX121" s="189"/>
      <c r="HY121" s="189"/>
      <c r="HZ121" s="189"/>
      <c r="IA121" s="189"/>
      <c r="IB121" s="189"/>
      <c r="IC121" s="189"/>
      <c r="ID121" s="189"/>
      <c r="IE121" s="189"/>
      <c r="IF121" s="189"/>
      <c r="IG121" s="189"/>
      <c r="IH121" s="189"/>
      <c r="II121" s="189"/>
      <c r="IJ121" s="189"/>
      <c r="IK121" s="189"/>
      <c r="IL121" s="189"/>
      <c r="IM121" s="189"/>
      <c r="IN121" s="189"/>
      <c r="IO121" s="189"/>
      <c r="IP121" s="189"/>
      <c r="IQ121" s="189"/>
      <c r="IR121" s="189"/>
      <c r="IS121" s="189"/>
      <c r="IT121" s="189"/>
      <c r="IU121" s="189"/>
      <c r="IV121" s="189"/>
    </row>
    <row r="122" spans="1:256" hidden="1">
      <c r="A122" s="841" t="s">
        <v>220</v>
      </c>
      <c r="B122" s="844" t="s">
        <v>108</v>
      </c>
      <c r="C122" s="178" t="s">
        <v>0</v>
      </c>
      <c r="D122" s="180">
        <f>E122+M122</f>
        <v>27500289</v>
      </c>
      <c r="E122" s="181">
        <f>F122+I122+J122+K122+L122</f>
        <v>1162285</v>
      </c>
      <c r="F122" s="181">
        <f>G122+H122</f>
        <v>500000</v>
      </c>
      <c r="G122" s="181">
        <v>25000</v>
      </c>
      <c r="H122" s="181">
        <v>475000</v>
      </c>
      <c r="I122" s="181">
        <v>0</v>
      </c>
      <c r="J122" s="181">
        <v>0</v>
      </c>
      <c r="K122" s="181">
        <v>662285</v>
      </c>
      <c r="L122" s="181">
        <v>0</v>
      </c>
      <c r="M122" s="181">
        <f>N122+P122</f>
        <v>26338004</v>
      </c>
      <c r="N122" s="181">
        <v>26338004</v>
      </c>
      <c r="O122" s="181">
        <v>26229365</v>
      </c>
      <c r="P122" s="181">
        <v>0</v>
      </c>
      <c r="Q122" s="182"/>
      <c r="R122" s="182"/>
      <c r="S122" s="182"/>
      <c r="T122" s="182"/>
      <c r="U122" s="182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  <c r="GR122" s="148"/>
      <c r="GS122" s="148"/>
      <c r="GT122" s="148"/>
      <c r="GU122" s="148"/>
      <c r="GV122" s="148"/>
      <c r="GW122" s="148"/>
      <c r="GX122" s="148"/>
      <c r="GY122" s="148"/>
      <c r="GZ122" s="148"/>
      <c r="HA122" s="148"/>
      <c r="HB122" s="148"/>
      <c r="HC122" s="148"/>
      <c r="HD122" s="148"/>
      <c r="HE122" s="148"/>
      <c r="HF122" s="148"/>
      <c r="HG122" s="148"/>
      <c r="HH122" s="148"/>
      <c r="HI122" s="148"/>
      <c r="HJ122" s="148"/>
      <c r="HK122" s="148"/>
      <c r="HL122" s="148"/>
      <c r="HM122" s="148"/>
      <c r="HN122" s="148"/>
      <c r="HO122" s="148"/>
      <c r="HP122" s="148"/>
      <c r="HQ122" s="148"/>
      <c r="HR122" s="148"/>
      <c r="HS122" s="148"/>
      <c r="HT122" s="148"/>
      <c r="HU122" s="148"/>
      <c r="HV122" s="148"/>
      <c r="HW122" s="148"/>
      <c r="HX122" s="148"/>
      <c r="HY122" s="148"/>
      <c r="HZ122" s="148"/>
      <c r="IA122" s="148"/>
      <c r="IB122" s="148"/>
      <c r="IC122" s="148"/>
      <c r="ID122" s="148"/>
      <c r="IE122" s="148"/>
      <c r="IF122" s="148"/>
      <c r="IG122" s="148"/>
      <c r="IH122" s="148"/>
      <c r="II122" s="148"/>
      <c r="IJ122" s="148"/>
      <c r="IK122" s="148"/>
      <c r="IL122" s="148"/>
      <c r="IM122" s="148"/>
      <c r="IN122" s="148"/>
      <c r="IO122" s="148"/>
      <c r="IP122" s="148"/>
      <c r="IQ122" s="148"/>
      <c r="IR122" s="148"/>
      <c r="IS122" s="148"/>
      <c r="IT122" s="148"/>
      <c r="IU122" s="148"/>
      <c r="IV122" s="148"/>
    </row>
    <row r="123" spans="1:256" hidden="1">
      <c r="A123" s="842"/>
      <c r="B123" s="845"/>
      <c r="C123" s="178" t="s">
        <v>1</v>
      </c>
      <c r="D123" s="180">
        <f>E123+M123</f>
        <v>0</v>
      </c>
      <c r="E123" s="181">
        <f>F123+I123+J123+K123+L123</f>
        <v>0</v>
      </c>
      <c r="F123" s="181">
        <f>G123+H123</f>
        <v>0</v>
      </c>
      <c r="G123" s="181"/>
      <c r="H123" s="181"/>
      <c r="I123" s="181"/>
      <c r="J123" s="181"/>
      <c r="K123" s="181"/>
      <c r="L123" s="181"/>
      <c r="M123" s="181">
        <f>N123+P123</f>
        <v>0</v>
      </c>
      <c r="N123" s="181"/>
      <c r="O123" s="181"/>
      <c r="P123" s="181"/>
      <c r="Q123" s="182"/>
      <c r="R123" s="182"/>
      <c r="S123" s="182"/>
      <c r="T123" s="182"/>
      <c r="U123" s="182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  <c r="GR123" s="148"/>
      <c r="GS123" s="148"/>
      <c r="GT123" s="148"/>
      <c r="GU123" s="148"/>
      <c r="GV123" s="148"/>
      <c r="GW123" s="148"/>
      <c r="GX123" s="148"/>
      <c r="GY123" s="148"/>
      <c r="GZ123" s="148"/>
      <c r="HA123" s="148"/>
      <c r="HB123" s="148"/>
      <c r="HC123" s="148"/>
      <c r="HD123" s="148"/>
      <c r="HE123" s="148"/>
      <c r="HF123" s="148"/>
      <c r="HG123" s="148"/>
      <c r="HH123" s="148"/>
      <c r="HI123" s="148"/>
      <c r="HJ123" s="148"/>
      <c r="HK123" s="148"/>
      <c r="HL123" s="148"/>
      <c r="HM123" s="148"/>
      <c r="HN123" s="148"/>
      <c r="HO123" s="148"/>
      <c r="HP123" s="148"/>
      <c r="HQ123" s="148"/>
      <c r="HR123" s="148"/>
      <c r="HS123" s="148"/>
      <c r="HT123" s="148"/>
      <c r="HU123" s="148"/>
      <c r="HV123" s="148"/>
      <c r="HW123" s="148"/>
      <c r="HX123" s="148"/>
      <c r="HY123" s="148"/>
      <c r="HZ123" s="148"/>
      <c r="IA123" s="148"/>
      <c r="IB123" s="148"/>
      <c r="IC123" s="148"/>
      <c r="ID123" s="148"/>
      <c r="IE123" s="148"/>
      <c r="IF123" s="148"/>
      <c r="IG123" s="148"/>
      <c r="IH123" s="148"/>
      <c r="II123" s="148"/>
      <c r="IJ123" s="148"/>
      <c r="IK123" s="148"/>
      <c r="IL123" s="148"/>
      <c r="IM123" s="148"/>
      <c r="IN123" s="148"/>
      <c r="IO123" s="148"/>
      <c r="IP123" s="148"/>
      <c r="IQ123" s="148"/>
      <c r="IR123" s="148"/>
      <c r="IS123" s="148"/>
      <c r="IT123" s="148"/>
      <c r="IU123" s="148"/>
      <c r="IV123" s="148"/>
    </row>
    <row r="124" spans="1:256" hidden="1">
      <c r="A124" s="843"/>
      <c r="B124" s="846"/>
      <c r="C124" s="178" t="s">
        <v>2</v>
      </c>
      <c r="D124" s="180">
        <f>D122+D123</f>
        <v>27500289</v>
      </c>
      <c r="E124" s="181">
        <f t="shared" ref="E124:P124" si="45">E122+E123</f>
        <v>1162285</v>
      </c>
      <c r="F124" s="181">
        <f t="shared" si="45"/>
        <v>500000</v>
      </c>
      <c r="G124" s="181">
        <f t="shared" si="45"/>
        <v>25000</v>
      </c>
      <c r="H124" s="181">
        <f t="shared" si="45"/>
        <v>475000</v>
      </c>
      <c r="I124" s="181">
        <f t="shared" si="45"/>
        <v>0</v>
      </c>
      <c r="J124" s="181">
        <f t="shared" si="45"/>
        <v>0</v>
      </c>
      <c r="K124" s="181">
        <f t="shared" si="45"/>
        <v>662285</v>
      </c>
      <c r="L124" s="181">
        <f t="shared" si="45"/>
        <v>0</v>
      </c>
      <c r="M124" s="181">
        <f t="shared" si="45"/>
        <v>26338004</v>
      </c>
      <c r="N124" s="181">
        <f t="shared" si="45"/>
        <v>26338004</v>
      </c>
      <c r="O124" s="181">
        <f t="shared" si="45"/>
        <v>26229365</v>
      </c>
      <c r="P124" s="181">
        <f t="shared" si="45"/>
        <v>0</v>
      </c>
      <c r="Q124" s="182"/>
      <c r="R124" s="182"/>
      <c r="S124" s="182"/>
      <c r="T124" s="182"/>
      <c r="U124" s="182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  <c r="GR124" s="148"/>
      <c r="GS124" s="148"/>
      <c r="GT124" s="148"/>
      <c r="GU124" s="148"/>
      <c r="GV124" s="148"/>
      <c r="GW124" s="148"/>
      <c r="GX124" s="148"/>
      <c r="GY124" s="148"/>
      <c r="GZ124" s="148"/>
      <c r="HA124" s="148"/>
      <c r="HB124" s="148"/>
      <c r="HC124" s="148"/>
      <c r="HD124" s="148"/>
      <c r="HE124" s="148"/>
      <c r="HF124" s="148"/>
      <c r="HG124" s="148"/>
      <c r="HH124" s="148"/>
      <c r="HI124" s="148"/>
      <c r="HJ124" s="148"/>
      <c r="HK124" s="148"/>
      <c r="HL124" s="148"/>
      <c r="HM124" s="148"/>
      <c r="HN124" s="148"/>
      <c r="HO124" s="148"/>
      <c r="HP124" s="148"/>
      <c r="HQ124" s="148"/>
      <c r="HR124" s="148"/>
      <c r="HS124" s="148"/>
      <c r="HT124" s="148"/>
      <c r="HU124" s="148"/>
      <c r="HV124" s="148"/>
      <c r="HW124" s="148"/>
      <c r="HX124" s="148"/>
      <c r="HY124" s="148"/>
      <c r="HZ124" s="148"/>
      <c r="IA124" s="148"/>
      <c r="IB124" s="148"/>
      <c r="IC124" s="148"/>
      <c r="ID124" s="148"/>
      <c r="IE124" s="148"/>
      <c r="IF124" s="148"/>
      <c r="IG124" s="148"/>
      <c r="IH124" s="148"/>
      <c r="II124" s="148"/>
      <c r="IJ124" s="148"/>
      <c r="IK124" s="148"/>
      <c r="IL124" s="148"/>
      <c r="IM124" s="148"/>
      <c r="IN124" s="148"/>
      <c r="IO124" s="148"/>
      <c r="IP124" s="148"/>
      <c r="IQ124" s="148"/>
      <c r="IR124" s="148"/>
      <c r="IS124" s="148"/>
      <c r="IT124" s="148"/>
      <c r="IU124" s="148"/>
      <c r="IV124" s="148"/>
    </row>
    <row r="125" spans="1:256" ht="15" hidden="1">
      <c r="A125" s="835" t="s">
        <v>221</v>
      </c>
      <c r="B125" s="838" t="s">
        <v>222</v>
      </c>
      <c r="C125" s="183" t="s">
        <v>0</v>
      </c>
      <c r="D125" s="174">
        <f>D128+D131</f>
        <v>3300000</v>
      </c>
      <c r="E125" s="175">
        <f t="shared" ref="E125:P126" si="46">E128+E131</f>
        <v>300000</v>
      </c>
      <c r="F125" s="175">
        <f t="shared" si="46"/>
        <v>0</v>
      </c>
      <c r="G125" s="175">
        <f t="shared" si="46"/>
        <v>0</v>
      </c>
      <c r="H125" s="175">
        <f t="shared" si="46"/>
        <v>0</v>
      </c>
      <c r="I125" s="175">
        <f t="shared" si="46"/>
        <v>300000</v>
      </c>
      <c r="J125" s="175">
        <f t="shared" si="46"/>
        <v>0</v>
      </c>
      <c r="K125" s="175">
        <f t="shared" si="46"/>
        <v>0</v>
      </c>
      <c r="L125" s="175">
        <f t="shared" si="46"/>
        <v>0</v>
      </c>
      <c r="M125" s="175">
        <f t="shared" si="46"/>
        <v>3000000</v>
      </c>
      <c r="N125" s="175">
        <f t="shared" si="46"/>
        <v>0</v>
      </c>
      <c r="O125" s="175">
        <f t="shared" si="46"/>
        <v>0</v>
      </c>
      <c r="P125" s="175">
        <f t="shared" si="46"/>
        <v>3000000</v>
      </c>
      <c r="Q125" s="188"/>
      <c r="R125" s="188"/>
      <c r="S125" s="188"/>
      <c r="T125" s="188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189"/>
      <c r="DE125" s="189"/>
      <c r="DF125" s="189"/>
      <c r="DG125" s="189"/>
      <c r="DH125" s="189"/>
      <c r="DI125" s="189"/>
      <c r="DJ125" s="189"/>
      <c r="DK125" s="189"/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189"/>
      <c r="EF125" s="189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89"/>
      <c r="EY125" s="189"/>
      <c r="EZ125" s="189"/>
      <c r="FA125" s="189"/>
      <c r="FB125" s="189"/>
      <c r="FC125" s="189"/>
      <c r="FD125" s="189"/>
      <c r="FE125" s="189"/>
      <c r="FF125" s="189"/>
      <c r="FG125" s="189"/>
      <c r="FH125" s="189"/>
      <c r="FI125" s="189"/>
      <c r="FJ125" s="189"/>
      <c r="FK125" s="189"/>
      <c r="FL125" s="189"/>
      <c r="FM125" s="189"/>
      <c r="FN125" s="189"/>
      <c r="FO125" s="189"/>
      <c r="FP125" s="189"/>
      <c r="FQ125" s="189"/>
      <c r="FR125" s="189"/>
      <c r="FS125" s="189"/>
      <c r="FT125" s="189"/>
      <c r="FU125" s="189"/>
      <c r="FV125" s="189"/>
      <c r="FW125" s="189"/>
      <c r="FX125" s="189"/>
      <c r="FY125" s="189"/>
      <c r="FZ125" s="189"/>
      <c r="GA125" s="189"/>
      <c r="GB125" s="189"/>
      <c r="GC125" s="189"/>
      <c r="GD125" s="189"/>
      <c r="GE125" s="189"/>
      <c r="GF125" s="189"/>
      <c r="GG125" s="189"/>
      <c r="GH125" s="189"/>
      <c r="GI125" s="189"/>
      <c r="GJ125" s="189"/>
      <c r="GK125" s="189"/>
      <c r="GL125" s="189"/>
      <c r="GM125" s="189"/>
      <c r="GN125" s="189"/>
      <c r="GO125" s="189"/>
      <c r="GP125" s="189"/>
      <c r="GQ125" s="189"/>
      <c r="GR125" s="189"/>
      <c r="GS125" s="189"/>
      <c r="GT125" s="189"/>
      <c r="GU125" s="189"/>
      <c r="GV125" s="189"/>
      <c r="GW125" s="189"/>
      <c r="GX125" s="189"/>
      <c r="GY125" s="189"/>
      <c r="GZ125" s="189"/>
      <c r="HA125" s="189"/>
      <c r="HB125" s="189"/>
      <c r="HC125" s="189"/>
      <c r="HD125" s="189"/>
      <c r="HE125" s="189"/>
      <c r="HF125" s="189"/>
      <c r="HG125" s="189"/>
      <c r="HH125" s="189"/>
      <c r="HI125" s="189"/>
      <c r="HJ125" s="189"/>
      <c r="HK125" s="189"/>
      <c r="HL125" s="189"/>
      <c r="HM125" s="189"/>
      <c r="HN125" s="189"/>
      <c r="HO125" s="189"/>
      <c r="HP125" s="189"/>
      <c r="HQ125" s="189"/>
      <c r="HR125" s="189"/>
      <c r="HS125" s="189"/>
      <c r="HT125" s="189"/>
      <c r="HU125" s="189"/>
      <c r="HV125" s="189"/>
      <c r="HW125" s="189"/>
      <c r="HX125" s="189"/>
      <c r="HY125" s="189"/>
      <c r="HZ125" s="189"/>
      <c r="IA125" s="189"/>
      <c r="IB125" s="189"/>
      <c r="IC125" s="189"/>
      <c r="ID125" s="189"/>
      <c r="IE125" s="189"/>
      <c r="IF125" s="189"/>
      <c r="IG125" s="189"/>
      <c r="IH125" s="189"/>
      <c r="II125" s="189"/>
      <c r="IJ125" s="189"/>
      <c r="IK125" s="189"/>
      <c r="IL125" s="189"/>
      <c r="IM125" s="189"/>
      <c r="IN125" s="189"/>
      <c r="IO125" s="189"/>
      <c r="IP125" s="189"/>
      <c r="IQ125" s="189"/>
      <c r="IR125" s="189"/>
      <c r="IS125" s="189"/>
      <c r="IT125" s="189"/>
      <c r="IU125" s="189"/>
      <c r="IV125" s="189"/>
    </row>
    <row r="126" spans="1:256" ht="15" hidden="1">
      <c r="A126" s="836"/>
      <c r="B126" s="839"/>
      <c r="C126" s="183" t="s">
        <v>1</v>
      </c>
      <c r="D126" s="174">
        <f>D129+D132</f>
        <v>0</v>
      </c>
      <c r="E126" s="175">
        <f t="shared" si="46"/>
        <v>0</v>
      </c>
      <c r="F126" s="175">
        <f t="shared" si="46"/>
        <v>0</v>
      </c>
      <c r="G126" s="175">
        <f t="shared" si="46"/>
        <v>0</v>
      </c>
      <c r="H126" s="175">
        <f t="shared" si="46"/>
        <v>0</v>
      </c>
      <c r="I126" s="175">
        <f t="shared" si="46"/>
        <v>0</v>
      </c>
      <c r="J126" s="175">
        <f t="shared" si="46"/>
        <v>0</v>
      </c>
      <c r="K126" s="175">
        <f t="shared" si="46"/>
        <v>0</v>
      </c>
      <c r="L126" s="175">
        <f t="shared" si="46"/>
        <v>0</v>
      </c>
      <c r="M126" s="175">
        <f t="shared" si="46"/>
        <v>0</v>
      </c>
      <c r="N126" s="175">
        <f t="shared" si="46"/>
        <v>0</v>
      </c>
      <c r="O126" s="175">
        <f t="shared" si="46"/>
        <v>0</v>
      </c>
      <c r="P126" s="175">
        <f t="shared" si="46"/>
        <v>0</v>
      </c>
      <c r="Q126" s="188"/>
      <c r="R126" s="188"/>
      <c r="S126" s="188"/>
      <c r="T126" s="188"/>
      <c r="U126" s="188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189"/>
      <c r="CX126" s="189"/>
      <c r="CY126" s="189"/>
      <c r="CZ126" s="189"/>
      <c r="DA126" s="189"/>
      <c r="DB126" s="189"/>
      <c r="DC126" s="189"/>
      <c r="DD126" s="189"/>
      <c r="DE126" s="189"/>
      <c r="DF126" s="189"/>
      <c r="DG126" s="189"/>
      <c r="DH126" s="189"/>
      <c r="DI126" s="189"/>
      <c r="DJ126" s="189"/>
      <c r="DK126" s="189"/>
      <c r="DL126" s="189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89"/>
      <c r="EE126" s="189"/>
      <c r="EF126" s="189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89"/>
      <c r="ES126" s="189"/>
      <c r="ET126" s="189"/>
      <c r="EU126" s="189"/>
      <c r="EV126" s="189"/>
      <c r="EW126" s="189"/>
      <c r="EX126" s="189"/>
      <c r="EY126" s="189"/>
      <c r="EZ126" s="189"/>
      <c r="FA126" s="189"/>
      <c r="FB126" s="189"/>
      <c r="FC126" s="189"/>
      <c r="FD126" s="189"/>
      <c r="FE126" s="189"/>
      <c r="FF126" s="189"/>
      <c r="FG126" s="189"/>
      <c r="FH126" s="189"/>
      <c r="FI126" s="189"/>
      <c r="FJ126" s="189"/>
      <c r="FK126" s="189"/>
      <c r="FL126" s="189"/>
      <c r="FM126" s="189"/>
      <c r="FN126" s="189"/>
      <c r="FO126" s="189"/>
      <c r="FP126" s="189"/>
      <c r="FQ126" s="189"/>
      <c r="FR126" s="189"/>
      <c r="FS126" s="189"/>
      <c r="FT126" s="189"/>
      <c r="FU126" s="189"/>
      <c r="FV126" s="189"/>
      <c r="FW126" s="189"/>
      <c r="FX126" s="189"/>
      <c r="FY126" s="189"/>
      <c r="FZ126" s="189"/>
      <c r="GA126" s="189"/>
      <c r="GB126" s="189"/>
      <c r="GC126" s="189"/>
      <c r="GD126" s="189"/>
      <c r="GE126" s="189"/>
      <c r="GF126" s="189"/>
      <c r="GG126" s="189"/>
      <c r="GH126" s="189"/>
      <c r="GI126" s="189"/>
      <c r="GJ126" s="189"/>
      <c r="GK126" s="189"/>
      <c r="GL126" s="189"/>
      <c r="GM126" s="189"/>
      <c r="GN126" s="189"/>
      <c r="GO126" s="189"/>
      <c r="GP126" s="189"/>
      <c r="GQ126" s="189"/>
      <c r="GR126" s="189"/>
      <c r="GS126" s="189"/>
      <c r="GT126" s="189"/>
      <c r="GU126" s="189"/>
      <c r="GV126" s="189"/>
      <c r="GW126" s="189"/>
      <c r="GX126" s="189"/>
      <c r="GY126" s="189"/>
      <c r="GZ126" s="189"/>
      <c r="HA126" s="189"/>
      <c r="HB126" s="189"/>
      <c r="HC126" s="189"/>
      <c r="HD126" s="189"/>
      <c r="HE126" s="189"/>
      <c r="HF126" s="189"/>
      <c r="HG126" s="189"/>
      <c r="HH126" s="189"/>
      <c r="HI126" s="189"/>
      <c r="HJ126" s="189"/>
      <c r="HK126" s="189"/>
      <c r="HL126" s="189"/>
      <c r="HM126" s="189"/>
      <c r="HN126" s="189"/>
      <c r="HO126" s="189"/>
      <c r="HP126" s="189"/>
      <c r="HQ126" s="189"/>
      <c r="HR126" s="189"/>
      <c r="HS126" s="189"/>
      <c r="HT126" s="189"/>
      <c r="HU126" s="189"/>
      <c r="HV126" s="189"/>
      <c r="HW126" s="189"/>
      <c r="HX126" s="189"/>
      <c r="HY126" s="189"/>
      <c r="HZ126" s="189"/>
      <c r="IA126" s="189"/>
      <c r="IB126" s="189"/>
      <c r="IC126" s="189"/>
      <c r="ID126" s="189"/>
      <c r="IE126" s="189"/>
      <c r="IF126" s="189"/>
      <c r="IG126" s="189"/>
      <c r="IH126" s="189"/>
      <c r="II126" s="189"/>
      <c r="IJ126" s="189"/>
      <c r="IK126" s="189"/>
      <c r="IL126" s="189"/>
      <c r="IM126" s="189"/>
      <c r="IN126" s="189"/>
      <c r="IO126" s="189"/>
      <c r="IP126" s="189"/>
      <c r="IQ126" s="189"/>
      <c r="IR126" s="189"/>
      <c r="IS126" s="189"/>
      <c r="IT126" s="189"/>
      <c r="IU126" s="189"/>
      <c r="IV126" s="189"/>
    </row>
    <row r="127" spans="1:256" ht="15" hidden="1">
      <c r="A127" s="837"/>
      <c r="B127" s="840"/>
      <c r="C127" s="183" t="s">
        <v>2</v>
      </c>
      <c r="D127" s="174">
        <f>D125+D126</f>
        <v>3300000</v>
      </c>
      <c r="E127" s="175">
        <f t="shared" ref="E127:P127" si="47">E125+E126</f>
        <v>300000</v>
      </c>
      <c r="F127" s="175">
        <f t="shared" si="47"/>
        <v>0</v>
      </c>
      <c r="G127" s="175">
        <f t="shared" si="47"/>
        <v>0</v>
      </c>
      <c r="H127" s="175">
        <f t="shared" si="47"/>
        <v>0</v>
      </c>
      <c r="I127" s="175">
        <f t="shared" si="47"/>
        <v>300000</v>
      </c>
      <c r="J127" s="175">
        <f t="shared" si="47"/>
        <v>0</v>
      </c>
      <c r="K127" s="175">
        <f t="shared" si="47"/>
        <v>0</v>
      </c>
      <c r="L127" s="175">
        <f t="shared" si="47"/>
        <v>0</v>
      </c>
      <c r="M127" s="175">
        <f t="shared" si="47"/>
        <v>3000000</v>
      </c>
      <c r="N127" s="175">
        <f t="shared" si="47"/>
        <v>0</v>
      </c>
      <c r="O127" s="175">
        <f t="shared" si="47"/>
        <v>0</v>
      </c>
      <c r="P127" s="175">
        <f t="shared" si="47"/>
        <v>3000000</v>
      </c>
      <c r="Q127" s="188"/>
      <c r="R127" s="188"/>
      <c r="S127" s="188"/>
      <c r="T127" s="188"/>
      <c r="U127" s="188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189"/>
      <c r="DM127" s="189"/>
      <c r="DN127" s="189"/>
      <c r="DO127" s="189"/>
      <c r="DP127" s="189"/>
      <c r="DQ127" s="189"/>
      <c r="DR127" s="189"/>
      <c r="DS127" s="189"/>
      <c r="DT127" s="189"/>
      <c r="DU127" s="189"/>
      <c r="DV127" s="189"/>
      <c r="DW127" s="189"/>
      <c r="DX127" s="189"/>
      <c r="DY127" s="189"/>
      <c r="DZ127" s="189"/>
      <c r="EA127" s="189"/>
      <c r="EB127" s="189"/>
      <c r="EC127" s="189"/>
      <c r="ED127" s="189"/>
      <c r="EE127" s="189"/>
      <c r="EF127" s="189"/>
      <c r="EG127" s="189"/>
      <c r="EH127" s="189"/>
      <c r="EI127" s="189"/>
      <c r="EJ127" s="189"/>
      <c r="EK127" s="189"/>
      <c r="EL127" s="189"/>
      <c r="EM127" s="189"/>
      <c r="EN127" s="189"/>
      <c r="EO127" s="189"/>
      <c r="EP127" s="189"/>
      <c r="EQ127" s="189"/>
      <c r="ER127" s="189"/>
      <c r="ES127" s="189"/>
      <c r="ET127" s="189"/>
      <c r="EU127" s="189"/>
      <c r="EV127" s="189"/>
      <c r="EW127" s="189"/>
      <c r="EX127" s="189"/>
      <c r="EY127" s="189"/>
      <c r="EZ127" s="189"/>
      <c r="FA127" s="189"/>
      <c r="FB127" s="189"/>
      <c r="FC127" s="189"/>
      <c r="FD127" s="189"/>
      <c r="FE127" s="189"/>
      <c r="FF127" s="189"/>
      <c r="FG127" s="189"/>
      <c r="FH127" s="189"/>
      <c r="FI127" s="189"/>
      <c r="FJ127" s="189"/>
      <c r="FK127" s="189"/>
      <c r="FL127" s="189"/>
      <c r="FM127" s="189"/>
      <c r="FN127" s="189"/>
      <c r="FO127" s="189"/>
      <c r="FP127" s="189"/>
      <c r="FQ127" s="189"/>
      <c r="FR127" s="189"/>
      <c r="FS127" s="189"/>
      <c r="FT127" s="189"/>
      <c r="FU127" s="189"/>
      <c r="FV127" s="189"/>
      <c r="FW127" s="189"/>
      <c r="FX127" s="189"/>
      <c r="FY127" s="189"/>
      <c r="FZ127" s="189"/>
      <c r="GA127" s="189"/>
      <c r="GB127" s="189"/>
      <c r="GC127" s="189"/>
      <c r="GD127" s="189"/>
      <c r="GE127" s="189"/>
      <c r="GF127" s="189"/>
      <c r="GG127" s="189"/>
      <c r="GH127" s="189"/>
      <c r="GI127" s="189"/>
      <c r="GJ127" s="189"/>
      <c r="GK127" s="189"/>
      <c r="GL127" s="189"/>
      <c r="GM127" s="189"/>
      <c r="GN127" s="189"/>
      <c r="GO127" s="189"/>
      <c r="GP127" s="189"/>
      <c r="GQ127" s="189"/>
      <c r="GR127" s="189"/>
      <c r="GS127" s="189"/>
      <c r="GT127" s="189"/>
      <c r="GU127" s="189"/>
      <c r="GV127" s="189"/>
      <c r="GW127" s="189"/>
      <c r="GX127" s="189"/>
      <c r="GY127" s="189"/>
      <c r="GZ127" s="189"/>
      <c r="HA127" s="189"/>
      <c r="HB127" s="189"/>
      <c r="HC127" s="189"/>
      <c r="HD127" s="189"/>
      <c r="HE127" s="189"/>
      <c r="HF127" s="189"/>
      <c r="HG127" s="189"/>
      <c r="HH127" s="189"/>
      <c r="HI127" s="189"/>
      <c r="HJ127" s="189"/>
      <c r="HK127" s="189"/>
      <c r="HL127" s="189"/>
      <c r="HM127" s="189"/>
      <c r="HN127" s="189"/>
      <c r="HO127" s="189"/>
      <c r="HP127" s="189"/>
      <c r="HQ127" s="189"/>
      <c r="HR127" s="189"/>
      <c r="HS127" s="189"/>
      <c r="HT127" s="189"/>
      <c r="HU127" s="189"/>
      <c r="HV127" s="189"/>
      <c r="HW127" s="189"/>
      <c r="HX127" s="189"/>
      <c r="HY127" s="189"/>
      <c r="HZ127" s="189"/>
      <c r="IA127" s="189"/>
      <c r="IB127" s="189"/>
      <c r="IC127" s="189"/>
      <c r="ID127" s="189"/>
      <c r="IE127" s="189"/>
      <c r="IF127" s="189"/>
      <c r="IG127" s="189"/>
      <c r="IH127" s="189"/>
      <c r="II127" s="189"/>
      <c r="IJ127" s="189"/>
      <c r="IK127" s="189"/>
      <c r="IL127" s="189"/>
      <c r="IM127" s="189"/>
      <c r="IN127" s="189"/>
      <c r="IO127" s="189"/>
      <c r="IP127" s="189"/>
      <c r="IQ127" s="189"/>
      <c r="IR127" s="189"/>
      <c r="IS127" s="189"/>
      <c r="IT127" s="189"/>
      <c r="IU127" s="189"/>
      <c r="IV127" s="189"/>
    </row>
    <row r="128" spans="1:256" hidden="1">
      <c r="A128" s="841" t="s">
        <v>223</v>
      </c>
      <c r="B128" s="844" t="s">
        <v>224</v>
      </c>
      <c r="C128" s="178" t="s">
        <v>0</v>
      </c>
      <c r="D128" s="180">
        <f>E128+M128</f>
        <v>300000</v>
      </c>
      <c r="E128" s="181">
        <f>F128+I128+J128+K128+L128</f>
        <v>300000</v>
      </c>
      <c r="F128" s="181">
        <f>G128+H128</f>
        <v>0</v>
      </c>
      <c r="G128" s="181">
        <v>0</v>
      </c>
      <c r="H128" s="181">
        <v>0</v>
      </c>
      <c r="I128" s="181">
        <v>300000</v>
      </c>
      <c r="J128" s="181">
        <v>0</v>
      </c>
      <c r="K128" s="181">
        <v>0</v>
      </c>
      <c r="L128" s="181">
        <v>0</v>
      </c>
      <c r="M128" s="181">
        <f>N128+P128</f>
        <v>0</v>
      </c>
      <c r="N128" s="181">
        <v>0</v>
      </c>
      <c r="O128" s="181">
        <v>0</v>
      </c>
      <c r="P128" s="181">
        <v>0</v>
      </c>
      <c r="Q128" s="182"/>
      <c r="R128" s="182"/>
      <c r="S128" s="182"/>
      <c r="T128" s="182"/>
      <c r="U128" s="182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148"/>
      <c r="GU128" s="148"/>
      <c r="GV128" s="148"/>
      <c r="GW128" s="148"/>
      <c r="GX128" s="148"/>
      <c r="GY128" s="148"/>
      <c r="GZ128" s="148"/>
      <c r="HA128" s="148"/>
      <c r="HB128" s="148"/>
      <c r="HC128" s="148"/>
      <c r="HD128" s="148"/>
      <c r="HE128" s="148"/>
      <c r="HF128" s="148"/>
      <c r="HG128" s="148"/>
      <c r="HH128" s="148"/>
      <c r="HI128" s="148"/>
      <c r="HJ128" s="148"/>
      <c r="HK128" s="148"/>
      <c r="HL128" s="148"/>
      <c r="HM128" s="148"/>
      <c r="HN128" s="148"/>
      <c r="HO128" s="148"/>
      <c r="HP128" s="148"/>
      <c r="HQ128" s="148"/>
      <c r="HR128" s="148"/>
      <c r="HS128" s="148"/>
      <c r="HT128" s="148"/>
      <c r="HU128" s="148"/>
      <c r="HV128" s="148"/>
      <c r="HW128" s="148"/>
      <c r="HX128" s="148"/>
      <c r="HY128" s="148"/>
      <c r="HZ128" s="148"/>
      <c r="IA128" s="148"/>
      <c r="IB128" s="148"/>
      <c r="IC128" s="148"/>
      <c r="ID128" s="148"/>
      <c r="IE128" s="148"/>
      <c r="IF128" s="148"/>
      <c r="IG128" s="148"/>
      <c r="IH128" s="148"/>
      <c r="II128" s="148"/>
      <c r="IJ128" s="148"/>
      <c r="IK128" s="148"/>
      <c r="IL128" s="148"/>
      <c r="IM128" s="148"/>
      <c r="IN128" s="148"/>
      <c r="IO128" s="148"/>
      <c r="IP128" s="148"/>
      <c r="IQ128" s="148"/>
      <c r="IR128" s="148"/>
      <c r="IS128" s="148"/>
      <c r="IT128" s="148"/>
      <c r="IU128" s="148"/>
      <c r="IV128" s="148"/>
    </row>
    <row r="129" spans="1:256" hidden="1">
      <c r="A129" s="842"/>
      <c r="B129" s="845"/>
      <c r="C129" s="178" t="s">
        <v>1</v>
      </c>
      <c r="D129" s="180">
        <f>E129+M129</f>
        <v>0</v>
      </c>
      <c r="E129" s="181">
        <f>F129+I129+J129+K129+L129</f>
        <v>0</v>
      </c>
      <c r="F129" s="181">
        <f>G129+H129</f>
        <v>0</v>
      </c>
      <c r="G129" s="181"/>
      <c r="H129" s="181"/>
      <c r="I129" s="181"/>
      <c r="J129" s="181"/>
      <c r="K129" s="181"/>
      <c r="L129" s="181"/>
      <c r="M129" s="181">
        <f>N129+P129</f>
        <v>0</v>
      </c>
      <c r="N129" s="181"/>
      <c r="O129" s="181"/>
      <c r="P129" s="181"/>
      <c r="Q129" s="182"/>
      <c r="R129" s="182"/>
      <c r="S129" s="182"/>
      <c r="T129" s="182"/>
      <c r="U129" s="182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  <c r="HN129" s="148"/>
      <c r="HO129" s="148"/>
      <c r="HP129" s="148"/>
      <c r="HQ129" s="148"/>
      <c r="HR129" s="148"/>
      <c r="HS129" s="148"/>
      <c r="HT129" s="148"/>
      <c r="HU129" s="148"/>
      <c r="HV129" s="148"/>
      <c r="HW129" s="148"/>
      <c r="HX129" s="148"/>
      <c r="HY129" s="148"/>
      <c r="HZ129" s="148"/>
      <c r="IA129" s="148"/>
      <c r="IB129" s="148"/>
      <c r="IC129" s="148"/>
      <c r="ID129" s="148"/>
      <c r="IE129" s="148"/>
      <c r="IF129" s="148"/>
      <c r="IG129" s="148"/>
      <c r="IH129" s="148"/>
      <c r="II129" s="148"/>
      <c r="IJ129" s="148"/>
      <c r="IK129" s="148"/>
      <c r="IL129" s="148"/>
      <c r="IM129" s="148"/>
      <c r="IN129" s="148"/>
      <c r="IO129" s="148"/>
      <c r="IP129" s="148"/>
      <c r="IQ129" s="148"/>
      <c r="IR129" s="148"/>
      <c r="IS129" s="148"/>
      <c r="IT129" s="148"/>
      <c r="IU129" s="148"/>
      <c r="IV129" s="148"/>
    </row>
    <row r="130" spans="1:256" hidden="1">
      <c r="A130" s="843"/>
      <c r="B130" s="846"/>
      <c r="C130" s="178" t="s">
        <v>2</v>
      </c>
      <c r="D130" s="180">
        <f>D128+D129</f>
        <v>300000</v>
      </c>
      <c r="E130" s="181">
        <f t="shared" ref="E130:P130" si="48">E128+E129</f>
        <v>300000</v>
      </c>
      <c r="F130" s="181">
        <f t="shared" si="48"/>
        <v>0</v>
      </c>
      <c r="G130" s="181">
        <f t="shared" si="48"/>
        <v>0</v>
      </c>
      <c r="H130" s="181">
        <f t="shared" si="48"/>
        <v>0</v>
      </c>
      <c r="I130" s="181">
        <f t="shared" si="48"/>
        <v>300000</v>
      </c>
      <c r="J130" s="181">
        <f t="shared" si="48"/>
        <v>0</v>
      </c>
      <c r="K130" s="181">
        <f t="shared" si="48"/>
        <v>0</v>
      </c>
      <c r="L130" s="181">
        <f t="shared" si="48"/>
        <v>0</v>
      </c>
      <c r="M130" s="181">
        <f t="shared" si="48"/>
        <v>0</v>
      </c>
      <c r="N130" s="181">
        <f t="shared" si="48"/>
        <v>0</v>
      </c>
      <c r="O130" s="181">
        <f t="shared" si="48"/>
        <v>0</v>
      </c>
      <c r="P130" s="181">
        <f t="shared" si="48"/>
        <v>0</v>
      </c>
      <c r="Q130" s="182"/>
      <c r="R130" s="182"/>
      <c r="S130" s="182"/>
      <c r="T130" s="182"/>
      <c r="U130" s="182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  <c r="GR130" s="148"/>
      <c r="GS130" s="148"/>
      <c r="GT130" s="148"/>
      <c r="GU130" s="148"/>
      <c r="GV130" s="148"/>
      <c r="GW130" s="148"/>
      <c r="GX130" s="148"/>
      <c r="GY130" s="148"/>
      <c r="GZ130" s="148"/>
      <c r="HA130" s="148"/>
      <c r="HB130" s="148"/>
      <c r="HC130" s="148"/>
      <c r="HD130" s="148"/>
      <c r="HE130" s="148"/>
      <c r="HF130" s="148"/>
      <c r="HG130" s="148"/>
      <c r="HH130" s="148"/>
      <c r="HI130" s="148"/>
      <c r="HJ130" s="148"/>
      <c r="HK130" s="148"/>
      <c r="HL130" s="148"/>
      <c r="HM130" s="148"/>
      <c r="HN130" s="148"/>
      <c r="HO130" s="148"/>
      <c r="HP130" s="148"/>
      <c r="HQ130" s="148"/>
      <c r="HR130" s="148"/>
      <c r="HS130" s="148"/>
      <c r="HT130" s="148"/>
      <c r="HU130" s="148"/>
      <c r="HV130" s="148"/>
      <c r="HW130" s="148"/>
      <c r="HX130" s="148"/>
      <c r="HY130" s="148"/>
      <c r="HZ130" s="148"/>
      <c r="IA130" s="148"/>
      <c r="IB130" s="148"/>
      <c r="IC130" s="148"/>
      <c r="ID130" s="148"/>
      <c r="IE130" s="148"/>
      <c r="IF130" s="148"/>
      <c r="IG130" s="148"/>
      <c r="IH130" s="148"/>
      <c r="II130" s="148"/>
      <c r="IJ130" s="148"/>
      <c r="IK130" s="148"/>
      <c r="IL130" s="148"/>
      <c r="IM130" s="148"/>
      <c r="IN130" s="148"/>
      <c r="IO130" s="148"/>
      <c r="IP130" s="148"/>
      <c r="IQ130" s="148"/>
      <c r="IR130" s="148"/>
      <c r="IS130" s="148"/>
      <c r="IT130" s="148"/>
      <c r="IU130" s="148"/>
      <c r="IV130" s="148"/>
    </row>
    <row r="131" spans="1:256" hidden="1">
      <c r="A131" s="841" t="s">
        <v>225</v>
      </c>
      <c r="B131" s="844" t="s">
        <v>108</v>
      </c>
      <c r="C131" s="178" t="s">
        <v>0</v>
      </c>
      <c r="D131" s="180">
        <f>E131+M131</f>
        <v>3000000</v>
      </c>
      <c r="E131" s="181">
        <f>F131+I131+J131+K131+L131</f>
        <v>0</v>
      </c>
      <c r="F131" s="181">
        <f>G131+H131</f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f>N131+P131</f>
        <v>3000000</v>
      </c>
      <c r="N131" s="181">
        <v>0</v>
      </c>
      <c r="O131" s="181">
        <v>0</v>
      </c>
      <c r="P131" s="181">
        <v>3000000</v>
      </c>
      <c r="Q131" s="182"/>
      <c r="R131" s="182"/>
      <c r="S131" s="182"/>
      <c r="T131" s="182"/>
      <c r="U131" s="182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  <c r="GR131" s="148"/>
      <c r="GS131" s="148"/>
      <c r="GT131" s="148"/>
      <c r="GU131" s="148"/>
      <c r="GV131" s="148"/>
      <c r="GW131" s="148"/>
      <c r="GX131" s="148"/>
      <c r="GY131" s="148"/>
      <c r="GZ131" s="148"/>
      <c r="HA131" s="148"/>
      <c r="HB131" s="148"/>
      <c r="HC131" s="148"/>
      <c r="HD131" s="148"/>
      <c r="HE131" s="148"/>
      <c r="HF131" s="148"/>
      <c r="HG131" s="148"/>
      <c r="HH131" s="148"/>
      <c r="HI131" s="148"/>
      <c r="HJ131" s="148"/>
      <c r="HK131" s="148"/>
      <c r="HL131" s="148"/>
      <c r="HM131" s="148"/>
      <c r="HN131" s="148"/>
      <c r="HO131" s="148"/>
      <c r="HP131" s="148"/>
      <c r="HQ131" s="148"/>
      <c r="HR131" s="148"/>
      <c r="HS131" s="148"/>
      <c r="HT131" s="148"/>
      <c r="HU131" s="148"/>
      <c r="HV131" s="148"/>
      <c r="HW131" s="148"/>
      <c r="HX131" s="148"/>
      <c r="HY131" s="148"/>
      <c r="HZ131" s="148"/>
      <c r="IA131" s="148"/>
      <c r="IB131" s="148"/>
      <c r="IC131" s="148"/>
      <c r="ID131" s="148"/>
      <c r="IE131" s="148"/>
      <c r="IF131" s="148"/>
      <c r="IG131" s="148"/>
      <c r="IH131" s="148"/>
      <c r="II131" s="148"/>
      <c r="IJ131" s="148"/>
      <c r="IK131" s="148"/>
      <c r="IL131" s="148"/>
      <c r="IM131" s="148"/>
      <c r="IN131" s="148"/>
      <c r="IO131" s="148"/>
      <c r="IP131" s="148"/>
      <c r="IQ131" s="148"/>
      <c r="IR131" s="148"/>
      <c r="IS131" s="148"/>
      <c r="IT131" s="148"/>
      <c r="IU131" s="148"/>
      <c r="IV131" s="148"/>
    </row>
    <row r="132" spans="1:256" hidden="1">
      <c r="A132" s="842"/>
      <c r="B132" s="845"/>
      <c r="C132" s="178" t="s">
        <v>1</v>
      </c>
      <c r="D132" s="180">
        <f>E132+M132</f>
        <v>0</v>
      </c>
      <c r="E132" s="181">
        <f>F132+I132+J132+K132+L132</f>
        <v>0</v>
      </c>
      <c r="F132" s="181">
        <f>G132+H132</f>
        <v>0</v>
      </c>
      <c r="G132" s="181"/>
      <c r="H132" s="181"/>
      <c r="I132" s="181"/>
      <c r="J132" s="181"/>
      <c r="K132" s="181"/>
      <c r="L132" s="181"/>
      <c r="M132" s="181">
        <f>N132+P132</f>
        <v>0</v>
      </c>
      <c r="N132" s="181"/>
      <c r="O132" s="181"/>
      <c r="P132" s="181"/>
      <c r="Q132" s="182"/>
      <c r="R132" s="182"/>
      <c r="S132" s="182"/>
      <c r="T132" s="182"/>
      <c r="U132" s="182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  <c r="GR132" s="148"/>
      <c r="GS132" s="148"/>
      <c r="GT132" s="148"/>
      <c r="GU132" s="148"/>
      <c r="GV132" s="148"/>
      <c r="GW132" s="148"/>
      <c r="GX132" s="148"/>
      <c r="GY132" s="148"/>
      <c r="GZ132" s="148"/>
      <c r="HA132" s="148"/>
      <c r="HB132" s="148"/>
      <c r="HC132" s="148"/>
      <c r="HD132" s="148"/>
      <c r="HE132" s="148"/>
      <c r="HF132" s="148"/>
      <c r="HG132" s="148"/>
      <c r="HH132" s="148"/>
      <c r="HI132" s="148"/>
      <c r="HJ132" s="148"/>
      <c r="HK132" s="148"/>
      <c r="HL132" s="148"/>
      <c r="HM132" s="148"/>
      <c r="HN132" s="148"/>
      <c r="HO132" s="148"/>
      <c r="HP132" s="148"/>
      <c r="HQ132" s="148"/>
      <c r="HR132" s="148"/>
      <c r="HS132" s="148"/>
      <c r="HT132" s="148"/>
      <c r="HU132" s="148"/>
      <c r="HV132" s="148"/>
      <c r="HW132" s="148"/>
      <c r="HX132" s="148"/>
      <c r="HY132" s="148"/>
      <c r="HZ132" s="148"/>
      <c r="IA132" s="148"/>
      <c r="IB132" s="148"/>
      <c r="IC132" s="148"/>
      <c r="ID132" s="148"/>
      <c r="IE132" s="148"/>
      <c r="IF132" s="148"/>
      <c r="IG132" s="148"/>
      <c r="IH132" s="148"/>
      <c r="II132" s="148"/>
      <c r="IJ132" s="148"/>
      <c r="IK132" s="148"/>
      <c r="IL132" s="148"/>
      <c r="IM132" s="148"/>
      <c r="IN132" s="148"/>
      <c r="IO132" s="148"/>
      <c r="IP132" s="148"/>
      <c r="IQ132" s="148"/>
      <c r="IR132" s="148"/>
      <c r="IS132" s="148"/>
      <c r="IT132" s="148"/>
      <c r="IU132" s="148"/>
      <c r="IV132" s="148"/>
    </row>
    <row r="133" spans="1:256" hidden="1">
      <c r="A133" s="843"/>
      <c r="B133" s="846"/>
      <c r="C133" s="178" t="s">
        <v>2</v>
      </c>
      <c r="D133" s="180">
        <f>D131+D132</f>
        <v>3000000</v>
      </c>
      <c r="E133" s="181">
        <f t="shared" ref="E133:P133" si="49">E131+E132</f>
        <v>0</v>
      </c>
      <c r="F133" s="181">
        <f t="shared" si="49"/>
        <v>0</v>
      </c>
      <c r="G133" s="181">
        <f t="shared" si="49"/>
        <v>0</v>
      </c>
      <c r="H133" s="181">
        <f t="shared" si="49"/>
        <v>0</v>
      </c>
      <c r="I133" s="181">
        <f t="shared" si="49"/>
        <v>0</v>
      </c>
      <c r="J133" s="181">
        <f t="shared" si="49"/>
        <v>0</v>
      </c>
      <c r="K133" s="181">
        <f t="shared" si="49"/>
        <v>0</v>
      </c>
      <c r="L133" s="181">
        <f t="shared" si="49"/>
        <v>0</v>
      </c>
      <c r="M133" s="181">
        <f t="shared" si="49"/>
        <v>3000000</v>
      </c>
      <c r="N133" s="181">
        <f t="shared" si="49"/>
        <v>0</v>
      </c>
      <c r="O133" s="181">
        <f t="shared" si="49"/>
        <v>0</v>
      </c>
      <c r="P133" s="181">
        <f t="shared" si="49"/>
        <v>3000000</v>
      </c>
      <c r="Q133" s="182"/>
      <c r="R133" s="182"/>
      <c r="S133" s="182"/>
      <c r="T133" s="182"/>
      <c r="U133" s="182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148"/>
      <c r="GU133" s="148"/>
      <c r="GV133" s="148"/>
      <c r="GW133" s="148"/>
      <c r="GX133" s="148"/>
      <c r="GY133" s="148"/>
      <c r="GZ133" s="148"/>
      <c r="HA133" s="148"/>
      <c r="HB133" s="148"/>
      <c r="HC133" s="148"/>
      <c r="HD133" s="148"/>
      <c r="HE133" s="148"/>
      <c r="HF133" s="148"/>
      <c r="HG133" s="148"/>
      <c r="HH133" s="148"/>
      <c r="HI133" s="148"/>
      <c r="HJ133" s="148"/>
      <c r="HK133" s="148"/>
      <c r="HL133" s="148"/>
      <c r="HM133" s="148"/>
      <c r="HN133" s="148"/>
      <c r="HO133" s="148"/>
      <c r="HP133" s="148"/>
      <c r="HQ133" s="148"/>
      <c r="HR133" s="148"/>
      <c r="HS133" s="148"/>
      <c r="HT133" s="148"/>
      <c r="HU133" s="148"/>
      <c r="HV133" s="148"/>
      <c r="HW133" s="148"/>
      <c r="HX133" s="148"/>
      <c r="HY133" s="148"/>
      <c r="HZ133" s="148"/>
      <c r="IA133" s="148"/>
      <c r="IB133" s="148"/>
      <c r="IC133" s="148"/>
      <c r="ID133" s="148"/>
      <c r="IE133" s="148"/>
      <c r="IF133" s="148"/>
      <c r="IG133" s="148"/>
      <c r="IH133" s="148"/>
      <c r="II133" s="148"/>
      <c r="IJ133" s="148"/>
      <c r="IK133" s="148"/>
      <c r="IL133" s="148"/>
      <c r="IM133" s="148"/>
      <c r="IN133" s="148"/>
      <c r="IO133" s="148"/>
      <c r="IP133" s="148"/>
      <c r="IQ133" s="148"/>
      <c r="IR133" s="148"/>
      <c r="IS133" s="148"/>
      <c r="IT133" s="148"/>
      <c r="IU133" s="148"/>
      <c r="IV133" s="148"/>
    </row>
    <row r="134" spans="1:256" ht="15">
      <c r="A134" s="835" t="s">
        <v>53</v>
      </c>
      <c r="B134" s="838" t="s">
        <v>54</v>
      </c>
      <c r="C134" s="183" t="s">
        <v>0</v>
      </c>
      <c r="D134" s="174">
        <f t="shared" ref="D134:P135" si="50">D137+D140+D143+D146+D152+D149</f>
        <v>238871808</v>
      </c>
      <c r="E134" s="175">
        <f t="shared" si="50"/>
        <v>230228808</v>
      </c>
      <c r="F134" s="175">
        <f t="shared" si="50"/>
        <v>143099703</v>
      </c>
      <c r="G134" s="175">
        <f t="shared" si="50"/>
        <v>78241655</v>
      </c>
      <c r="H134" s="175">
        <f t="shared" si="50"/>
        <v>64858048</v>
      </c>
      <c r="I134" s="175">
        <f t="shared" si="50"/>
        <v>140000</v>
      </c>
      <c r="J134" s="175">
        <f t="shared" si="50"/>
        <v>2172800</v>
      </c>
      <c r="K134" s="175">
        <f t="shared" si="50"/>
        <v>84816305</v>
      </c>
      <c r="L134" s="175">
        <f t="shared" si="50"/>
        <v>0</v>
      </c>
      <c r="M134" s="175">
        <f t="shared" si="50"/>
        <v>8643000</v>
      </c>
      <c r="N134" s="175">
        <f t="shared" si="50"/>
        <v>8643000</v>
      </c>
      <c r="O134" s="175">
        <f t="shared" si="50"/>
        <v>100000</v>
      </c>
      <c r="P134" s="175">
        <f t="shared" si="50"/>
        <v>0</v>
      </c>
      <c r="Q134" s="188"/>
      <c r="R134" s="188"/>
      <c r="S134" s="188"/>
      <c r="T134" s="188"/>
      <c r="U134" s="188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189"/>
      <c r="EC134" s="189"/>
      <c r="ED134" s="189"/>
      <c r="EE134" s="189"/>
      <c r="EF134" s="189"/>
      <c r="EG134" s="189"/>
      <c r="EH134" s="189"/>
      <c r="EI134" s="189"/>
      <c r="EJ134" s="189"/>
      <c r="EK134" s="189"/>
      <c r="EL134" s="189"/>
      <c r="EM134" s="189"/>
      <c r="EN134" s="189"/>
      <c r="EO134" s="189"/>
      <c r="EP134" s="189"/>
      <c r="EQ134" s="189"/>
      <c r="ER134" s="189"/>
      <c r="ES134" s="189"/>
      <c r="ET134" s="189"/>
      <c r="EU134" s="189"/>
      <c r="EV134" s="189"/>
      <c r="EW134" s="189"/>
      <c r="EX134" s="189"/>
      <c r="EY134" s="189"/>
      <c r="EZ134" s="189"/>
      <c r="FA134" s="189"/>
      <c r="FB134" s="189"/>
      <c r="FC134" s="189"/>
      <c r="FD134" s="189"/>
      <c r="FE134" s="189"/>
      <c r="FF134" s="189"/>
      <c r="FG134" s="189"/>
      <c r="FH134" s="189"/>
      <c r="FI134" s="189"/>
      <c r="FJ134" s="189"/>
      <c r="FK134" s="189"/>
      <c r="FL134" s="189"/>
      <c r="FM134" s="189"/>
      <c r="FN134" s="189"/>
      <c r="FO134" s="189"/>
      <c r="FP134" s="189"/>
      <c r="FQ134" s="189"/>
      <c r="FR134" s="189"/>
      <c r="FS134" s="189"/>
      <c r="FT134" s="189"/>
      <c r="FU134" s="189"/>
      <c r="FV134" s="189"/>
      <c r="FW134" s="189"/>
      <c r="FX134" s="189"/>
      <c r="FY134" s="189"/>
      <c r="FZ134" s="189"/>
      <c r="GA134" s="189"/>
      <c r="GB134" s="189"/>
      <c r="GC134" s="189"/>
      <c r="GD134" s="189"/>
      <c r="GE134" s="189"/>
      <c r="GF134" s="189"/>
      <c r="GG134" s="189"/>
      <c r="GH134" s="189"/>
      <c r="GI134" s="189"/>
      <c r="GJ134" s="189"/>
      <c r="GK134" s="189"/>
      <c r="GL134" s="189"/>
      <c r="GM134" s="189"/>
      <c r="GN134" s="189"/>
      <c r="GO134" s="189"/>
      <c r="GP134" s="189"/>
      <c r="GQ134" s="189"/>
      <c r="GR134" s="189"/>
      <c r="GS134" s="189"/>
      <c r="GT134" s="189"/>
      <c r="GU134" s="189"/>
      <c r="GV134" s="189"/>
      <c r="GW134" s="189"/>
      <c r="GX134" s="189"/>
      <c r="GY134" s="189"/>
      <c r="GZ134" s="189"/>
      <c r="HA134" s="189"/>
      <c r="HB134" s="189"/>
      <c r="HC134" s="189"/>
      <c r="HD134" s="189"/>
      <c r="HE134" s="189"/>
      <c r="HF134" s="189"/>
      <c r="HG134" s="189"/>
      <c r="HH134" s="189"/>
      <c r="HI134" s="189"/>
      <c r="HJ134" s="189"/>
      <c r="HK134" s="189"/>
      <c r="HL134" s="189"/>
      <c r="HM134" s="189"/>
      <c r="HN134" s="189"/>
      <c r="HO134" s="189"/>
      <c r="HP134" s="189"/>
      <c r="HQ134" s="189"/>
      <c r="HR134" s="189"/>
      <c r="HS134" s="189"/>
      <c r="HT134" s="189"/>
      <c r="HU134" s="189"/>
      <c r="HV134" s="189"/>
      <c r="HW134" s="189"/>
      <c r="HX134" s="189"/>
      <c r="HY134" s="189"/>
      <c r="HZ134" s="189"/>
      <c r="IA134" s="189"/>
      <c r="IB134" s="189"/>
      <c r="IC134" s="189"/>
      <c r="ID134" s="189"/>
      <c r="IE134" s="189"/>
      <c r="IF134" s="189"/>
      <c r="IG134" s="189"/>
      <c r="IH134" s="189"/>
      <c r="II134" s="189"/>
      <c r="IJ134" s="189"/>
      <c r="IK134" s="189"/>
      <c r="IL134" s="189"/>
      <c r="IM134" s="189"/>
      <c r="IN134" s="189"/>
      <c r="IO134" s="189"/>
      <c r="IP134" s="189"/>
      <c r="IQ134" s="189"/>
      <c r="IR134" s="189"/>
      <c r="IS134" s="189"/>
      <c r="IT134" s="189"/>
      <c r="IU134" s="189"/>
      <c r="IV134" s="189"/>
    </row>
    <row r="135" spans="1:256" ht="15">
      <c r="A135" s="836"/>
      <c r="B135" s="839"/>
      <c r="C135" s="183" t="s">
        <v>1</v>
      </c>
      <c r="D135" s="174">
        <f t="shared" si="50"/>
        <v>10595963</v>
      </c>
      <c r="E135" s="175">
        <f t="shared" si="50"/>
        <v>10185274</v>
      </c>
      <c r="F135" s="175">
        <f t="shared" si="50"/>
        <v>9771150</v>
      </c>
      <c r="G135" s="175">
        <f t="shared" si="50"/>
        <v>90000</v>
      </c>
      <c r="H135" s="175">
        <f t="shared" si="50"/>
        <v>9681150</v>
      </c>
      <c r="I135" s="175">
        <f t="shared" si="50"/>
        <v>0</v>
      </c>
      <c r="J135" s="175">
        <f t="shared" si="50"/>
        <v>0</v>
      </c>
      <c r="K135" s="175">
        <f t="shared" si="50"/>
        <v>414124</v>
      </c>
      <c r="L135" s="175">
        <f t="shared" si="50"/>
        <v>0</v>
      </c>
      <c r="M135" s="175">
        <f t="shared" si="50"/>
        <v>410689</v>
      </c>
      <c r="N135" s="175">
        <f t="shared" si="50"/>
        <v>410689</v>
      </c>
      <c r="O135" s="175">
        <f t="shared" si="50"/>
        <v>0</v>
      </c>
      <c r="P135" s="175">
        <f t="shared" si="50"/>
        <v>0</v>
      </c>
      <c r="Q135" s="188"/>
      <c r="R135" s="188"/>
      <c r="S135" s="188"/>
      <c r="T135" s="188"/>
      <c r="U135" s="188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189"/>
      <c r="CX135" s="189"/>
      <c r="CY135" s="189"/>
      <c r="CZ135" s="189"/>
      <c r="DA135" s="189"/>
      <c r="DB135" s="189"/>
      <c r="DC135" s="189"/>
      <c r="DD135" s="189"/>
      <c r="DE135" s="189"/>
      <c r="DF135" s="189"/>
      <c r="DG135" s="189"/>
      <c r="DH135" s="189"/>
      <c r="DI135" s="189"/>
      <c r="DJ135" s="189"/>
      <c r="DK135" s="189"/>
      <c r="DL135" s="189"/>
      <c r="DM135" s="189"/>
      <c r="DN135" s="189"/>
      <c r="DO135" s="189"/>
      <c r="DP135" s="189"/>
      <c r="DQ135" s="189"/>
      <c r="DR135" s="189"/>
      <c r="DS135" s="189"/>
      <c r="DT135" s="189"/>
      <c r="DU135" s="189"/>
      <c r="DV135" s="189"/>
      <c r="DW135" s="189"/>
      <c r="DX135" s="189"/>
      <c r="DY135" s="189"/>
      <c r="DZ135" s="189"/>
      <c r="EA135" s="189"/>
      <c r="EB135" s="189"/>
      <c r="EC135" s="189"/>
      <c r="ED135" s="189"/>
      <c r="EE135" s="189"/>
      <c r="EF135" s="189"/>
      <c r="EG135" s="189"/>
      <c r="EH135" s="189"/>
      <c r="EI135" s="189"/>
      <c r="EJ135" s="189"/>
      <c r="EK135" s="189"/>
      <c r="EL135" s="189"/>
      <c r="EM135" s="189"/>
      <c r="EN135" s="189"/>
      <c r="EO135" s="189"/>
      <c r="EP135" s="189"/>
      <c r="EQ135" s="189"/>
      <c r="ER135" s="189"/>
      <c r="ES135" s="189"/>
      <c r="ET135" s="189"/>
      <c r="EU135" s="189"/>
      <c r="EV135" s="189"/>
      <c r="EW135" s="189"/>
      <c r="EX135" s="189"/>
      <c r="EY135" s="189"/>
      <c r="EZ135" s="189"/>
      <c r="FA135" s="189"/>
      <c r="FB135" s="189"/>
      <c r="FC135" s="189"/>
      <c r="FD135" s="189"/>
      <c r="FE135" s="189"/>
      <c r="FF135" s="189"/>
      <c r="FG135" s="189"/>
      <c r="FH135" s="189"/>
      <c r="FI135" s="189"/>
      <c r="FJ135" s="189"/>
      <c r="FK135" s="189"/>
      <c r="FL135" s="189"/>
      <c r="FM135" s="189"/>
      <c r="FN135" s="189"/>
      <c r="FO135" s="189"/>
      <c r="FP135" s="189"/>
      <c r="FQ135" s="189"/>
      <c r="FR135" s="189"/>
      <c r="FS135" s="189"/>
      <c r="FT135" s="189"/>
      <c r="FU135" s="189"/>
      <c r="FV135" s="189"/>
      <c r="FW135" s="189"/>
      <c r="FX135" s="189"/>
      <c r="FY135" s="189"/>
      <c r="FZ135" s="189"/>
      <c r="GA135" s="189"/>
      <c r="GB135" s="189"/>
      <c r="GC135" s="189"/>
      <c r="GD135" s="189"/>
      <c r="GE135" s="189"/>
      <c r="GF135" s="189"/>
      <c r="GG135" s="189"/>
      <c r="GH135" s="189"/>
      <c r="GI135" s="189"/>
      <c r="GJ135" s="189"/>
      <c r="GK135" s="189"/>
      <c r="GL135" s="189"/>
      <c r="GM135" s="189"/>
      <c r="GN135" s="189"/>
      <c r="GO135" s="189"/>
      <c r="GP135" s="189"/>
      <c r="GQ135" s="189"/>
      <c r="GR135" s="189"/>
      <c r="GS135" s="189"/>
      <c r="GT135" s="189"/>
      <c r="GU135" s="189"/>
      <c r="GV135" s="189"/>
      <c r="GW135" s="189"/>
      <c r="GX135" s="189"/>
      <c r="GY135" s="189"/>
      <c r="GZ135" s="189"/>
      <c r="HA135" s="189"/>
      <c r="HB135" s="189"/>
      <c r="HC135" s="189"/>
      <c r="HD135" s="189"/>
      <c r="HE135" s="189"/>
      <c r="HF135" s="189"/>
      <c r="HG135" s="189"/>
      <c r="HH135" s="189"/>
      <c r="HI135" s="189"/>
      <c r="HJ135" s="189"/>
      <c r="HK135" s="189"/>
      <c r="HL135" s="189"/>
      <c r="HM135" s="189"/>
      <c r="HN135" s="189"/>
      <c r="HO135" s="189"/>
      <c r="HP135" s="189"/>
      <c r="HQ135" s="189"/>
      <c r="HR135" s="189"/>
      <c r="HS135" s="189"/>
      <c r="HT135" s="189"/>
      <c r="HU135" s="189"/>
      <c r="HV135" s="189"/>
      <c r="HW135" s="189"/>
      <c r="HX135" s="189"/>
      <c r="HY135" s="189"/>
      <c r="HZ135" s="189"/>
      <c r="IA135" s="189"/>
      <c r="IB135" s="189"/>
      <c r="IC135" s="189"/>
      <c r="ID135" s="189"/>
      <c r="IE135" s="189"/>
      <c r="IF135" s="189"/>
      <c r="IG135" s="189"/>
      <c r="IH135" s="189"/>
      <c r="II135" s="189"/>
      <c r="IJ135" s="189"/>
      <c r="IK135" s="189"/>
      <c r="IL135" s="189"/>
      <c r="IM135" s="189"/>
      <c r="IN135" s="189"/>
      <c r="IO135" s="189"/>
      <c r="IP135" s="189"/>
      <c r="IQ135" s="189"/>
      <c r="IR135" s="189"/>
      <c r="IS135" s="189"/>
      <c r="IT135" s="189"/>
      <c r="IU135" s="189"/>
      <c r="IV135" s="189"/>
    </row>
    <row r="136" spans="1:256" ht="15">
      <c r="A136" s="837"/>
      <c r="B136" s="840"/>
      <c r="C136" s="183" t="s">
        <v>2</v>
      </c>
      <c r="D136" s="174">
        <f>D134+D135</f>
        <v>249467771</v>
      </c>
      <c r="E136" s="175">
        <f t="shared" ref="E136:P136" si="51">E134+E135</f>
        <v>240414082</v>
      </c>
      <c r="F136" s="175">
        <f t="shared" si="51"/>
        <v>152870853</v>
      </c>
      <c r="G136" s="175">
        <f t="shared" si="51"/>
        <v>78331655</v>
      </c>
      <c r="H136" s="175">
        <f t="shared" si="51"/>
        <v>74539198</v>
      </c>
      <c r="I136" s="175">
        <f t="shared" si="51"/>
        <v>140000</v>
      </c>
      <c r="J136" s="175">
        <f t="shared" si="51"/>
        <v>2172800</v>
      </c>
      <c r="K136" s="175">
        <f t="shared" si="51"/>
        <v>85230429</v>
      </c>
      <c r="L136" s="175">
        <f t="shared" si="51"/>
        <v>0</v>
      </c>
      <c r="M136" s="175">
        <f t="shared" si="51"/>
        <v>9053689</v>
      </c>
      <c r="N136" s="175">
        <f t="shared" si="51"/>
        <v>9053689</v>
      </c>
      <c r="O136" s="175">
        <f t="shared" si="51"/>
        <v>100000</v>
      </c>
      <c r="P136" s="175">
        <f t="shared" si="51"/>
        <v>0</v>
      </c>
      <c r="Q136" s="188"/>
      <c r="R136" s="188"/>
      <c r="S136" s="188"/>
      <c r="T136" s="188"/>
      <c r="U136" s="188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/>
      <c r="DL136" s="189"/>
      <c r="DM136" s="189"/>
      <c r="DN136" s="189"/>
      <c r="DO136" s="189"/>
      <c r="DP136" s="189"/>
      <c r="DQ136" s="189"/>
      <c r="DR136" s="189"/>
      <c r="DS136" s="189"/>
      <c r="DT136" s="189"/>
      <c r="DU136" s="189"/>
      <c r="DV136" s="189"/>
      <c r="DW136" s="189"/>
      <c r="DX136" s="189"/>
      <c r="DY136" s="189"/>
      <c r="DZ136" s="189"/>
      <c r="EA136" s="189"/>
      <c r="EB136" s="189"/>
      <c r="EC136" s="189"/>
      <c r="ED136" s="189"/>
      <c r="EE136" s="189"/>
      <c r="EF136" s="189"/>
      <c r="EG136" s="189"/>
      <c r="EH136" s="189"/>
      <c r="EI136" s="189"/>
      <c r="EJ136" s="189"/>
      <c r="EK136" s="189"/>
      <c r="EL136" s="189"/>
      <c r="EM136" s="189"/>
      <c r="EN136" s="189"/>
      <c r="EO136" s="189"/>
      <c r="EP136" s="189"/>
      <c r="EQ136" s="189"/>
      <c r="ER136" s="189"/>
      <c r="ES136" s="189"/>
      <c r="ET136" s="189"/>
      <c r="EU136" s="189"/>
      <c r="EV136" s="189"/>
      <c r="EW136" s="189"/>
      <c r="EX136" s="189"/>
      <c r="EY136" s="189"/>
      <c r="EZ136" s="189"/>
      <c r="FA136" s="189"/>
      <c r="FB136" s="189"/>
      <c r="FC136" s="189"/>
      <c r="FD136" s="189"/>
      <c r="FE136" s="189"/>
      <c r="FF136" s="189"/>
      <c r="FG136" s="189"/>
      <c r="FH136" s="189"/>
      <c r="FI136" s="189"/>
      <c r="FJ136" s="189"/>
      <c r="FK136" s="189"/>
      <c r="FL136" s="189"/>
      <c r="FM136" s="189"/>
      <c r="FN136" s="189"/>
      <c r="FO136" s="189"/>
      <c r="FP136" s="189"/>
      <c r="FQ136" s="189"/>
      <c r="FR136" s="189"/>
      <c r="FS136" s="189"/>
      <c r="FT136" s="189"/>
      <c r="FU136" s="189"/>
      <c r="FV136" s="189"/>
      <c r="FW136" s="189"/>
      <c r="FX136" s="189"/>
      <c r="FY136" s="189"/>
      <c r="FZ136" s="189"/>
      <c r="GA136" s="189"/>
      <c r="GB136" s="189"/>
      <c r="GC136" s="189"/>
      <c r="GD136" s="189"/>
      <c r="GE136" s="189"/>
      <c r="GF136" s="189"/>
      <c r="GG136" s="189"/>
      <c r="GH136" s="189"/>
      <c r="GI136" s="189"/>
      <c r="GJ136" s="189"/>
      <c r="GK136" s="189"/>
      <c r="GL136" s="189"/>
      <c r="GM136" s="189"/>
      <c r="GN136" s="189"/>
      <c r="GO136" s="189"/>
      <c r="GP136" s="189"/>
      <c r="GQ136" s="189"/>
      <c r="GR136" s="189"/>
      <c r="GS136" s="189"/>
      <c r="GT136" s="189"/>
      <c r="GU136" s="189"/>
      <c r="GV136" s="189"/>
      <c r="GW136" s="189"/>
      <c r="GX136" s="189"/>
      <c r="GY136" s="189"/>
      <c r="GZ136" s="189"/>
      <c r="HA136" s="189"/>
      <c r="HB136" s="189"/>
      <c r="HC136" s="189"/>
      <c r="HD136" s="189"/>
      <c r="HE136" s="189"/>
      <c r="HF136" s="189"/>
      <c r="HG136" s="189"/>
      <c r="HH136" s="189"/>
      <c r="HI136" s="189"/>
      <c r="HJ136" s="189"/>
      <c r="HK136" s="189"/>
      <c r="HL136" s="189"/>
      <c r="HM136" s="189"/>
      <c r="HN136" s="189"/>
      <c r="HO136" s="189"/>
      <c r="HP136" s="189"/>
      <c r="HQ136" s="189"/>
      <c r="HR136" s="189"/>
      <c r="HS136" s="189"/>
      <c r="HT136" s="189"/>
      <c r="HU136" s="189"/>
      <c r="HV136" s="189"/>
      <c r="HW136" s="189"/>
      <c r="HX136" s="189"/>
      <c r="HY136" s="189"/>
      <c r="HZ136" s="189"/>
      <c r="IA136" s="189"/>
      <c r="IB136" s="189"/>
      <c r="IC136" s="189"/>
      <c r="ID136" s="189"/>
      <c r="IE136" s="189"/>
      <c r="IF136" s="189"/>
      <c r="IG136" s="189"/>
      <c r="IH136" s="189"/>
      <c r="II136" s="189"/>
      <c r="IJ136" s="189"/>
      <c r="IK136" s="189"/>
      <c r="IL136" s="189"/>
      <c r="IM136" s="189"/>
      <c r="IN136" s="189"/>
      <c r="IO136" s="189"/>
      <c r="IP136" s="189"/>
      <c r="IQ136" s="189"/>
      <c r="IR136" s="189"/>
      <c r="IS136" s="189"/>
      <c r="IT136" s="189"/>
      <c r="IU136" s="189"/>
      <c r="IV136" s="189"/>
    </row>
    <row r="137" spans="1:256" hidden="1">
      <c r="A137" s="841" t="s">
        <v>226</v>
      </c>
      <c r="B137" s="844" t="s">
        <v>227</v>
      </c>
      <c r="C137" s="178" t="s">
        <v>0</v>
      </c>
      <c r="D137" s="180">
        <f t="shared" ref="D137:D153" si="52">E137+M137</f>
        <v>2432000</v>
      </c>
      <c r="E137" s="181">
        <f t="shared" ref="E137:E153" si="53">F137+I137+J137+K137+L137</f>
        <v>2432000</v>
      </c>
      <c r="F137" s="181">
        <f t="shared" ref="F137:F153" si="54">G137+H137</f>
        <v>892000</v>
      </c>
      <c r="G137" s="181">
        <v>109500</v>
      </c>
      <c r="H137" s="181">
        <v>782500</v>
      </c>
      <c r="I137" s="181">
        <v>0</v>
      </c>
      <c r="J137" s="181">
        <v>1540000</v>
      </c>
      <c r="K137" s="181">
        <v>0</v>
      </c>
      <c r="L137" s="181">
        <v>0</v>
      </c>
      <c r="M137" s="181">
        <f t="shared" ref="M137:M153" si="55">N137+P137</f>
        <v>0</v>
      </c>
      <c r="N137" s="181">
        <v>0</v>
      </c>
      <c r="O137" s="181">
        <v>0</v>
      </c>
      <c r="P137" s="181">
        <v>0</v>
      </c>
      <c r="Q137" s="182"/>
      <c r="R137" s="182"/>
      <c r="S137" s="182"/>
      <c r="T137" s="182"/>
      <c r="U137" s="182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148"/>
      <c r="GU137" s="148"/>
      <c r="GV137" s="148"/>
      <c r="GW137" s="148"/>
      <c r="GX137" s="148"/>
      <c r="GY137" s="148"/>
      <c r="GZ137" s="148"/>
      <c r="HA137" s="148"/>
      <c r="HB137" s="148"/>
      <c r="HC137" s="148"/>
      <c r="HD137" s="148"/>
      <c r="HE137" s="148"/>
      <c r="HF137" s="148"/>
      <c r="HG137" s="148"/>
      <c r="HH137" s="148"/>
      <c r="HI137" s="148"/>
      <c r="HJ137" s="148"/>
      <c r="HK137" s="148"/>
      <c r="HL137" s="148"/>
      <c r="HM137" s="148"/>
      <c r="HN137" s="148"/>
      <c r="HO137" s="148"/>
      <c r="HP137" s="148"/>
      <c r="HQ137" s="148"/>
      <c r="HR137" s="148"/>
      <c r="HS137" s="148"/>
      <c r="HT137" s="148"/>
      <c r="HU137" s="148"/>
      <c r="HV137" s="148"/>
      <c r="HW137" s="148"/>
      <c r="HX137" s="148"/>
      <c r="HY137" s="148"/>
      <c r="HZ137" s="148"/>
      <c r="IA137" s="148"/>
      <c r="IB137" s="148"/>
      <c r="IC137" s="148"/>
      <c r="ID137" s="148"/>
      <c r="IE137" s="148"/>
      <c r="IF137" s="148"/>
      <c r="IG137" s="148"/>
      <c r="IH137" s="148"/>
      <c r="II137" s="148"/>
      <c r="IJ137" s="148"/>
      <c r="IK137" s="148"/>
      <c r="IL137" s="148"/>
      <c r="IM137" s="148"/>
      <c r="IN137" s="148"/>
      <c r="IO137" s="148"/>
      <c r="IP137" s="148"/>
      <c r="IQ137" s="148"/>
      <c r="IR137" s="148"/>
      <c r="IS137" s="148"/>
      <c r="IT137" s="148"/>
      <c r="IU137" s="148"/>
      <c r="IV137" s="148"/>
    </row>
    <row r="138" spans="1:256" hidden="1">
      <c r="A138" s="842"/>
      <c r="B138" s="845"/>
      <c r="C138" s="178" t="s">
        <v>1</v>
      </c>
      <c r="D138" s="180">
        <f t="shared" si="52"/>
        <v>0</v>
      </c>
      <c r="E138" s="181">
        <f t="shared" si="53"/>
        <v>0</v>
      </c>
      <c r="F138" s="181">
        <f t="shared" si="54"/>
        <v>0</v>
      </c>
      <c r="G138" s="181"/>
      <c r="H138" s="181"/>
      <c r="I138" s="181"/>
      <c r="J138" s="181"/>
      <c r="K138" s="181"/>
      <c r="L138" s="181"/>
      <c r="M138" s="181">
        <f t="shared" si="55"/>
        <v>0</v>
      </c>
      <c r="N138" s="181"/>
      <c r="O138" s="181"/>
      <c r="P138" s="181"/>
      <c r="Q138" s="182"/>
      <c r="R138" s="182"/>
      <c r="S138" s="182"/>
      <c r="T138" s="182"/>
      <c r="U138" s="182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  <c r="HN138" s="148"/>
      <c r="HO138" s="148"/>
      <c r="HP138" s="148"/>
      <c r="HQ138" s="148"/>
      <c r="HR138" s="148"/>
      <c r="HS138" s="148"/>
      <c r="HT138" s="148"/>
      <c r="HU138" s="148"/>
      <c r="HV138" s="148"/>
      <c r="HW138" s="148"/>
      <c r="HX138" s="148"/>
      <c r="HY138" s="148"/>
      <c r="HZ138" s="148"/>
      <c r="IA138" s="148"/>
      <c r="IB138" s="148"/>
      <c r="IC138" s="148"/>
      <c r="ID138" s="148"/>
      <c r="IE138" s="148"/>
      <c r="IF138" s="148"/>
      <c r="IG138" s="148"/>
      <c r="IH138" s="148"/>
      <c r="II138" s="148"/>
      <c r="IJ138" s="148"/>
      <c r="IK138" s="148"/>
      <c r="IL138" s="148"/>
      <c r="IM138" s="148"/>
      <c r="IN138" s="148"/>
      <c r="IO138" s="148"/>
      <c r="IP138" s="148"/>
      <c r="IQ138" s="148"/>
      <c r="IR138" s="148"/>
      <c r="IS138" s="148"/>
      <c r="IT138" s="148"/>
      <c r="IU138" s="148"/>
      <c r="IV138" s="148"/>
    </row>
    <row r="139" spans="1:256" hidden="1">
      <c r="A139" s="843"/>
      <c r="B139" s="846"/>
      <c r="C139" s="178" t="s">
        <v>2</v>
      </c>
      <c r="D139" s="180">
        <f>D137+D138</f>
        <v>2432000</v>
      </c>
      <c r="E139" s="181">
        <f t="shared" ref="E139:P139" si="56">E137+E138</f>
        <v>2432000</v>
      </c>
      <c r="F139" s="181">
        <f t="shared" si="56"/>
        <v>892000</v>
      </c>
      <c r="G139" s="181">
        <f t="shared" si="56"/>
        <v>109500</v>
      </c>
      <c r="H139" s="181">
        <f t="shared" si="56"/>
        <v>782500</v>
      </c>
      <c r="I139" s="181">
        <f t="shared" si="56"/>
        <v>0</v>
      </c>
      <c r="J139" s="181">
        <f t="shared" si="56"/>
        <v>1540000</v>
      </c>
      <c r="K139" s="181">
        <f t="shared" si="56"/>
        <v>0</v>
      </c>
      <c r="L139" s="181">
        <f t="shared" si="56"/>
        <v>0</v>
      </c>
      <c r="M139" s="181">
        <f t="shared" si="56"/>
        <v>0</v>
      </c>
      <c r="N139" s="181">
        <f t="shared" si="56"/>
        <v>0</v>
      </c>
      <c r="O139" s="181">
        <f t="shared" si="56"/>
        <v>0</v>
      </c>
      <c r="P139" s="181">
        <f t="shared" si="56"/>
        <v>0</v>
      </c>
      <c r="Q139" s="182"/>
      <c r="R139" s="182"/>
      <c r="S139" s="182"/>
      <c r="T139" s="182"/>
      <c r="U139" s="182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148"/>
      <c r="GU139" s="148"/>
      <c r="GV139" s="148"/>
      <c r="GW139" s="148"/>
      <c r="GX139" s="148"/>
      <c r="GY139" s="148"/>
      <c r="GZ139" s="148"/>
      <c r="HA139" s="148"/>
      <c r="HB139" s="148"/>
      <c r="HC139" s="148"/>
      <c r="HD139" s="148"/>
      <c r="HE139" s="148"/>
      <c r="HF139" s="148"/>
      <c r="HG139" s="148"/>
      <c r="HH139" s="148"/>
      <c r="HI139" s="148"/>
      <c r="HJ139" s="148"/>
      <c r="HK139" s="148"/>
      <c r="HL139" s="148"/>
      <c r="HM139" s="148"/>
      <c r="HN139" s="148"/>
      <c r="HO139" s="148"/>
      <c r="HP139" s="148"/>
      <c r="HQ139" s="148"/>
      <c r="HR139" s="148"/>
      <c r="HS139" s="148"/>
      <c r="HT139" s="148"/>
      <c r="HU139" s="148"/>
      <c r="HV139" s="148"/>
      <c r="HW139" s="148"/>
      <c r="HX139" s="148"/>
      <c r="HY139" s="148"/>
      <c r="HZ139" s="148"/>
      <c r="IA139" s="148"/>
      <c r="IB139" s="148"/>
      <c r="IC139" s="148"/>
      <c r="ID139" s="148"/>
      <c r="IE139" s="148"/>
      <c r="IF139" s="148"/>
      <c r="IG139" s="148"/>
      <c r="IH139" s="148"/>
      <c r="II139" s="148"/>
      <c r="IJ139" s="148"/>
      <c r="IK139" s="148"/>
      <c r="IL139" s="148"/>
      <c r="IM139" s="148"/>
      <c r="IN139" s="148"/>
      <c r="IO139" s="148"/>
      <c r="IP139" s="148"/>
      <c r="IQ139" s="148"/>
      <c r="IR139" s="148"/>
      <c r="IS139" s="148"/>
      <c r="IT139" s="148"/>
      <c r="IU139" s="148"/>
      <c r="IV139" s="148"/>
    </row>
    <row r="140" spans="1:256">
      <c r="A140" s="841" t="s">
        <v>228</v>
      </c>
      <c r="B140" s="844" t="s">
        <v>229</v>
      </c>
      <c r="C140" s="178" t="s">
        <v>0</v>
      </c>
      <c r="D140" s="180">
        <f t="shared" si="52"/>
        <v>172295311</v>
      </c>
      <c r="E140" s="181">
        <f t="shared" si="53"/>
        <v>163652311</v>
      </c>
      <c r="F140" s="181">
        <f t="shared" si="54"/>
        <v>101086863</v>
      </c>
      <c r="G140" s="181">
        <v>77211255</v>
      </c>
      <c r="H140" s="181">
        <v>23875608</v>
      </c>
      <c r="I140" s="181">
        <v>0</v>
      </c>
      <c r="J140" s="181">
        <v>191800</v>
      </c>
      <c r="K140" s="181">
        <f>53102601-O140+9371047</f>
        <v>62373648</v>
      </c>
      <c r="L140" s="181">
        <v>0</v>
      </c>
      <c r="M140" s="181">
        <f t="shared" si="55"/>
        <v>8643000</v>
      </c>
      <c r="N140" s="181">
        <v>8643000</v>
      </c>
      <c r="O140" s="181">
        <f>85000+15000</f>
        <v>100000</v>
      </c>
      <c r="P140" s="181">
        <v>0</v>
      </c>
      <c r="Q140" s="182"/>
      <c r="R140" s="182"/>
      <c r="S140" s="182"/>
      <c r="T140" s="182"/>
      <c r="U140" s="182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  <c r="HN140" s="148"/>
      <c r="HO140" s="148"/>
      <c r="HP140" s="148"/>
      <c r="HQ140" s="148"/>
      <c r="HR140" s="148"/>
      <c r="HS140" s="148"/>
      <c r="HT140" s="148"/>
      <c r="HU140" s="148"/>
      <c r="HV140" s="148"/>
      <c r="HW140" s="148"/>
      <c r="HX140" s="148"/>
      <c r="HY140" s="148"/>
      <c r="HZ140" s="148"/>
      <c r="IA140" s="148"/>
      <c r="IB140" s="148"/>
      <c r="IC140" s="148"/>
      <c r="ID140" s="148"/>
      <c r="IE140" s="148"/>
      <c r="IF140" s="148"/>
      <c r="IG140" s="148"/>
      <c r="IH140" s="148"/>
      <c r="II140" s="148"/>
      <c r="IJ140" s="148"/>
      <c r="IK140" s="148"/>
      <c r="IL140" s="148"/>
      <c r="IM140" s="148"/>
      <c r="IN140" s="148"/>
      <c r="IO140" s="148"/>
      <c r="IP140" s="148"/>
      <c r="IQ140" s="148"/>
      <c r="IR140" s="148"/>
      <c r="IS140" s="148"/>
      <c r="IT140" s="148"/>
      <c r="IU140" s="148"/>
      <c r="IV140" s="148"/>
    </row>
    <row r="141" spans="1:256">
      <c r="A141" s="842"/>
      <c r="B141" s="845"/>
      <c r="C141" s="178" t="s">
        <v>1</v>
      </c>
      <c r="D141" s="180">
        <f t="shared" si="52"/>
        <v>2407818</v>
      </c>
      <c r="E141" s="181">
        <f t="shared" si="53"/>
        <v>1997129</v>
      </c>
      <c r="F141" s="181">
        <f t="shared" si="54"/>
        <v>1992900</v>
      </c>
      <c r="G141" s="181"/>
      <c r="H141" s="181">
        <f>250000+1000+300000+161750+5000+820000+100000+355150</f>
        <v>1992900</v>
      </c>
      <c r="I141" s="181"/>
      <c r="J141" s="181"/>
      <c r="K141" s="181">
        <f>4229</f>
        <v>4229</v>
      </c>
      <c r="L141" s="181"/>
      <c r="M141" s="181">
        <f t="shared" si="55"/>
        <v>410689</v>
      </c>
      <c r="N141" s="181">
        <f>380000+30689</f>
        <v>410689</v>
      </c>
      <c r="O141" s="181"/>
      <c r="P141" s="181"/>
      <c r="Q141" s="182"/>
      <c r="R141" s="182"/>
      <c r="S141" s="182"/>
      <c r="T141" s="182"/>
      <c r="U141" s="182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  <c r="GR141" s="148"/>
      <c r="GS141" s="148"/>
      <c r="GT141" s="148"/>
      <c r="GU141" s="148"/>
      <c r="GV141" s="148"/>
      <c r="GW141" s="148"/>
      <c r="GX141" s="148"/>
      <c r="GY141" s="148"/>
      <c r="GZ141" s="148"/>
      <c r="HA141" s="148"/>
      <c r="HB141" s="148"/>
      <c r="HC141" s="148"/>
      <c r="HD141" s="148"/>
      <c r="HE141" s="148"/>
      <c r="HF141" s="148"/>
      <c r="HG141" s="148"/>
      <c r="HH141" s="148"/>
      <c r="HI141" s="148"/>
      <c r="HJ141" s="148"/>
      <c r="HK141" s="148"/>
      <c r="HL141" s="148"/>
      <c r="HM141" s="148"/>
      <c r="HN141" s="148"/>
      <c r="HO141" s="148"/>
      <c r="HP141" s="148"/>
      <c r="HQ141" s="148"/>
      <c r="HR141" s="148"/>
      <c r="HS141" s="148"/>
      <c r="HT141" s="148"/>
      <c r="HU141" s="148"/>
      <c r="HV141" s="148"/>
      <c r="HW141" s="148"/>
      <c r="HX141" s="148"/>
      <c r="HY141" s="148"/>
      <c r="HZ141" s="148"/>
      <c r="IA141" s="148"/>
      <c r="IB141" s="148"/>
      <c r="IC141" s="148"/>
      <c r="ID141" s="148"/>
      <c r="IE141" s="148"/>
      <c r="IF141" s="148"/>
      <c r="IG141" s="148"/>
      <c r="IH141" s="148"/>
      <c r="II141" s="148"/>
      <c r="IJ141" s="148"/>
      <c r="IK141" s="148"/>
      <c r="IL141" s="148"/>
      <c r="IM141" s="148"/>
      <c r="IN141" s="148"/>
      <c r="IO141" s="148"/>
      <c r="IP141" s="148"/>
      <c r="IQ141" s="148"/>
      <c r="IR141" s="148"/>
      <c r="IS141" s="148"/>
      <c r="IT141" s="148"/>
      <c r="IU141" s="148"/>
      <c r="IV141" s="148"/>
    </row>
    <row r="142" spans="1:256">
      <c r="A142" s="843"/>
      <c r="B142" s="846"/>
      <c r="C142" s="178" t="s">
        <v>2</v>
      </c>
      <c r="D142" s="180">
        <f>D140+D141</f>
        <v>174703129</v>
      </c>
      <c r="E142" s="181">
        <f t="shared" ref="E142:P142" si="57">E140+E141</f>
        <v>165649440</v>
      </c>
      <c r="F142" s="181">
        <f t="shared" si="57"/>
        <v>103079763</v>
      </c>
      <c r="G142" s="181">
        <f t="shared" si="57"/>
        <v>77211255</v>
      </c>
      <c r="H142" s="181">
        <f t="shared" si="57"/>
        <v>25868508</v>
      </c>
      <c r="I142" s="181">
        <f t="shared" si="57"/>
        <v>0</v>
      </c>
      <c r="J142" s="181">
        <f t="shared" si="57"/>
        <v>191800</v>
      </c>
      <c r="K142" s="181">
        <f t="shared" si="57"/>
        <v>62377877</v>
      </c>
      <c r="L142" s="181">
        <f t="shared" si="57"/>
        <v>0</v>
      </c>
      <c r="M142" s="181">
        <f t="shared" si="57"/>
        <v>9053689</v>
      </c>
      <c r="N142" s="181">
        <f t="shared" si="57"/>
        <v>9053689</v>
      </c>
      <c r="O142" s="181">
        <f t="shared" si="57"/>
        <v>100000</v>
      </c>
      <c r="P142" s="181">
        <f t="shared" si="57"/>
        <v>0</v>
      </c>
      <c r="Q142" s="182"/>
      <c r="R142" s="182"/>
      <c r="S142" s="182"/>
      <c r="T142" s="182"/>
      <c r="U142" s="182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  <c r="GR142" s="148"/>
      <c r="GS142" s="148"/>
      <c r="GT142" s="148"/>
      <c r="GU142" s="148"/>
      <c r="GV142" s="148"/>
      <c r="GW142" s="148"/>
      <c r="GX142" s="148"/>
      <c r="GY142" s="148"/>
      <c r="GZ142" s="148"/>
      <c r="HA142" s="148"/>
      <c r="HB142" s="148"/>
      <c r="HC142" s="148"/>
      <c r="HD142" s="148"/>
      <c r="HE142" s="148"/>
      <c r="HF142" s="148"/>
      <c r="HG142" s="148"/>
      <c r="HH142" s="148"/>
      <c r="HI142" s="148"/>
      <c r="HJ142" s="148"/>
      <c r="HK142" s="148"/>
      <c r="HL142" s="148"/>
      <c r="HM142" s="148"/>
      <c r="HN142" s="148"/>
      <c r="HO142" s="148"/>
      <c r="HP142" s="148"/>
      <c r="HQ142" s="148"/>
      <c r="HR142" s="148"/>
      <c r="HS142" s="148"/>
      <c r="HT142" s="148"/>
      <c r="HU142" s="148"/>
      <c r="HV142" s="148"/>
      <c r="HW142" s="148"/>
      <c r="HX142" s="148"/>
      <c r="HY142" s="148"/>
      <c r="HZ142" s="148"/>
      <c r="IA142" s="148"/>
      <c r="IB142" s="148"/>
      <c r="IC142" s="148"/>
      <c r="ID142" s="148"/>
      <c r="IE142" s="148"/>
      <c r="IF142" s="148"/>
      <c r="IG142" s="148"/>
      <c r="IH142" s="148"/>
      <c r="II142" s="148"/>
      <c r="IJ142" s="148"/>
      <c r="IK142" s="148"/>
      <c r="IL142" s="148"/>
      <c r="IM142" s="148"/>
      <c r="IN142" s="148"/>
      <c r="IO142" s="148"/>
      <c r="IP142" s="148"/>
      <c r="IQ142" s="148"/>
      <c r="IR142" s="148"/>
      <c r="IS142" s="148"/>
      <c r="IT142" s="148"/>
      <c r="IU142" s="148"/>
      <c r="IV142" s="148"/>
    </row>
    <row r="143" spans="1:256" hidden="1">
      <c r="A143" s="841" t="s">
        <v>230</v>
      </c>
      <c r="B143" s="844" t="s">
        <v>231</v>
      </c>
      <c r="C143" s="178" t="s">
        <v>0</v>
      </c>
      <c r="D143" s="170">
        <f t="shared" si="52"/>
        <v>710000</v>
      </c>
      <c r="E143" s="171">
        <f t="shared" si="53"/>
        <v>710000</v>
      </c>
      <c r="F143" s="171">
        <f t="shared" si="54"/>
        <v>710000</v>
      </c>
      <c r="G143" s="171">
        <v>3000</v>
      </c>
      <c r="H143" s="171">
        <f>710000-3000</f>
        <v>707000</v>
      </c>
      <c r="I143" s="171">
        <v>0</v>
      </c>
      <c r="J143" s="171">
        <v>0</v>
      </c>
      <c r="K143" s="171">
        <v>0</v>
      </c>
      <c r="L143" s="171">
        <v>0</v>
      </c>
      <c r="M143" s="171">
        <f t="shared" si="55"/>
        <v>0</v>
      </c>
      <c r="N143" s="171">
        <v>0</v>
      </c>
      <c r="O143" s="171">
        <v>0</v>
      </c>
      <c r="P143" s="171">
        <v>0</v>
      </c>
      <c r="Q143" s="172"/>
      <c r="R143" s="172"/>
      <c r="S143" s="172"/>
      <c r="T143" s="172"/>
      <c r="U143" s="17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3"/>
      <c r="FO143" s="163"/>
      <c r="FP143" s="163"/>
      <c r="FQ143" s="163"/>
      <c r="FR143" s="163"/>
      <c r="FS143" s="163"/>
      <c r="FT143" s="163"/>
      <c r="FU143" s="163"/>
      <c r="FV143" s="163"/>
      <c r="FW143" s="163"/>
      <c r="FX143" s="163"/>
      <c r="FY143" s="163"/>
      <c r="FZ143" s="163"/>
      <c r="GA143" s="163"/>
      <c r="GB143" s="163"/>
      <c r="GC143" s="163"/>
      <c r="GD143" s="163"/>
      <c r="GE143" s="163"/>
      <c r="GF143" s="163"/>
      <c r="GG143" s="163"/>
      <c r="GH143" s="163"/>
      <c r="GI143" s="163"/>
      <c r="GJ143" s="163"/>
      <c r="GK143" s="163"/>
      <c r="GL143" s="163"/>
      <c r="GM143" s="163"/>
      <c r="GN143" s="163"/>
      <c r="GO143" s="163"/>
      <c r="GP143" s="163"/>
      <c r="GQ143" s="163"/>
      <c r="GR143" s="163"/>
      <c r="GS143" s="163"/>
      <c r="GT143" s="163"/>
      <c r="GU143" s="163"/>
      <c r="GV143" s="163"/>
      <c r="GW143" s="163"/>
      <c r="GX143" s="163"/>
      <c r="GY143" s="163"/>
      <c r="GZ143" s="163"/>
      <c r="HA143" s="163"/>
      <c r="HB143" s="163"/>
      <c r="HC143" s="163"/>
      <c r="HD143" s="163"/>
      <c r="HE143" s="163"/>
      <c r="HF143" s="163"/>
      <c r="HG143" s="163"/>
      <c r="HH143" s="163"/>
      <c r="HI143" s="163"/>
      <c r="HJ143" s="163"/>
      <c r="HK143" s="163"/>
      <c r="HL143" s="163"/>
      <c r="HM143" s="163"/>
      <c r="HN143" s="163"/>
      <c r="HO143" s="163"/>
      <c r="HP143" s="163"/>
      <c r="HQ143" s="163"/>
      <c r="HR143" s="163"/>
      <c r="HS143" s="163"/>
      <c r="HT143" s="163"/>
      <c r="HU143" s="163"/>
      <c r="HV143" s="163"/>
      <c r="HW143" s="163"/>
      <c r="HX143" s="163"/>
      <c r="HY143" s="163"/>
      <c r="HZ143" s="163"/>
      <c r="IA143" s="163"/>
      <c r="IB143" s="163"/>
      <c r="IC143" s="163"/>
      <c r="ID143" s="163"/>
      <c r="IE143" s="163"/>
      <c r="IF143" s="163"/>
      <c r="IG143" s="163"/>
      <c r="IH143" s="163"/>
      <c r="II143" s="163"/>
      <c r="IJ143" s="163"/>
      <c r="IK143" s="163"/>
      <c r="IL143" s="163"/>
      <c r="IM143" s="163"/>
      <c r="IN143" s="163"/>
      <c r="IO143" s="163"/>
      <c r="IP143" s="163"/>
      <c r="IQ143" s="163"/>
      <c r="IR143" s="163"/>
      <c r="IS143" s="163"/>
      <c r="IT143" s="163"/>
      <c r="IU143" s="163"/>
      <c r="IV143" s="163"/>
    </row>
    <row r="144" spans="1:256" hidden="1">
      <c r="A144" s="842"/>
      <c r="B144" s="845"/>
      <c r="C144" s="178" t="s">
        <v>1</v>
      </c>
      <c r="D144" s="170">
        <f t="shared" si="52"/>
        <v>0</v>
      </c>
      <c r="E144" s="171">
        <f t="shared" si="53"/>
        <v>0</v>
      </c>
      <c r="F144" s="171">
        <f t="shared" si="54"/>
        <v>0</v>
      </c>
      <c r="G144" s="171"/>
      <c r="H144" s="171"/>
      <c r="I144" s="171"/>
      <c r="J144" s="171"/>
      <c r="K144" s="171"/>
      <c r="L144" s="171"/>
      <c r="M144" s="171">
        <f t="shared" si="55"/>
        <v>0</v>
      </c>
      <c r="N144" s="171"/>
      <c r="O144" s="171"/>
      <c r="P144" s="171"/>
      <c r="Q144" s="172"/>
      <c r="R144" s="172"/>
      <c r="S144" s="172"/>
      <c r="T144" s="172"/>
      <c r="U144" s="172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3"/>
      <c r="FO144" s="163"/>
      <c r="FP144" s="163"/>
      <c r="FQ144" s="163"/>
      <c r="FR144" s="163"/>
      <c r="FS144" s="163"/>
      <c r="FT144" s="163"/>
      <c r="FU144" s="163"/>
      <c r="FV144" s="163"/>
      <c r="FW144" s="163"/>
      <c r="FX144" s="163"/>
      <c r="FY144" s="163"/>
      <c r="FZ144" s="163"/>
      <c r="GA144" s="163"/>
      <c r="GB144" s="163"/>
      <c r="GC144" s="163"/>
      <c r="GD144" s="163"/>
      <c r="GE144" s="163"/>
      <c r="GF144" s="163"/>
      <c r="GG144" s="163"/>
      <c r="GH144" s="163"/>
      <c r="GI144" s="163"/>
      <c r="GJ144" s="163"/>
      <c r="GK144" s="163"/>
      <c r="GL144" s="163"/>
      <c r="GM144" s="163"/>
      <c r="GN144" s="163"/>
      <c r="GO144" s="163"/>
      <c r="GP144" s="163"/>
      <c r="GQ144" s="163"/>
      <c r="GR144" s="163"/>
      <c r="GS144" s="163"/>
      <c r="GT144" s="163"/>
      <c r="GU144" s="163"/>
      <c r="GV144" s="163"/>
      <c r="GW144" s="163"/>
      <c r="GX144" s="163"/>
      <c r="GY144" s="163"/>
      <c r="GZ144" s="163"/>
      <c r="HA144" s="163"/>
      <c r="HB144" s="163"/>
      <c r="HC144" s="163"/>
      <c r="HD144" s="163"/>
      <c r="HE144" s="163"/>
      <c r="HF144" s="163"/>
      <c r="HG144" s="163"/>
      <c r="HH144" s="163"/>
      <c r="HI144" s="163"/>
      <c r="HJ144" s="163"/>
      <c r="HK144" s="163"/>
      <c r="HL144" s="163"/>
      <c r="HM144" s="163"/>
      <c r="HN144" s="163"/>
      <c r="HO144" s="163"/>
      <c r="HP144" s="163"/>
      <c r="HQ144" s="163"/>
      <c r="HR144" s="163"/>
      <c r="HS144" s="163"/>
      <c r="HT144" s="163"/>
      <c r="HU144" s="163"/>
      <c r="HV144" s="163"/>
      <c r="HW144" s="163"/>
      <c r="HX144" s="163"/>
      <c r="HY144" s="163"/>
      <c r="HZ144" s="163"/>
      <c r="IA144" s="163"/>
      <c r="IB144" s="163"/>
      <c r="IC144" s="163"/>
      <c r="ID144" s="163"/>
      <c r="IE144" s="163"/>
      <c r="IF144" s="163"/>
      <c r="IG144" s="163"/>
      <c r="IH144" s="163"/>
      <c r="II144" s="163"/>
      <c r="IJ144" s="163"/>
      <c r="IK144" s="163"/>
      <c r="IL144" s="163"/>
      <c r="IM144" s="163"/>
      <c r="IN144" s="163"/>
      <c r="IO144" s="163"/>
      <c r="IP144" s="163"/>
      <c r="IQ144" s="163"/>
      <c r="IR144" s="163"/>
      <c r="IS144" s="163"/>
      <c r="IT144" s="163"/>
      <c r="IU144" s="163"/>
      <c r="IV144" s="163"/>
    </row>
    <row r="145" spans="1:256" hidden="1">
      <c r="A145" s="843"/>
      <c r="B145" s="846"/>
      <c r="C145" s="178" t="s">
        <v>2</v>
      </c>
      <c r="D145" s="170">
        <f>D143+D144</f>
        <v>710000</v>
      </c>
      <c r="E145" s="171">
        <f t="shared" ref="E145:P145" si="58">E143+E144</f>
        <v>710000</v>
      </c>
      <c r="F145" s="171">
        <f t="shared" si="58"/>
        <v>710000</v>
      </c>
      <c r="G145" s="171">
        <f t="shared" si="58"/>
        <v>3000</v>
      </c>
      <c r="H145" s="171">
        <f t="shared" si="58"/>
        <v>707000</v>
      </c>
      <c r="I145" s="171">
        <f t="shared" si="58"/>
        <v>0</v>
      </c>
      <c r="J145" s="171">
        <f t="shared" si="58"/>
        <v>0</v>
      </c>
      <c r="K145" s="171">
        <f t="shared" si="58"/>
        <v>0</v>
      </c>
      <c r="L145" s="171">
        <f t="shared" si="58"/>
        <v>0</v>
      </c>
      <c r="M145" s="171">
        <f t="shared" si="58"/>
        <v>0</v>
      </c>
      <c r="N145" s="171">
        <f t="shared" si="58"/>
        <v>0</v>
      </c>
      <c r="O145" s="171">
        <f t="shared" si="58"/>
        <v>0</v>
      </c>
      <c r="P145" s="171">
        <f t="shared" si="58"/>
        <v>0</v>
      </c>
      <c r="Q145" s="172"/>
      <c r="R145" s="172"/>
      <c r="S145" s="172"/>
      <c r="T145" s="172"/>
      <c r="U145" s="172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</row>
    <row r="146" spans="1:256">
      <c r="A146" s="841" t="s">
        <v>232</v>
      </c>
      <c r="B146" s="844" t="s">
        <v>233</v>
      </c>
      <c r="C146" s="178" t="s">
        <v>0</v>
      </c>
      <c r="D146" s="180">
        <f t="shared" si="52"/>
        <v>49925028</v>
      </c>
      <c r="E146" s="181">
        <f t="shared" si="53"/>
        <v>49925028</v>
      </c>
      <c r="F146" s="181">
        <f t="shared" si="54"/>
        <v>31309670</v>
      </c>
      <c r="G146" s="181">
        <v>733000</v>
      </c>
      <c r="H146" s="181">
        <v>30576670</v>
      </c>
      <c r="I146" s="181">
        <v>0</v>
      </c>
      <c r="J146" s="181">
        <v>30000</v>
      </c>
      <c r="K146" s="181">
        <v>18585358</v>
      </c>
      <c r="L146" s="181">
        <v>0</v>
      </c>
      <c r="M146" s="181">
        <f t="shared" si="55"/>
        <v>0</v>
      </c>
      <c r="N146" s="181">
        <v>0</v>
      </c>
      <c r="O146" s="181">
        <v>0</v>
      </c>
      <c r="P146" s="181">
        <v>0</v>
      </c>
      <c r="Q146" s="182"/>
      <c r="R146" s="182"/>
      <c r="S146" s="182"/>
      <c r="T146" s="182"/>
      <c r="U146" s="182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>
      <c r="A147" s="842"/>
      <c r="B147" s="845"/>
      <c r="C147" s="178" t="s">
        <v>1</v>
      </c>
      <c r="D147" s="180">
        <f t="shared" si="52"/>
        <v>3240000</v>
      </c>
      <c r="E147" s="181">
        <f t="shared" si="53"/>
        <v>3240000</v>
      </c>
      <c r="F147" s="181">
        <f t="shared" si="54"/>
        <v>3240000</v>
      </c>
      <c r="G147" s="181">
        <v>90000</v>
      </c>
      <c r="H147" s="181">
        <v>3150000</v>
      </c>
      <c r="I147" s="181"/>
      <c r="J147" s="181"/>
      <c r="K147" s="181"/>
      <c r="L147" s="181"/>
      <c r="M147" s="181">
        <f t="shared" si="55"/>
        <v>0</v>
      </c>
      <c r="N147" s="181"/>
      <c r="O147" s="181"/>
      <c r="P147" s="181"/>
      <c r="Q147" s="182"/>
      <c r="R147" s="182"/>
      <c r="S147" s="182"/>
      <c r="T147" s="182"/>
      <c r="U147" s="182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  <c r="HN147" s="148"/>
      <c r="HO147" s="148"/>
      <c r="HP147" s="148"/>
      <c r="HQ147" s="148"/>
      <c r="HR147" s="148"/>
      <c r="HS147" s="148"/>
      <c r="HT147" s="148"/>
      <c r="HU147" s="148"/>
      <c r="HV147" s="148"/>
      <c r="HW147" s="148"/>
      <c r="HX147" s="148"/>
      <c r="HY147" s="148"/>
      <c r="HZ147" s="148"/>
      <c r="IA147" s="148"/>
      <c r="IB147" s="148"/>
      <c r="IC147" s="148"/>
      <c r="ID147" s="148"/>
      <c r="IE147" s="148"/>
      <c r="IF147" s="148"/>
      <c r="IG147" s="148"/>
      <c r="IH147" s="148"/>
      <c r="II147" s="148"/>
      <c r="IJ147" s="148"/>
      <c r="IK147" s="148"/>
      <c r="IL147" s="148"/>
      <c r="IM147" s="148"/>
      <c r="IN147" s="148"/>
      <c r="IO147" s="148"/>
      <c r="IP147" s="148"/>
      <c r="IQ147" s="148"/>
      <c r="IR147" s="148"/>
      <c r="IS147" s="148"/>
      <c r="IT147" s="148"/>
      <c r="IU147" s="148"/>
      <c r="IV147" s="148"/>
    </row>
    <row r="148" spans="1:256">
      <c r="A148" s="843"/>
      <c r="B148" s="846"/>
      <c r="C148" s="178" t="s">
        <v>2</v>
      </c>
      <c r="D148" s="180">
        <f>D146+D147</f>
        <v>53165028</v>
      </c>
      <c r="E148" s="181">
        <f t="shared" ref="E148:P148" si="59">E146+E147</f>
        <v>53165028</v>
      </c>
      <c r="F148" s="181">
        <f t="shared" si="59"/>
        <v>34549670</v>
      </c>
      <c r="G148" s="181">
        <f t="shared" si="59"/>
        <v>823000</v>
      </c>
      <c r="H148" s="181">
        <f t="shared" si="59"/>
        <v>33726670</v>
      </c>
      <c r="I148" s="181">
        <f t="shared" si="59"/>
        <v>0</v>
      </c>
      <c r="J148" s="181">
        <f t="shared" si="59"/>
        <v>30000</v>
      </c>
      <c r="K148" s="181">
        <f t="shared" si="59"/>
        <v>18585358</v>
      </c>
      <c r="L148" s="181">
        <f t="shared" si="59"/>
        <v>0</v>
      </c>
      <c r="M148" s="181">
        <f t="shared" si="59"/>
        <v>0</v>
      </c>
      <c r="N148" s="181">
        <f t="shared" si="59"/>
        <v>0</v>
      </c>
      <c r="O148" s="181">
        <f t="shared" si="59"/>
        <v>0</v>
      </c>
      <c r="P148" s="181">
        <f t="shared" si="59"/>
        <v>0</v>
      </c>
      <c r="Q148" s="182"/>
      <c r="R148" s="182"/>
      <c r="S148" s="182"/>
      <c r="T148" s="182"/>
      <c r="U148" s="182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hidden="1">
      <c r="A149" s="841" t="s">
        <v>234</v>
      </c>
      <c r="B149" s="859" t="s">
        <v>235</v>
      </c>
      <c r="C149" s="178" t="s">
        <v>0</v>
      </c>
      <c r="D149" s="170">
        <f t="shared" si="52"/>
        <v>202000</v>
      </c>
      <c r="E149" s="171">
        <f t="shared" si="53"/>
        <v>202000</v>
      </c>
      <c r="F149" s="171">
        <f t="shared" si="54"/>
        <v>198000</v>
      </c>
      <c r="G149" s="171">
        <v>141500</v>
      </c>
      <c r="H149" s="171">
        <f>202000-145500</f>
        <v>56500</v>
      </c>
      <c r="I149" s="171">
        <v>0</v>
      </c>
      <c r="J149" s="171">
        <v>4000</v>
      </c>
      <c r="K149" s="171">
        <v>0</v>
      </c>
      <c r="L149" s="171">
        <v>0</v>
      </c>
      <c r="M149" s="171">
        <f t="shared" si="55"/>
        <v>0</v>
      </c>
      <c r="N149" s="171">
        <v>0</v>
      </c>
      <c r="O149" s="171">
        <v>0</v>
      </c>
      <c r="P149" s="171">
        <v>0</v>
      </c>
      <c r="Q149" s="172"/>
      <c r="R149" s="172"/>
      <c r="S149" s="172"/>
      <c r="T149" s="172"/>
      <c r="U149" s="17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</row>
    <row r="150" spans="1:256" hidden="1">
      <c r="A150" s="842"/>
      <c r="B150" s="860"/>
      <c r="C150" s="178" t="s">
        <v>1</v>
      </c>
      <c r="D150" s="170">
        <f t="shared" si="52"/>
        <v>0</v>
      </c>
      <c r="E150" s="171">
        <f t="shared" si="53"/>
        <v>0</v>
      </c>
      <c r="F150" s="171">
        <f t="shared" si="54"/>
        <v>0</v>
      </c>
      <c r="G150" s="171"/>
      <c r="H150" s="171"/>
      <c r="I150" s="171"/>
      <c r="J150" s="171"/>
      <c r="K150" s="171"/>
      <c r="L150" s="171"/>
      <c r="M150" s="171">
        <f t="shared" si="55"/>
        <v>0</v>
      </c>
      <c r="N150" s="171"/>
      <c r="O150" s="171"/>
      <c r="P150" s="171"/>
      <c r="Q150" s="172"/>
      <c r="R150" s="172"/>
      <c r="S150" s="172"/>
      <c r="T150" s="172"/>
      <c r="U150" s="172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3"/>
      <c r="GD150" s="163"/>
      <c r="GE150" s="163"/>
      <c r="GF150" s="163"/>
      <c r="GG150" s="163"/>
      <c r="GH150" s="163"/>
      <c r="GI150" s="163"/>
      <c r="GJ150" s="163"/>
      <c r="GK150" s="163"/>
      <c r="GL150" s="163"/>
      <c r="GM150" s="163"/>
      <c r="GN150" s="163"/>
      <c r="GO150" s="163"/>
      <c r="GP150" s="163"/>
      <c r="GQ150" s="163"/>
      <c r="GR150" s="163"/>
      <c r="GS150" s="163"/>
      <c r="GT150" s="163"/>
      <c r="GU150" s="163"/>
      <c r="GV150" s="163"/>
      <c r="GW150" s="163"/>
      <c r="GX150" s="163"/>
      <c r="GY150" s="163"/>
      <c r="GZ150" s="163"/>
      <c r="HA150" s="163"/>
      <c r="HB150" s="163"/>
      <c r="HC150" s="163"/>
      <c r="HD150" s="163"/>
      <c r="HE150" s="163"/>
      <c r="HF150" s="163"/>
      <c r="HG150" s="163"/>
      <c r="HH150" s="163"/>
      <c r="HI150" s="163"/>
      <c r="HJ150" s="163"/>
      <c r="HK150" s="163"/>
      <c r="HL150" s="163"/>
      <c r="HM150" s="163"/>
      <c r="HN150" s="163"/>
      <c r="HO150" s="163"/>
      <c r="HP150" s="163"/>
      <c r="HQ150" s="163"/>
      <c r="HR150" s="163"/>
      <c r="HS150" s="163"/>
      <c r="HT150" s="163"/>
      <c r="HU150" s="163"/>
      <c r="HV150" s="163"/>
      <c r="HW150" s="163"/>
      <c r="HX150" s="163"/>
      <c r="HY150" s="163"/>
      <c r="HZ150" s="163"/>
      <c r="IA150" s="163"/>
      <c r="IB150" s="163"/>
      <c r="IC150" s="163"/>
      <c r="ID150" s="163"/>
      <c r="IE150" s="163"/>
      <c r="IF150" s="163"/>
      <c r="IG150" s="163"/>
      <c r="IH150" s="163"/>
      <c r="II150" s="163"/>
      <c r="IJ150" s="163"/>
      <c r="IK150" s="163"/>
      <c r="IL150" s="163"/>
      <c r="IM150" s="163"/>
      <c r="IN150" s="163"/>
      <c r="IO150" s="163"/>
      <c r="IP150" s="163"/>
      <c r="IQ150" s="163"/>
      <c r="IR150" s="163"/>
      <c r="IS150" s="163"/>
      <c r="IT150" s="163"/>
      <c r="IU150" s="163"/>
      <c r="IV150" s="163"/>
    </row>
    <row r="151" spans="1:256" hidden="1">
      <c r="A151" s="843"/>
      <c r="B151" s="861"/>
      <c r="C151" s="178" t="s">
        <v>2</v>
      </c>
      <c r="D151" s="170">
        <f>D149+D150</f>
        <v>202000</v>
      </c>
      <c r="E151" s="171">
        <f t="shared" ref="E151:P151" si="60">E149+E150</f>
        <v>202000</v>
      </c>
      <c r="F151" s="171">
        <f t="shared" si="60"/>
        <v>198000</v>
      </c>
      <c r="G151" s="171">
        <f t="shared" si="60"/>
        <v>141500</v>
      </c>
      <c r="H151" s="171">
        <f t="shared" si="60"/>
        <v>56500</v>
      </c>
      <c r="I151" s="171">
        <f t="shared" si="60"/>
        <v>0</v>
      </c>
      <c r="J151" s="171">
        <f t="shared" si="60"/>
        <v>4000</v>
      </c>
      <c r="K151" s="171">
        <f t="shared" si="60"/>
        <v>0</v>
      </c>
      <c r="L151" s="171">
        <f t="shared" si="60"/>
        <v>0</v>
      </c>
      <c r="M151" s="171">
        <f t="shared" si="60"/>
        <v>0</v>
      </c>
      <c r="N151" s="171">
        <f t="shared" si="60"/>
        <v>0</v>
      </c>
      <c r="O151" s="171">
        <f t="shared" si="60"/>
        <v>0</v>
      </c>
      <c r="P151" s="171">
        <f t="shared" si="60"/>
        <v>0</v>
      </c>
      <c r="Q151" s="172"/>
      <c r="R151" s="172"/>
      <c r="S151" s="172"/>
      <c r="T151" s="172"/>
      <c r="U151" s="172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</row>
    <row r="152" spans="1:256">
      <c r="A152" s="841" t="s">
        <v>236</v>
      </c>
      <c r="B152" s="844" t="s">
        <v>108</v>
      </c>
      <c r="C152" s="178" t="s">
        <v>0</v>
      </c>
      <c r="D152" s="180">
        <f t="shared" si="52"/>
        <v>13307469</v>
      </c>
      <c r="E152" s="181">
        <f t="shared" si="53"/>
        <v>13307469</v>
      </c>
      <c r="F152" s="181">
        <f t="shared" si="54"/>
        <v>8903170</v>
      </c>
      <c r="G152" s="181">
        <v>43400</v>
      </c>
      <c r="H152" s="181">
        <v>8859770</v>
      </c>
      <c r="I152" s="181">
        <v>140000</v>
      </c>
      <c r="J152" s="181">
        <v>407000</v>
      </c>
      <c r="K152" s="181">
        <f>3540775+316524</f>
        <v>3857299</v>
      </c>
      <c r="L152" s="181">
        <v>0</v>
      </c>
      <c r="M152" s="181">
        <f t="shared" si="55"/>
        <v>0</v>
      </c>
      <c r="N152" s="181">
        <v>0</v>
      </c>
      <c r="O152" s="181">
        <v>0</v>
      </c>
      <c r="P152" s="181">
        <v>0</v>
      </c>
      <c r="Q152" s="182"/>
      <c r="R152" s="182"/>
      <c r="S152" s="182"/>
      <c r="T152" s="182"/>
      <c r="U152" s="182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  <c r="HN152" s="148"/>
      <c r="HO152" s="148"/>
      <c r="HP152" s="148"/>
      <c r="HQ152" s="148"/>
      <c r="HR152" s="148"/>
      <c r="HS152" s="148"/>
      <c r="HT152" s="148"/>
      <c r="HU152" s="148"/>
      <c r="HV152" s="148"/>
      <c r="HW152" s="148"/>
      <c r="HX152" s="148"/>
      <c r="HY152" s="148"/>
      <c r="HZ152" s="148"/>
      <c r="IA152" s="148"/>
      <c r="IB152" s="148"/>
      <c r="IC152" s="148"/>
      <c r="ID152" s="148"/>
      <c r="IE152" s="148"/>
      <c r="IF152" s="148"/>
      <c r="IG152" s="148"/>
      <c r="IH152" s="148"/>
      <c r="II152" s="148"/>
      <c r="IJ152" s="148"/>
      <c r="IK152" s="148"/>
      <c r="IL152" s="148"/>
      <c r="IM152" s="148"/>
      <c r="IN152" s="148"/>
      <c r="IO152" s="148"/>
      <c r="IP152" s="148"/>
      <c r="IQ152" s="148"/>
      <c r="IR152" s="148"/>
      <c r="IS152" s="148"/>
      <c r="IT152" s="148"/>
      <c r="IU152" s="148"/>
      <c r="IV152" s="148"/>
    </row>
    <row r="153" spans="1:256">
      <c r="A153" s="842"/>
      <c r="B153" s="845"/>
      <c r="C153" s="178" t="s">
        <v>1</v>
      </c>
      <c r="D153" s="180">
        <f t="shared" si="52"/>
        <v>4948145</v>
      </c>
      <c r="E153" s="181">
        <f t="shared" si="53"/>
        <v>4948145</v>
      </c>
      <c r="F153" s="181">
        <f t="shared" si="54"/>
        <v>4538250</v>
      </c>
      <c r="G153" s="181"/>
      <c r="H153" s="181">
        <f>4538250</f>
        <v>4538250</v>
      </c>
      <c r="I153" s="181"/>
      <c r="J153" s="181"/>
      <c r="K153" s="181">
        <f>-239-61+95779+24381-7971-2029+18187+4628+2497+636-5266-1340-797-203+7174+1826-797-203+213184+54266-8768-2232+7015+1786+5380+1370+1349+343</f>
        <v>409895</v>
      </c>
      <c r="L153" s="181"/>
      <c r="M153" s="181">
        <f t="shared" si="55"/>
        <v>0</v>
      </c>
      <c r="N153" s="181"/>
      <c r="O153" s="181"/>
      <c r="P153" s="181"/>
      <c r="Q153" s="182"/>
      <c r="R153" s="182"/>
      <c r="S153" s="182"/>
      <c r="T153" s="182"/>
      <c r="U153" s="182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  <c r="HN153" s="148"/>
      <c r="HO153" s="148"/>
      <c r="HP153" s="148"/>
      <c r="HQ153" s="148"/>
      <c r="HR153" s="148"/>
      <c r="HS153" s="148"/>
      <c r="HT153" s="148"/>
      <c r="HU153" s="148"/>
      <c r="HV153" s="148"/>
      <c r="HW153" s="148"/>
      <c r="HX153" s="148"/>
      <c r="HY153" s="148"/>
      <c r="HZ153" s="148"/>
      <c r="IA153" s="148"/>
      <c r="IB153" s="148"/>
      <c r="IC153" s="148"/>
      <c r="ID153" s="148"/>
      <c r="IE153" s="148"/>
      <c r="IF153" s="148"/>
      <c r="IG153" s="148"/>
      <c r="IH153" s="148"/>
      <c r="II153" s="148"/>
      <c r="IJ153" s="148"/>
      <c r="IK153" s="148"/>
      <c r="IL153" s="148"/>
      <c r="IM153" s="148"/>
      <c r="IN153" s="148"/>
      <c r="IO153" s="148"/>
      <c r="IP153" s="148"/>
      <c r="IQ153" s="148"/>
      <c r="IR153" s="148"/>
      <c r="IS153" s="148"/>
      <c r="IT153" s="148"/>
      <c r="IU153" s="148"/>
      <c r="IV153" s="148"/>
    </row>
    <row r="154" spans="1:256">
      <c r="A154" s="843"/>
      <c r="B154" s="846"/>
      <c r="C154" s="178" t="s">
        <v>2</v>
      </c>
      <c r="D154" s="180">
        <f>D152+D153</f>
        <v>18255614</v>
      </c>
      <c r="E154" s="181">
        <f t="shared" ref="E154:P154" si="61">E152+E153</f>
        <v>18255614</v>
      </c>
      <c r="F154" s="181">
        <f t="shared" si="61"/>
        <v>13441420</v>
      </c>
      <c r="G154" s="181">
        <f t="shared" si="61"/>
        <v>43400</v>
      </c>
      <c r="H154" s="181">
        <f t="shared" si="61"/>
        <v>13398020</v>
      </c>
      <c r="I154" s="181">
        <f t="shared" si="61"/>
        <v>140000</v>
      </c>
      <c r="J154" s="181">
        <f t="shared" si="61"/>
        <v>407000</v>
      </c>
      <c r="K154" s="181">
        <f t="shared" si="61"/>
        <v>4267194</v>
      </c>
      <c r="L154" s="181">
        <f t="shared" si="61"/>
        <v>0</v>
      </c>
      <c r="M154" s="181">
        <f t="shared" si="61"/>
        <v>0</v>
      </c>
      <c r="N154" s="181">
        <f t="shared" si="61"/>
        <v>0</v>
      </c>
      <c r="O154" s="181">
        <f t="shared" si="61"/>
        <v>0</v>
      </c>
      <c r="P154" s="181">
        <f t="shared" si="61"/>
        <v>0</v>
      </c>
      <c r="Q154" s="182"/>
      <c r="R154" s="182"/>
      <c r="S154" s="182"/>
      <c r="T154" s="182"/>
      <c r="U154" s="182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  <c r="GR154" s="148"/>
      <c r="GS154" s="148"/>
      <c r="GT154" s="148"/>
      <c r="GU154" s="148"/>
      <c r="GV154" s="148"/>
      <c r="GW154" s="148"/>
      <c r="GX154" s="148"/>
      <c r="GY154" s="148"/>
      <c r="GZ154" s="148"/>
      <c r="HA154" s="148"/>
      <c r="HB154" s="148"/>
      <c r="HC154" s="148"/>
      <c r="HD154" s="148"/>
      <c r="HE154" s="148"/>
      <c r="HF154" s="148"/>
      <c r="HG154" s="148"/>
      <c r="HH154" s="148"/>
      <c r="HI154" s="148"/>
      <c r="HJ154" s="148"/>
      <c r="HK154" s="148"/>
      <c r="HL154" s="148"/>
      <c r="HM154" s="148"/>
      <c r="HN154" s="148"/>
      <c r="HO154" s="148"/>
      <c r="HP154" s="148"/>
      <c r="HQ154" s="148"/>
      <c r="HR154" s="148"/>
      <c r="HS154" s="148"/>
      <c r="HT154" s="148"/>
      <c r="HU154" s="148"/>
      <c r="HV154" s="148"/>
      <c r="HW154" s="148"/>
      <c r="HX154" s="148"/>
      <c r="HY154" s="148"/>
      <c r="HZ154" s="148"/>
      <c r="IA154" s="148"/>
      <c r="IB154" s="148"/>
      <c r="IC154" s="148"/>
      <c r="ID154" s="148"/>
      <c r="IE154" s="148"/>
      <c r="IF154" s="148"/>
      <c r="IG154" s="148"/>
      <c r="IH154" s="148"/>
      <c r="II154" s="148"/>
      <c r="IJ154" s="148"/>
      <c r="IK154" s="148"/>
      <c r="IL154" s="148"/>
      <c r="IM154" s="148"/>
      <c r="IN154" s="148"/>
      <c r="IO154" s="148"/>
      <c r="IP154" s="148"/>
      <c r="IQ154" s="148"/>
      <c r="IR154" s="148"/>
      <c r="IS154" s="148"/>
      <c r="IT154" s="148"/>
      <c r="IU154" s="148"/>
      <c r="IV154" s="148"/>
    </row>
    <row r="155" spans="1:256" ht="15" hidden="1">
      <c r="A155" s="835" t="s">
        <v>101</v>
      </c>
      <c r="B155" s="838" t="s">
        <v>104</v>
      </c>
      <c r="C155" s="183" t="s">
        <v>0</v>
      </c>
      <c r="D155" s="174">
        <f t="shared" ref="D155:N156" si="62">D158</f>
        <v>2023253</v>
      </c>
      <c r="E155" s="175">
        <f t="shared" si="62"/>
        <v>2023253</v>
      </c>
      <c r="F155" s="175">
        <f t="shared" si="62"/>
        <v>1997153</v>
      </c>
      <c r="G155" s="175">
        <f>G158</f>
        <v>72898</v>
      </c>
      <c r="H155" s="175">
        <f t="shared" si="62"/>
        <v>1924255</v>
      </c>
      <c r="I155" s="175">
        <f t="shared" si="62"/>
        <v>0</v>
      </c>
      <c r="J155" s="175">
        <f t="shared" si="62"/>
        <v>26100</v>
      </c>
      <c r="K155" s="175">
        <f t="shared" si="62"/>
        <v>0</v>
      </c>
      <c r="L155" s="175">
        <f t="shared" si="62"/>
        <v>0</v>
      </c>
      <c r="M155" s="175">
        <f t="shared" si="62"/>
        <v>0</v>
      </c>
      <c r="N155" s="175">
        <f t="shared" si="62"/>
        <v>0</v>
      </c>
      <c r="O155" s="175">
        <f>O158</f>
        <v>0</v>
      </c>
      <c r="P155" s="175">
        <f>P158</f>
        <v>0</v>
      </c>
      <c r="Q155" s="188"/>
      <c r="R155" s="188"/>
      <c r="S155" s="188"/>
      <c r="T155" s="188"/>
      <c r="U155" s="188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  <c r="CW155" s="189"/>
      <c r="CX155" s="189"/>
      <c r="CY155" s="189"/>
      <c r="CZ155" s="189"/>
      <c r="DA155" s="189"/>
      <c r="DB155" s="189"/>
      <c r="DC155" s="189"/>
      <c r="DD155" s="189"/>
      <c r="DE155" s="189"/>
      <c r="DF155" s="189"/>
      <c r="DG155" s="189"/>
      <c r="DH155" s="189"/>
      <c r="DI155" s="189"/>
      <c r="DJ155" s="189"/>
      <c r="DK155" s="189"/>
      <c r="DL155" s="189"/>
      <c r="DM155" s="189"/>
      <c r="DN155" s="189"/>
      <c r="DO155" s="189"/>
      <c r="DP155" s="189"/>
      <c r="DQ155" s="189"/>
      <c r="DR155" s="189"/>
      <c r="DS155" s="189"/>
      <c r="DT155" s="189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189"/>
      <c r="EF155" s="189"/>
      <c r="EG155" s="189"/>
      <c r="EH155" s="189"/>
      <c r="EI155" s="189"/>
      <c r="EJ155" s="189"/>
      <c r="EK155" s="189"/>
      <c r="EL155" s="189"/>
      <c r="EM155" s="189"/>
      <c r="EN155" s="189"/>
      <c r="EO155" s="189"/>
      <c r="EP155" s="189"/>
      <c r="EQ155" s="189"/>
      <c r="ER155" s="189"/>
      <c r="ES155" s="189"/>
      <c r="ET155" s="189"/>
      <c r="EU155" s="189"/>
      <c r="EV155" s="189"/>
      <c r="EW155" s="189"/>
      <c r="EX155" s="189"/>
      <c r="EY155" s="189"/>
      <c r="EZ155" s="189"/>
      <c r="FA155" s="189"/>
      <c r="FB155" s="189"/>
      <c r="FC155" s="189"/>
      <c r="FD155" s="189"/>
      <c r="FE155" s="189"/>
      <c r="FF155" s="189"/>
      <c r="FG155" s="189"/>
      <c r="FH155" s="189"/>
      <c r="FI155" s="189"/>
      <c r="FJ155" s="189"/>
      <c r="FK155" s="189"/>
      <c r="FL155" s="189"/>
      <c r="FM155" s="189"/>
      <c r="FN155" s="189"/>
      <c r="FO155" s="189"/>
      <c r="FP155" s="189"/>
      <c r="FQ155" s="189"/>
      <c r="FR155" s="189"/>
      <c r="FS155" s="189"/>
      <c r="FT155" s="189"/>
      <c r="FU155" s="189"/>
      <c r="FV155" s="189"/>
      <c r="FW155" s="189"/>
      <c r="FX155" s="189"/>
      <c r="FY155" s="189"/>
      <c r="FZ155" s="189"/>
      <c r="GA155" s="189"/>
      <c r="GB155" s="189"/>
      <c r="GC155" s="189"/>
      <c r="GD155" s="189"/>
      <c r="GE155" s="189"/>
      <c r="GF155" s="189"/>
      <c r="GG155" s="189"/>
      <c r="GH155" s="189"/>
      <c r="GI155" s="189"/>
      <c r="GJ155" s="189"/>
      <c r="GK155" s="189"/>
      <c r="GL155" s="189"/>
      <c r="GM155" s="189"/>
      <c r="GN155" s="189"/>
      <c r="GO155" s="189"/>
      <c r="GP155" s="189"/>
      <c r="GQ155" s="189"/>
      <c r="GR155" s="189"/>
      <c r="GS155" s="189"/>
      <c r="GT155" s="189"/>
      <c r="GU155" s="189"/>
      <c r="GV155" s="189"/>
      <c r="GW155" s="189"/>
      <c r="GX155" s="189"/>
      <c r="GY155" s="189"/>
      <c r="GZ155" s="189"/>
      <c r="HA155" s="189"/>
      <c r="HB155" s="189"/>
      <c r="HC155" s="189"/>
      <c r="HD155" s="189"/>
      <c r="HE155" s="189"/>
      <c r="HF155" s="189"/>
      <c r="HG155" s="189"/>
      <c r="HH155" s="189"/>
      <c r="HI155" s="189"/>
      <c r="HJ155" s="189"/>
      <c r="HK155" s="189"/>
      <c r="HL155" s="189"/>
      <c r="HM155" s="189"/>
      <c r="HN155" s="189"/>
      <c r="HO155" s="189"/>
      <c r="HP155" s="189"/>
      <c r="HQ155" s="189"/>
      <c r="HR155" s="189"/>
      <c r="HS155" s="189"/>
      <c r="HT155" s="189"/>
      <c r="HU155" s="189"/>
      <c r="HV155" s="189"/>
      <c r="HW155" s="189"/>
      <c r="HX155" s="189"/>
      <c r="HY155" s="189"/>
      <c r="HZ155" s="189"/>
      <c r="IA155" s="189"/>
      <c r="IB155" s="189"/>
      <c r="IC155" s="189"/>
      <c r="ID155" s="189"/>
      <c r="IE155" s="189"/>
      <c r="IF155" s="189"/>
      <c r="IG155" s="189"/>
      <c r="IH155" s="189"/>
      <c r="II155" s="189"/>
      <c r="IJ155" s="189"/>
      <c r="IK155" s="189"/>
      <c r="IL155" s="189"/>
      <c r="IM155" s="189"/>
      <c r="IN155" s="189"/>
      <c r="IO155" s="189"/>
      <c r="IP155" s="189"/>
      <c r="IQ155" s="189"/>
      <c r="IR155" s="189"/>
      <c r="IS155" s="189"/>
      <c r="IT155" s="189"/>
      <c r="IU155" s="189"/>
      <c r="IV155" s="189"/>
    </row>
    <row r="156" spans="1:256" ht="15" hidden="1">
      <c r="A156" s="836"/>
      <c r="B156" s="839"/>
      <c r="C156" s="183" t="s">
        <v>1</v>
      </c>
      <c r="D156" s="174">
        <f t="shared" si="62"/>
        <v>0</v>
      </c>
      <c r="E156" s="175">
        <f t="shared" si="62"/>
        <v>0</v>
      </c>
      <c r="F156" s="175">
        <f t="shared" si="62"/>
        <v>0</v>
      </c>
      <c r="G156" s="175">
        <f t="shared" si="62"/>
        <v>0</v>
      </c>
      <c r="H156" s="175">
        <f t="shared" si="62"/>
        <v>0</v>
      </c>
      <c r="I156" s="175">
        <f t="shared" si="62"/>
        <v>0</v>
      </c>
      <c r="J156" s="175">
        <f t="shared" si="62"/>
        <v>0</v>
      </c>
      <c r="K156" s="175">
        <f t="shared" si="62"/>
        <v>0</v>
      </c>
      <c r="L156" s="175">
        <f t="shared" si="62"/>
        <v>0</v>
      </c>
      <c r="M156" s="175">
        <f t="shared" si="62"/>
        <v>0</v>
      </c>
      <c r="N156" s="175">
        <f t="shared" si="62"/>
        <v>0</v>
      </c>
      <c r="O156" s="175">
        <f>O159</f>
        <v>0</v>
      </c>
      <c r="P156" s="175">
        <f>P159</f>
        <v>0</v>
      </c>
      <c r="Q156" s="188"/>
      <c r="R156" s="188"/>
      <c r="S156" s="188"/>
      <c r="T156" s="188"/>
      <c r="U156" s="188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  <c r="CW156" s="189"/>
      <c r="CX156" s="189"/>
      <c r="CY156" s="189"/>
      <c r="CZ156" s="189"/>
      <c r="DA156" s="189"/>
      <c r="DB156" s="189"/>
      <c r="DC156" s="189"/>
      <c r="DD156" s="189"/>
      <c r="DE156" s="189"/>
      <c r="DF156" s="189"/>
      <c r="DG156" s="189"/>
      <c r="DH156" s="189"/>
      <c r="DI156" s="189"/>
      <c r="DJ156" s="189"/>
      <c r="DK156" s="189"/>
      <c r="DL156" s="189"/>
      <c r="DM156" s="189"/>
      <c r="DN156" s="189"/>
      <c r="DO156" s="189"/>
      <c r="DP156" s="189"/>
      <c r="DQ156" s="189"/>
      <c r="DR156" s="189"/>
      <c r="DS156" s="189"/>
      <c r="DT156" s="189"/>
      <c r="DU156" s="189"/>
      <c r="DV156" s="189"/>
      <c r="DW156" s="189"/>
      <c r="DX156" s="189"/>
      <c r="DY156" s="189"/>
      <c r="DZ156" s="189"/>
      <c r="EA156" s="189"/>
      <c r="EB156" s="189"/>
      <c r="EC156" s="189"/>
      <c r="ED156" s="189"/>
      <c r="EE156" s="189"/>
      <c r="EF156" s="189"/>
      <c r="EG156" s="189"/>
      <c r="EH156" s="189"/>
      <c r="EI156" s="189"/>
      <c r="EJ156" s="189"/>
      <c r="EK156" s="189"/>
      <c r="EL156" s="189"/>
      <c r="EM156" s="189"/>
      <c r="EN156" s="189"/>
      <c r="EO156" s="189"/>
      <c r="EP156" s="189"/>
      <c r="EQ156" s="189"/>
      <c r="ER156" s="189"/>
      <c r="ES156" s="189"/>
      <c r="ET156" s="189"/>
      <c r="EU156" s="189"/>
      <c r="EV156" s="189"/>
      <c r="EW156" s="189"/>
      <c r="EX156" s="189"/>
      <c r="EY156" s="189"/>
      <c r="EZ156" s="189"/>
      <c r="FA156" s="189"/>
      <c r="FB156" s="189"/>
      <c r="FC156" s="189"/>
      <c r="FD156" s="189"/>
      <c r="FE156" s="189"/>
      <c r="FF156" s="189"/>
      <c r="FG156" s="189"/>
      <c r="FH156" s="189"/>
      <c r="FI156" s="189"/>
      <c r="FJ156" s="189"/>
      <c r="FK156" s="189"/>
      <c r="FL156" s="189"/>
      <c r="FM156" s="189"/>
      <c r="FN156" s="189"/>
      <c r="FO156" s="189"/>
      <c r="FP156" s="189"/>
      <c r="FQ156" s="189"/>
      <c r="FR156" s="189"/>
      <c r="FS156" s="189"/>
      <c r="FT156" s="189"/>
      <c r="FU156" s="189"/>
      <c r="FV156" s="189"/>
      <c r="FW156" s="189"/>
      <c r="FX156" s="189"/>
      <c r="FY156" s="189"/>
      <c r="FZ156" s="189"/>
      <c r="GA156" s="189"/>
      <c r="GB156" s="189"/>
      <c r="GC156" s="189"/>
      <c r="GD156" s="189"/>
      <c r="GE156" s="189"/>
      <c r="GF156" s="189"/>
      <c r="GG156" s="189"/>
      <c r="GH156" s="189"/>
      <c r="GI156" s="189"/>
      <c r="GJ156" s="189"/>
      <c r="GK156" s="189"/>
      <c r="GL156" s="189"/>
      <c r="GM156" s="189"/>
      <c r="GN156" s="189"/>
      <c r="GO156" s="189"/>
      <c r="GP156" s="189"/>
      <c r="GQ156" s="189"/>
      <c r="GR156" s="189"/>
      <c r="GS156" s="189"/>
      <c r="GT156" s="189"/>
      <c r="GU156" s="189"/>
      <c r="GV156" s="189"/>
      <c r="GW156" s="189"/>
      <c r="GX156" s="189"/>
      <c r="GY156" s="189"/>
      <c r="GZ156" s="189"/>
      <c r="HA156" s="189"/>
      <c r="HB156" s="189"/>
      <c r="HC156" s="189"/>
      <c r="HD156" s="189"/>
      <c r="HE156" s="189"/>
      <c r="HF156" s="189"/>
      <c r="HG156" s="189"/>
      <c r="HH156" s="189"/>
      <c r="HI156" s="189"/>
      <c r="HJ156" s="189"/>
      <c r="HK156" s="189"/>
      <c r="HL156" s="189"/>
      <c r="HM156" s="189"/>
      <c r="HN156" s="189"/>
      <c r="HO156" s="189"/>
      <c r="HP156" s="189"/>
      <c r="HQ156" s="189"/>
      <c r="HR156" s="189"/>
      <c r="HS156" s="189"/>
      <c r="HT156" s="189"/>
      <c r="HU156" s="189"/>
      <c r="HV156" s="189"/>
      <c r="HW156" s="189"/>
      <c r="HX156" s="189"/>
      <c r="HY156" s="189"/>
      <c r="HZ156" s="189"/>
      <c r="IA156" s="189"/>
      <c r="IB156" s="189"/>
      <c r="IC156" s="189"/>
      <c r="ID156" s="189"/>
      <c r="IE156" s="189"/>
      <c r="IF156" s="189"/>
      <c r="IG156" s="189"/>
      <c r="IH156" s="189"/>
      <c r="II156" s="189"/>
      <c r="IJ156" s="189"/>
      <c r="IK156" s="189"/>
      <c r="IL156" s="189"/>
      <c r="IM156" s="189"/>
      <c r="IN156" s="189"/>
      <c r="IO156" s="189"/>
      <c r="IP156" s="189"/>
      <c r="IQ156" s="189"/>
      <c r="IR156" s="189"/>
      <c r="IS156" s="189"/>
      <c r="IT156" s="189"/>
      <c r="IU156" s="189"/>
      <c r="IV156" s="189"/>
    </row>
    <row r="157" spans="1:256" ht="15" hidden="1">
      <c r="A157" s="837"/>
      <c r="B157" s="840"/>
      <c r="C157" s="183" t="s">
        <v>2</v>
      </c>
      <c r="D157" s="174">
        <f>D155+D156</f>
        <v>2023253</v>
      </c>
      <c r="E157" s="175">
        <f t="shared" ref="E157:P157" si="63">E155+E156</f>
        <v>2023253</v>
      </c>
      <c r="F157" s="175">
        <f t="shared" si="63"/>
        <v>1997153</v>
      </c>
      <c r="G157" s="175">
        <f t="shared" si="63"/>
        <v>72898</v>
      </c>
      <c r="H157" s="175">
        <f t="shared" si="63"/>
        <v>1924255</v>
      </c>
      <c r="I157" s="175">
        <f t="shared" si="63"/>
        <v>0</v>
      </c>
      <c r="J157" s="175">
        <f t="shared" si="63"/>
        <v>26100</v>
      </c>
      <c r="K157" s="175">
        <f t="shared" si="63"/>
        <v>0</v>
      </c>
      <c r="L157" s="175">
        <f t="shared" si="63"/>
        <v>0</v>
      </c>
      <c r="M157" s="175">
        <f t="shared" si="63"/>
        <v>0</v>
      </c>
      <c r="N157" s="175">
        <f t="shared" si="63"/>
        <v>0</v>
      </c>
      <c r="O157" s="175">
        <f t="shared" si="63"/>
        <v>0</v>
      </c>
      <c r="P157" s="175">
        <f t="shared" si="63"/>
        <v>0</v>
      </c>
      <c r="Q157" s="188"/>
      <c r="R157" s="188"/>
      <c r="S157" s="188"/>
      <c r="T157" s="188"/>
      <c r="U157" s="188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189"/>
      <c r="DE157" s="189"/>
      <c r="DF157" s="189"/>
      <c r="DG157" s="189"/>
      <c r="DH157" s="189"/>
      <c r="DI157" s="189"/>
      <c r="DJ157" s="189"/>
      <c r="DK157" s="189"/>
      <c r="DL157" s="189"/>
      <c r="DM157" s="189"/>
      <c r="DN157" s="189"/>
      <c r="DO157" s="189"/>
      <c r="DP157" s="189"/>
      <c r="DQ157" s="189"/>
      <c r="DR157" s="189"/>
      <c r="DS157" s="189"/>
      <c r="DT157" s="189"/>
      <c r="DU157" s="189"/>
      <c r="DV157" s="189"/>
      <c r="DW157" s="189"/>
      <c r="DX157" s="189"/>
      <c r="DY157" s="189"/>
      <c r="DZ157" s="189"/>
      <c r="EA157" s="189"/>
      <c r="EB157" s="189"/>
      <c r="EC157" s="189"/>
      <c r="ED157" s="189"/>
      <c r="EE157" s="189"/>
      <c r="EF157" s="189"/>
      <c r="EG157" s="189"/>
      <c r="EH157" s="189"/>
      <c r="EI157" s="189"/>
      <c r="EJ157" s="189"/>
      <c r="EK157" s="189"/>
      <c r="EL157" s="189"/>
      <c r="EM157" s="189"/>
      <c r="EN157" s="189"/>
      <c r="EO157" s="189"/>
      <c r="EP157" s="189"/>
      <c r="EQ157" s="189"/>
      <c r="ER157" s="189"/>
      <c r="ES157" s="189"/>
      <c r="ET157" s="189"/>
      <c r="EU157" s="189"/>
      <c r="EV157" s="189"/>
      <c r="EW157" s="189"/>
      <c r="EX157" s="189"/>
      <c r="EY157" s="189"/>
      <c r="EZ157" s="189"/>
      <c r="FA157" s="189"/>
      <c r="FB157" s="189"/>
      <c r="FC157" s="189"/>
      <c r="FD157" s="189"/>
      <c r="FE157" s="189"/>
      <c r="FF157" s="189"/>
      <c r="FG157" s="189"/>
      <c r="FH157" s="189"/>
      <c r="FI157" s="189"/>
      <c r="FJ157" s="189"/>
      <c r="FK157" s="189"/>
      <c r="FL157" s="189"/>
      <c r="FM157" s="189"/>
      <c r="FN157" s="189"/>
      <c r="FO157" s="189"/>
      <c r="FP157" s="189"/>
      <c r="FQ157" s="189"/>
      <c r="FR157" s="189"/>
      <c r="FS157" s="189"/>
      <c r="FT157" s="189"/>
      <c r="FU157" s="189"/>
      <c r="FV157" s="189"/>
      <c r="FW157" s="189"/>
      <c r="FX157" s="189"/>
      <c r="FY157" s="189"/>
      <c r="FZ157" s="189"/>
      <c r="GA157" s="189"/>
      <c r="GB157" s="189"/>
      <c r="GC157" s="189"/>
      <c r="GD157" s="189"/>
      <c r="GE157" s="189"/>
      <c r="GF157" s="189"/>
      <c r="GG157" s="189"/>
      <c r="GH157" s="189"/>
      <c r="GI157" s="189"/>
      <c r="GJ157" s="189"/>
      <c r="GK157" s="189"/>
      <c r="GL157" s="189"/>
      <c r="GM157" s="189"/>
      <c r="GN157" s="189"/>
      <c r="GO157" s="189"/>
      <c r="GP157" s="189"/>
      <c r="GQ157" s="189"/>
      <c r="GR157" s="189"/>
      <c r="GS157" s="189"/>
      <c r="GT157" s="189"/>
      <c r="GU157" s="189"/>
      <c r="GV157" s="189"/>
      <c r="GW157" s="189"/>
      <c r="GX157" s="189"/>
      <c r="GY157" s="189"/>
      <c r="GZ157" s="189"/>
      <c r="HA157" s="189"/>
      <c r="HB157" s="189"/>
      <c r="HC157" s="189"/>
      <c r="HD157" s="189"/>
      <c r="HE157" s="189"/>
      <c r="HF157" s="189"/>
      <c r="HG157" s="189"/>
      <c r="HH157" s="189"/>
      <c r="HI157" s="189"/>
      <c r="HJ157" s="189"/>
      <c r="HK157" s="189"/>
      <c r="HL157" s="189"/>
      <c r="HM157" s="189"/>
      <c r="HN157" s="189"/>
      <c r="HO157" s="189"/>
      <c r="HP157" s="189"/>
      <c r="HQ157" s="189"/>
      <c r="HR157" s="189"/>
      <c r="HS157" s="189"/>
      <c r="HT157" s="189"/>
      <c r="HU157" s="189"/>
      <c r="HV157" s="189"/>
      <c r="HW157" s="189"/>
      <c r="HX157" s="189"/>
      <c r="HY157" s="189"/>
      <c r="HZ157" s="189"/>
      <c r="IA157" s="189"/>
      <c r="IB157" s="189"/>
      <c r="IC157" s="189"/>
      <c r="ID157" s="189"/>
      <c r="IE157" s="189"/>
      <c r="IF157" s="189"/>
      <c r="IG157" s="189"/>
      <c r="IH157" s="189"/>
      <c r="II157" s="189"/>
      <c r="IJ157" s="189"/>
      <c r="IK157" s="189"/>
      <c r="IL157" s="189"/>
      <c r="IM157" s="189"/>
      <c r="IN157" s="189"/>
      <c r="IO157" s="189"/>
      <c r="IP157" s="189"/>
      <c r="IQ157" s="189"/>
      <c r="IR157" s="189"/>
      <c r="IS157" s="189"/>
      <c r="IT157" s="189"/>
      <c r="IU157" s="189"/>
      <c r="IV157" s="189"/>
    </row>
    <row r="158" spans="1:256" ht="18" hidden="1" customHeight="1">
      <c r="A158" s="841" t="s">
        <v>237</v>
      </c>
      <c r="B158" s="844" t="s">
        <v>238</v>
      </c>
      <c r="C158" s="178" t="s">
        <v>0</v>
      </c>
      <c r="D158" s="180">
        <f>E158+M158</f>
        <v>2023253</v>
      </c>
      <c r="E158" s="181">
        <f>F158+I158+J158+K158+L158</f>
        <v>2023253</v>
      </c>
      <c r="F158" s="181">
        <f>G158+H158</f>
        <v>1997153</v>
      </c>
      <c r="G158" s="181">
        <v>72898</v>
      </c>
      <c r="H158" s="181">
        <v>1924255</v>
      </c>
      <c r="I158" s="181">
        <v>0</v>
      </c>
      <c r="J158" s="181">
        <v>26100</v>
      </c>
      <c r="K158" s="181">
        <v>0</v>
      </c>
      <c r="L158" s="181">
        <v>0</v>
      </c>
      <c r="M158" s="181">
        <f>N158+P158</f>
        <v>0</v>
      </c>
      <c r="N158" s="181">
        <v>0</v>
      </c>
      <c r="O158" s="181">
        <v>0</v>
      </c>
      <c r="P158" s="181">
        <v>0</v>
      </c>
      <c r="Q158" s="182"/>
      <c r="R158" s="182"/>
      <c r="S158" s="182"/>
      <c r="T158" s="182"/>
      <c r="U158" s="182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  <c r="GR158" s="148"/>
      <c r="GS158" s="148"/>
      <c r="GT158" s="148"/>
      <c r="GU158" s="148"/>
      <c r="GV158" s="148"/>
      <c r="GW158" s="148"/>
      <c r="GX158" s="148"/>
      <c r="GY158" s="148"/>
      <c r="GZ158" s="148"/>
      <c r="HA158" s="148"/>
      <c r="HB158" s="148"/>
      <c r="HC158" s="148"/>
      <c r="HD158" s="148"/>
      <c r="HE158" s="148"/>
      <c r="HF158" s="148"/>
      <c r="HG158" s="148"/>
      <c r="HH158" s="148"/>
      <c r="HI158" s="148"/>
      <c r="HJ158" s="148"/>
      <c r="HK158" s="148"/>
      <c r="HL158" s="148"/>
      <c r="HM158" s="148"/>
      <c r="HN158" s="148"/>
      <c r="HO158" s="148"/>
      <c r="HP158" s="148"/>
      <c r="HQ158" s="148"/>
      <c r="HR158" s="148"/>
      <c r="HS158" s="148"/>
      <c r="HT158" s="148"/>
      <c r="HU158" s="148"/>
      <c r="HV158" s="148"/>
      <c r="HW158" s="148"/>
      <c r="HX158" s="148"/>
      <c r="HY158" s="148"/>
      <c r="HZ158" s="148"/>
      <c r="IA158" s="148"/>
      <c r="IB158" s="148"/>
      <c r="IC158" s="148"/>
      <c r="ID158" s="148"/>
      <c r="IE158" s="148"/>
      <c r="IF158" s="148"/>
      <c r="IG158" s="148"/>
      <c r="IH158" s="148"/>
      <c r="II158" s="148"/>
      <c r="IJ158" s="148"/>
      <c r="IK158" s="148"/>
      <c r="IL158" s="148"/>
      <c r="IM158" s="148"/>
      <c r="IN158" s="148"/>
      <c r="IO158" s="148"/>
      <c r="IP158" s="148"/>
      <c r="IQ158" s="148"/>
      <c r="IR158" s="148"/>
      <c r="IS158" s="148"/>
      <c r="IT158" s="148"/>
      <c r="IU158" s="148"/>
      <c r="IV158" s="148"/>
    </row>
    <row r="159" spans="1:256" ht="18" hidden="1" customHeight="1">
      <c r="A159" s="842"/>
      <c r="B159" s="845"/>
      <c r="C159" s="178" t="s">
        <v>1</v>
      </c>
      <c r="D159" s="180">
        <f>E159+M159</f>
        <v>0</v>
      </c>
      <c r="E159" s="181">
        <f>F159+I159+J159+K159+L159</f>
        <v>0</v>
      </c>
      <c r="F159" s="181">
        <f>G159+H159</f>
        <v>0</v>
      </c>
      <c r="G159" s="181"/>
      <c r="H159" s="181"/>
      <c r="I159" s="181"/>
      <c r="J159" s="181"/>
      <c r="K159" s="181"/>
      <c r="L159" s="181"/>
      <c r="M159" s="181">
        <f>N159+P159</f>
        <v>0</v>
      </c>
      <c r="N159" s="181"/>
      <c r="O159" s="181"/>
      <c r="P159" s="181"/>
      <c r="Q159" s="182"/>
      <c r="R159" s="182"/>
      <c r="S159" s="182"/>
      <c r="T159" s="182"/>
      <c r="U159" s="182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  <c r="GR159" s="148"/>
      <c r="GS159" s="148"/>
      <c r="GT159" s="148"/>
      <c r="GU159" s="148"/>
      <c r="GV159" s="148"/>
      <c r="GW159" s="148"/>
      <c r="GX159" s="148"/>
      <c r="GY159" s="148"/>
      <c r="GZ159" s="148"/>
      <c r="HA159" s="148"/>
      <c r="HB159" s="148"/>
      <c r="HC159" s="148"/>
      <c r="HD159" s="148"/>
      <c r="HE159" s="148"/>
      <c r="HF159" s="148"/>
      <c r="HG159" s="148"/>
      <c r="HH159" s="148"/>
      <c r="HI159" s="148"/>
      <c r="HJ159" s="148"/>
      <c r="HK159" s="148"/>
      <c r="HL159" s="148"/>
      <c r="HM159" s="148"/>
      <c r="HN159" s="148"/>
      <c r="HO159" s="148"/>
      <c r="HP159" s="148"/>
      <c r="HQ159" s="148"/>
      <c r="HR159" s="148"/>
      <c r="HS159" s="148"/>
      <c r="HT159" s="148"/>
      <c r="HU159" s="148"/>
      <c r="HV159" s="148"/>
      <c r="HW159" s="148"/>
      <c r="HX159" s="148"/>
      <c r="HY159" s="148"/>
      <c r="HZ159" s="148"/>
      <c r="IA159" s="148"/>
      <c r="IB159" s="148"/>
      <c r="IC159" s="148"/>
      <c r="ID159" s="148"/>
      <c r="IE159" s="148"/>
      <c r="IF159" s="148"/>
      <c r="IG159" s="148"/>
      <c r="IH159" s="148"/>
      <c r="II159" s="148"/>
      <c r="IJ159" s="148"/>
      <c r="IK159" s="148"/>
      <c r="IL159" s="148"/>
      <c r="IM159" s="148"/>
      <c r="IN159" s="148"/>
      <c r="IO159" s="148"/>
      <c r="IP159" s="148"/>
      <c r="IQ159" s="148"/>
      <c r="IR159" s="148"/>
      <c r="IS159" s="148"/>
      <c r="IT159" s="148"/>
      <c r="IU159" s="148"/>
      <c r="IV159" s="148"/>
    </row>
    <row r="160" spans="1:256" ht="18" hidden="1" customHeight="1">
      <c r="A160" s="843"/>
      <c r="B160" s="846"/>
      <c r="C160" s="178" t="s">
        <v>2</v>
      </c>
      <c r="D160" s="180">
        <f>D158+D159</f>
        <v>2023253</v>
      </c>
      <c r="E160" s="181">
        <f t="shared" ref="E160:P160" si="64">E158+E159</f>
        <v>2023253</v>
      </c>
      <c r="F160" s="181">
        <f t="shared" si="64"/>
        <v>1997153</v>
      </c>
      <c r="G160" s="181">
        <f t="shared" si="64"/>
        <v>72898</v>
      </c>
      <c r="H160" s="181">
        <f t="shared" si="64"/>
        <v>1924255</v>
      </c>
      <c r="I160" s="181">
        <f t="shared" si="64"/>
        <v>0</v>
      </c>
      <c r="J160" s="181">
        <f t="shared" si="64"/>
        <v>26100</v>
      </c>
      <c r="K160" s="181">
        <f t="shared" si="64"/>
        <v>0</v>
      </c>
      <c r="L160" s="181">
        <f t="shared" si="64"/>
        <v>0</v>
      </c>
      <c r="M160" s="181">
        <f t="shared" si="64"/>
        <v>0</v>
      </c>
      <c r="N160" s="181">
        <f t="shared" si="64"/>
        <v>0</v>
      </c>
      <c r="O160" s="181">
        <f t="shared" si="64"/>
        <v>0</v>
      </c>
      <c r="P160" s="181">
        <f t="shared" si="64"/>
        <v>0</v>
      </c>
      <c r="Q160" s="182"/>
      <c r="R160" s="182"/>
      <c r="S160" s="182"/>
      <c r="T160" s="182"/>
      <c r="U160" s="182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  <c r="HN160" s="148"/>
      <c r="HO160" s="148"/>
      <c r="HP160" s="148"/>
      <c r="HQ160" s="148"/>
      <c r="HR160" s="148"/>
      <c r="HS160" s="148"/>
      <c r="HT160" s="148"/>
      <c r="HU160" s="148"/>
      <c r="HV160" s="148"/>
      <c r="HW160" s="148"/>
      <c r="HX160" s="148"/>
      <c r="HY160" s="148"/>
      <c r="HZ160" s="148"/>
      <c r="IA160" s="148"/>
      <c r="IB160" s="148"/>
      <c r="IC160" s="148"/>
      <c r="ID160" s="148"/>
      <c r="IE160" s="148"/>
      <c r="IF160" s="148"/>
      <c r="IG160" s="148"/>
      <c r="IH160" s="148"/>
      <c r="II160" s="148"/>
      <c r="IJ160" s="148"/>
      <c r="IK160" s="148"/>
      <c r="IL160" s="148"/>
      <c r="IM160" s="148"/>
      <c r="IN160" s="148"/>
      <c r="IO160" s="148"/>
      <c r="IP160" s="148"/>
      <c r="IQ160" s="148"/>
      <c r="IR160" s="148"/>
      <c r="IS160" s="148"/>
      <c r="IT160" s="148"/>
      <c r="IU160" s="148"/>
      <c r="IV160" s="148"/>
    </row>
    <row r="161" spans="1:256" ht="15" hidden="1">
      <c r="A161" s="835" t="s">
        <v>55</v>
      </c>
      <c r="B161" s="838" t="s">
        <v>56</v>
      </c>
      <c r="C161" s="183" t="s">
        <v>0</v>
      </c>
      <c r="D161" s="174">
        <f t="shared" ref="D161:P162" si="65">D164</f>
        <v>5000</v>
      </c>
      <c r="E161" s="175">
        <f t="shared" si="65"/>
        <v>5000</v>
      </c>
      <c r="F161" s="175">
        <f t="shared" si="65"/>
        <v>5000</v>
      </c>
      <c r="G161" s="175">
        <f t="shared" si="65"/>
        <v>0</v>
      </c>
      <c r="H161" s="175">
        <f t="shared" si="65"/>
        <v>5000</v>
      </c>
      <c r="I161" s="175">
        <f t="shared" si="65"/>
        <v>0</v>
      </c>
      <c r="J161" s="175">
        <f t="shared" si="65"/>
        <v>0</v>
      </c>
      <c r="K161" s="175">
        <f t="shared" si="65"/>
        <v>0</v>
      </c>
      <c r="L161" s="175">
        <f t="shared" si="65"/>
        <v>0</v>
      </c>
      <c r="M161" s="175">
        <f t="shared" si="65"/>
        <v>0</v>
      </c>
      <c r="N161" s="175">
        <f t="shared" si="65"/>
        <v>0</v>
      </c>
      <c r="O161" s="175">
        <f>O164</f>
        <v>0</v>
      </c>
      <c r="P161" s="175">
        <f t="shared" si="65"/>
        <v>0</v>
      </c>
      <c r="Q161" s="188"/>
      <c r="R161" s="188"/>
      <c r="S161" s="188"/>
      <c r="T161" s="188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  <c r="CW161" s="189"/>
      <c r="CX161" s="189"/>
      <c r="CY161" s="189"/>
      <c r="CZ161" s="189"/>
      <c r="DA161" s="189"/>
      <c r="DB161" s="189"/>
      <c r="DC161" s="189"/>
      <c r="DD161" s="189"/>
      <c r="DE161" s="189"/>
      <c r="DF161" s="189"/>
      <c r="DG161" s="189"/>
      <c r="DH161" s="189"/>
      <c r="DI161" s="189"/>
      <c r="DJ161" s="189"/>
      <c r="DK161" s="189"/>
      <c r="DL161" s="189"/>
      <c r="DM161" s="189"/>
      <c r="DN161" s="189"/>
      <c r="DO161" s="189"/>
      <c r="DP161" s="189"/>
      <c r="DQ161" s="189"/>
      <c r="DR161" s="189"/>
      <c r="DS161" s="189"/>
      <c r="DT161" s="189"/>
      <c r="DU161" s="189"/>
      <c r="DV161" s="189"/>
      <c r="DW161" s="189"/>
      <c r="DX161" s="189"/>
      <c r="DY161" s="189"/>
      <c r="DZ161" s="189"/>
      <c r="EA161" s="189"/>
      <c r="EB161" s="189"/>
      <c r="EC161" s="189"/>
      <c r="ED161" s="189"/>
      <c r="EE161" s="189"/>
      <c r="EF161" s="189"/>
      <c r="EG161" s="189"/>
      <c r="EH161" s="189"/>
      <c r="EI161" s="189"/>
      <c r="EJ161" s="189"/>
      <c r="EK161" s="189"/>
      <c r="EL161" s="189"/>
      <c r="EM161" s="189"/>
      <c r="EN161" s="189"/>
      <c r="EO161" s="189"/>
      <c r="EP161" s="189"/>
      <c r="EQ161" s="189"/>
      <c r="ER161" s="189"/>
      <c r="ES161" s="189"/>
      <c r="ET161" s="189"/>
      <c r="EU161" s="189"/>
      <c r="EV161" s="189"/>
      <c r="EW161" s="189"/>
      <c r="EX161" s="189"/>
      <c r="EY161" s="189"/>
      <c r="EZ161" s="189"/>
      <c r="FA161" s="189"/>
      <c r="FB161" s="189"/>
      <c r="FC161" s="189"/>
      <c r="FD161" s="189"/>
      <c r="FE161" s="189"/>
      <c r="FF161" s="189"/>
      <c r="FG161" s="189"/>
      <c r="FH161" s="189"/>
      <c r="FI161" s="189"/>
      <c r="FJ161" s="189"/>
      <c r="FK161" s="189"/>
      <c r="FL161" s="189"/>
      <c r="FM161" s="189"/>
      <c r="FN161" s="189"/>
      <c r="FO161" s="189"/>
      <c r="FP161" s="189"/>
      <c r="FQ161" s="189"/>
      <c r="FR161" s="189"/>
      <c r="FS161" s="189"/>
      <c r="FT161" s="189"/>
      <c r="FU161" s="189"/>
      <c r="FV161" s="189"/>
      <c r="FW161" s="189"/>
      <c r="FX161" s="189"/>
      <c r="FY161" s="189"/>
      <c r="FZ161" s="189"/>
      <c r="GA161" s="189"/>
      <c r="GB161" s="189"/>
      <c r="GC161" s="189"/>
      <c r="GD161" s="189"/>
      <c r="GE161" s="189"/>
      <c r="GF161" s="189"/>
      <c r="GG161" s="189"/>
      <c r="GH161" s="189"/>
      <c r="GI161" s="189"/>
      <c r="GJ161" s="189"/>
      <c r="GK161" s="189"/>
      <c r="GL161" s="189"/>
      <c r="GM161" s="189"/>
      <c r="GN161" s="189"/>
      <c r="GO161" s="189"/>
      <c r="GP161" s="189"/>
      <c r="GQ161" s="189"/>
      <c r="GR161" s="189"/>
      <c r="GS161" s="189"/>
      <c r="GT161" s="189"/>
      <c r="GU161" s="189"/>
      <c r="GV161" s="189"/>
      <c r="GW161" s="189"/>
      <c r="GX161" s="189"/>
      <c r="GY161" s="189"/>
      <c r="GZ161" s="189"/>
      <c r="HA161" s="189"/>
      <c r="HB161" s="189"/>
      <c r="HC161" s="189"/>
      <c r="HD161" s="189"/>
      <c r="HE161" s="189"/>
      <c r="HF161" s="189"/>
      <c r="HG161" s="189"/>
      <c r="HH161" s="189"/>
      <c r="HI161" s="189"/>
      <c r="HJ161" s="189"/>
      <c r="HK161" s="189"/>
      <c r="HL161" s="189"/>
      <c r="HM161" s="189"/>
      <c r="HN161" s="189"/>
      <c r="HO161" s="189"/>
      <c r="HP161" s="189"/>
      <c r="HQ161" s="189"/>
      <c r="HR161" s="189"/>
      <c r="HS161" s="189"/>
      <c r="HT161" s="189"/>
      <c r="HU161" s="189"/>
      <c r="HV161" s="189"/>
      <c r="HW161" s="189"/>
      <c r="HX161" s="189"/>
      <c r="HY161" s="189"/>
      <c r="HZ161" s="189"/>
      <c r="IA161" s="189"/>
      <c r="IB161" s="189"/>
      <c r="IC161" s="189"/>
      <c r="ID161" s="189"/>
      <c r="IE161" s="189"/>
      <c r="IF161" s="189"/>
      <c r="IG161" s="189"/>
      <c r="IH161" s="189"/>
      <c r="II161" s="189"/>
      <c r="IJ161" s="189"/>
      <c r="IK161" s="189"/>
      <c r="IL161" s="189"/>
      <c r="IM161" s="189"/>
      <c r="IN161" s="189"/>
      <c r="IO161" s="189"/>
      <c r="IP161" s="189"/>
      <c r="IQ161" s="189"/>
      <c r="IR161" s="189"/>
      <c r="IS161" s="189"/>
      <c r="IT161" s="189"/>
      <c r="IU161" s="189"/>
      <c r="IV161" s="189"/>
    </row>
    <row r="162" spans="1:256" ht="15" hidden="1">
      <c r="A162" s="836"/>
      <c r="B162" s="839"/>
      <c r="C162" s="183" t="s">
        <v>1</v>
      </c>
      <c r="D162" s="174">
        <f t="shared" si="65"/>
        <v>0</v>
      </c>
      <c r="E162" s="175">
        <f t="shared" si="65"/>
        <v>0</v>
      </c>
      <c r="F162" s="175">
        <f t="shared" si="65"/>
        <v>0</v>
      </c>
      <c r="G162" s="175">
        <f t="shared" si="65"/>
        <v>0</v>
      </c>
      <c r="H162" s="175">
        <f t="shared" si="65"/>
        <v>0</v>
      </c>
      <c r="I162" s="175">
        <f t="shared" si="65"/>
        <v>0</v>
      </c>
      <c r="J162" s="175">
        <f t="shared" si="65"/>
        <v>0</v>
      </c>
      <c r="K162" s="175">
        <f t="shared" si="65"/>
        <v>0</v>
      </c>
      <c r="L162" s="175">
        <f t="shared" si="65"/>
        <v>0</v>
      </c>
      <c r="M162" s="175">
        <f t="shared" si="65"/>
        <v>0</v>
      </c>
      <c r="N162" s="175">
        <f t="shared" si="65"/>
        <v>0</v>
      </c>
      <c r="O162" s="175">
        <f>O165</f>
        <v>0</v>
      </c>
      <c r="P162" s="175">
        <f t="shared" si="65"/>
        <v>0</v>
      </c>
      <c r="Q162" s="188"/>
      <c r="R162" s="188"/>
      <c r="S162" s="188"/>
      <c r="T162" s="188"/>
      <c r="U162" s="188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9"/>
      <c r="BW162" s="189"/>
      <c r="BX162" s="189"/>
      <c r="BY162" s="189"/>
      <c r="BZ162" s="189"/>
      <c r="CA162" s="189"/>
      <c r="CB162" s="189"/>
      <c r="CC162" s="189"/>
      <c r="CD162" s="189"/>
      <c r="CE162" s="189"/>
      <c r="CF162" s="189"/>
      <c r="CG162" s="189"/>
      <c r="CH162" s="189"/>
      <c r="CI162" s="189"/>
      <c r="CJ162" s="189"/>
      <c r="CK162" s="189"/>
      <c r="CL162" s="189"/>
      <c r="CM162" s="189"/>
      <c r="CN162" s="189"/>
      <c r="CO162" s="189"/>
      <c r="CP162" s="189"/>
      <c r="CQ162" s="189"/>
      <c r="CR162" s="189"/>
      <c r="CS162" s="189"/>
      <c r="CT162" s="189"/>
      <c r="CU162" s="189"/>
      <c r="CV162" s="189"/>
      <c r="CW162" s="189"/>
      <c r="CX162" s="189"/>
      <c r="CY162" s="189"/>
      <c r="CZ162" s="189"/>
      <c r="DA162" s="189"/>
      <c r="DB162" s="189"/>
      <c r="DC162" s="189"/>
      <c r="DD162" s="189"/>
      <c r="DE162" s="189"/>
      <c r="DF162" s="189"/>
      <c r="DG162" s="189"/>
      <c r="DH162" s="189"/>
      <c r="DI162" s="189"/>
      <c r="DJ162" s="189"/>
      <c r="DK162" s="189"/>
      <c r="DL162" s="189"/>
      <c r="DM162" s="189"/>
      <c r="DN162" s="189"/>
      <c r="DO162" s="189"/>
      <c r="DP162" s="189"/>
      <c r="DQ162" s="189"/>
      <c r="DR162" s="189"/>
      <c r="DS162" s="189"/>
      <c r="DT162" s="189"/>
      <c r="DU162" s="189"/>
      <c r="DV162" s="189"/>
      <c r="DW162" s="189"/>
      <c r="DX162" s="189"/>
      <c r="DY162" s="189"/>
      <c r="DZ162" s="189"/>
      <c r="EA162" s="189"/>
      <c r="EB162" s="189"/>
      <c r="EC162" s="189"/>
      <c r="ED162" s="189"/>
      <c r="EE162" s="189"/>
      <c r="EF162" s="189"/>
      <c r="EG162" s="189"/>
      <c r="EH162" s="189"/>
      <c r="EI162" s="189"/>
      <c r="EJ162" s="189"/>
      <c r="EK162" s="189"/>
      <c r="EL162" s="189"/>
      <c r="EM162" s="189"/>
      <c r="EN162" s="189"/>
      <c r="EO162" s="189"/>
      <c r="EP162" s="189"/>
      <c r="EQ162" s="189"/>
      <c r="ER162" s="189"/>
      <c r="ES162" s="189"/>
      <c r="ET162" s="189"/>
      <c r="EU162" s="189"/>
      <c r="EV162" s="189"/>
      <c r="EW162" s="189"/>
      <c r="EX162" s="189"/>
      <c r="EY162" s="189"/>
      <c r="EZ162" s="189"/>
      <c r="FA162" s="189"/>
      <c r="FB162" s="189"/>
      <c r="FC162" s="189"/>
      <c r="FD162" s="189"/>
      <c r="FE162" s="189"/>
      <c r="FF162" s="189"/>
      <c r="FG162" s="189"/>
      <c r="FH162" s="189"/>
      <c r="FI162" s="189"/>
      <c r="FJ162" s="189"/>
      <c r="FK162" s="189"/>
      <c r="FL162" s="189"/>
      <c r="FM162" s="189"/>
      <c r="FN162" s="189"/>
      <c r="FO162" s="189"/>
      <c r="FP162" s="189"/>
      <c r="FQ162" s="189"/>
      <c r="FR162" s="189"/>
      <c r="FS162" s="189"/>
      <c r="FT162" s="189"/>
      <c r="FU162" s="189"/>
      <c r="FV162" s="189"/>
      <c r="FW162" s="189"/>
      <c r="FX162" s="189"/>
      <c r="FY162" s="189"/>
      <c r="FZ162" s="189"/>
      <c r="GA162" s="189"/>
      <c r="GB162" s="189"/>
      <c r="GC162" s="189"/>
      <c r="GD162" s="189"/>
      <c r="GE162" s="189"/>
      <c r="GF162" s="189"/>
      <c r="GG162" s="189"/>
      <c r="GH162" s="189"/>
      <c r="GI162" s="189"/>
      <c r="GJ162" s="189"/>
      <c r="GK162" s="189"/>
      <c r="GL162" s="189"/>
      <c r="GM162" s="189"/>
      <c r="GN162" s="189"/>
      <c r="GO162" s="189"/>
      <c r="GP162" s="189"/>
      <c r="GQ162" s="189"/>
      <c r="GR162" s="189"/>
      <c r="GS162" s="189"/>
      <c r="GT162" s="189"/>
      <c r="GU162" s="189"/>
      <c r="GV162" s="189"/>
      <c r="GW162" s="189"/>
      <c r="GX162" s="189"/>
      <c r="GY162" s="189"/>
      <c r="GZ162" s="189"/>
      <c r="HA162" s="189"/>
      <c r="HB162" s="189"/>
      <c r="HC162" s="189"/>
      <c r="HD162" s="189"/>
      <c r="HE162" s="189"/>
      <c r="HF162" s="189"/>
      <c r="HG162" s="189"/>
      <c r="HH162" s="189"/>
      <c r="HI162" s="189"/>
      <c r="HJ162" s="189"/>
      <c r="HK162" s="189"/>
      <c r="HL162" s="189"/>
      <c r="HM162" s="189"/>
      <c r="HN162" s="189"/>
      <c r="HO162" s="189"/>
      <c r="HP162" s="189"/>
      <c r="HQ162" s="189"/>
      <c r="HR162" s="189"/>
      <c r="HS162" s="189"/>
      <c r="HT162" s="189"/>
      <c r="HU162" s="189"/>
      <c r="HV162" s="189"/>
      <c r="HW162" s="189"/>
      <c r="HX162" s="189"/>
      <c r="HY162" s="189"/>
      <c r="HZ162" s="189"/>
      <c r="IA162" s="189"/>
      <c r="IB162" s="189"/>
      <c r="IC162" s="189"/>
      <c r="ID162" s="189"/>
      <c r="IE162" s="189"/>
      <c r="IF162" s="189"/>
      <c r="IG162" s="189"/>
      <c r="IH162" s="189"/>
      <c r="II162" s="189"/>
      <c r="IJ162" s="189"/>
      <c r="IK162" s="189"/>
      <c r="IL162" s="189"/>
      <c r="IM162" s="189"/>
      <c r="IN162" s="189"/>
      <c r="IO162" s="189"/>
      <c r="IP162" s="189"/>
      <c r="IQ162" s="189"/>
      <c r="IR162" s="189"/>
      <c r="IS162" s="189"/>
      <c r="IT162" s="189"/>
      <c r="IU162" s="189"/>
      <c r="IV162" s="189"/>
    </row>
    <row r="163" spans="1:256" ht="15" hidden="1">
      <c r="A163" s="837"/>
      <c r="B163" s="840"/>
      <c r="C163" s="183" t="s">
        <v>2</v>
      </c>
      <c r="D163" s="174">
        <f>D161+D162</f>
        <v>5000</v>
      </c>
      <c r="E163" s="175">
        <f t="shared" ref="E163:P163" si="66">E161+E162</f>
        <v>5000</v>
      </c>
      <c r="F163" s="175">
        <f t="shared" si="66"/>
        <v>5000</v>
      </c>
      <c r="G163" s="175">
        <f t="shared" si="66"/>
        <v>0</v>
      </c>
      <c r="H163" s="175">
        <f t="shared" si="66"/>
        <v>5000</v>
      </c>
      <c r="I163" s="175">
        <f t="shared" si="66"/>
        <v>0</v>
      </c>
      <c r="J163" s="175">
        <f t="shared" si="66"/>
        <v>0</v>
      </c>
      <c r="K163" s="175">
        <f t="shared" si="66"/>
        <v>0</v>
      </c>
      <c r="L163" s="175">
        <f t="shared" si="66"/>
        <v>0</v>
      </c>
      <c r="M163" s="175">
        <f t="shared" si="66"/>
        <v>0</v>
      </c>
      <c r="N163" s="175">
        <f t="shared" si="66"/>
        <v>0</v>
      </c>
      <c r="O163" s="175">
        <f t="shared" si="66"/>
        <v>0</v>
      </c>
      <c r="P163" s="175">
        <f t="shared" si="66"/>
        <v>0</v>
      </c>
      <c r="Q163" s="188"/>
      <c r="R163" s="188"/>
      <c r="S163" s="188"/>
      <c r="T163" s="188"/>
      <c r="U163" s="188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189"/>
      <c r="DM163" s="189"/>
      <c r="DN163" s="189"/>
      <c r="DO163" s="189"/>
      <c r="DP163" s="189"/>
      <c r="DQ163" s="189"/>
      <c r="DR163" s="189"/>
      <c r="DS163" s="189"/>
      <c r="DT163" s="189"/>
      <c r="DU163" s="189"/>
      <c r="DV163" s="189"/>
      <c r="DW163" s="189"/>
      <c r="DX163" s="189"/>
      <c r="DY163" s="189"/>
      <c r="DZ163" s="189"/>
      <c r="EA163" s="189"/>
      <c r="EB163" s="189"/>
      <c r="EC163" s="189"/>
      <c r="ED163" s="189"/>
      <c r="EE163" s="189"/>
      <c r="EF163" s="189"/>
      <c r="EG163" s="189"/>
      <c r="EH163" s="189"/>
      <c r="EI163" s="189"/>
      <c r="EJ163" s="189"/>
      <c r="EK163" s="189"/>
      <c r="EL163" s="189"/>
      <c r="EM163" s="189"/>
      <c r="EN163" s="189"/>
      <c r="EO163" s="189"/>
      <c r="EP163" s="189"/>
      <c r="EQ163" s="189"/>
      <c r="ER163" s="189"/>
      <c r="ES163" s="189"/>
      <c r="ET163" s="189"/>
      <c r="EU163" s="189"/>
      <c r="EV163" s="189"/>
      <c r="EW163" s="189"/>
      <c r="EX163" s="189"/>
      <c r="EY163" s="189"/>
      <c r="EZ163" s="189"/>
      <c r="FA163" s="189"/>
      <c r="FB163" s="189"/>
      <c r="FC163" s="189"/>
      <c r="FD163" s="189"/>
      <c r="FE163" s="189"/>
      <c r="FF163" s="189"/>
      <c r="FG163" s="189"/>
      <c r="FH163" s="189"/>
      <c r="FI163" s="189"/>
      <c r="FJ163" s="189"/>
      <c r="FK163" s="189"/>
      <c r="FL163" s="189"/>
      <c r="FM163" s="189"/>
      <c r="FN163" s="189"/>
      <c r="FO163" s="189"/>
      <c r="FP163" s="189"/>
      <c r="FQ163" s="189"/>
      <c r="FR163" s="189"/>
      <c r="FS163" s="189"/>
      <c r="FT163" s="189"/>
      <c r="FU163" s="189"/>
      <c r="FV163" s="189"/>
      <c r="FW163" s="189"/>
      <c r="FX163" s="189"/>
      <c r="FY163" s="189"/>
      <c r="FZ163" s="189"/>
      <c r="GA163" s="189"/>
      <c r="GB163" s="189"/>
      <c r="GC163" s="189"/>
      <c r="GD163" s="189"/>
      <c r="GE163" s="189"/>
      <c r="GF163" s="189"/>
      <c r="GG163" s="189"/>
      <c r="GH163" s="189"/>
      <c r="GI163" s="189"/>
      <c r="GJ163" s="189"/>
      <c r="GK163" s="189"/>
      <c r="GL163" s="189"/>
      <c r="GM163" s="189"/>
      <c r="GN163" s="189"/>
      <c r="GO163" s="189"/>
      <c r="GP163" s="189"/>
      <c r="GQ163" s="189"/>
      <c r="GR163" s="189"/>
      <c r="GS163" s="189"/>
      <c r="GT163" s="189"/>
      <c r="GU163" s="189"/>
      <c r="GV163" s="189"/>
      <c r="GW163" s="189"/>
      <c r="GX163" s="189"/>
      <c r="GY163" s="189"/>
      <c r="GZ163" s="189"/>
      <c r="HA163" s="189"/>
      <c r="HB163" s="189"/>
      <c r="HC163" s="189"/>
      <c r="HD163" s="189"/>
      <c r="HE163" s="189"/>
      <c r="HF163" s="189"/>
      <c r="HG163" s="189"/>
      <c r="HH163" s="189"/>
      <c r="HI163" s="189"/>
      <c r="HJ163" s="189"/>
      <c r="HK163" s="189"/>
      <c r="HL163" s="189"/>
      <c r="HM163" s="189"/>
      <c r="HN163" s="189"/>
      <c r="HO163" s="189"/>
      <c r="HP163" s="189"/>
      <c r="HQ163" s="189"/>
      <c r="HR163" s="189"/>
      <c r="HS163" s="189"/>
      <c r="HT163" s="189"/>
      <c r="HU163" s="189"/>
      <c r="HV163" s="189"/>
      <c r="HW163" s="189"/>
      <c r="HX163" s="189"/>
      <c r="HY163" s="189"/>
      <c r="HZ163" s="189"/>
      <c r="IA163" s="189"/>
      <c r="IB163" s="189"/>
      <c r="IC163" s="189"/>
      <c r="ID163" s="189"/>
      <c r="IE163" s="189"/>
      <c r="IF163" s="189"/>
      <c r="IG163" s="189"/>
      <c r="IH163" s="189"/>
      <c r="II163" s="189"/>
      <c r="IJ163" s="189"/>
      <c r="IK163" s="189"/>
      <c r="IL163" s="189"/>
      <c r="IM163" s="189"/>
      <c r="IN163" s="189"/>
      <c r="IO163" s="189"/>
      <c r="IP163" s="189"/>
      <c r="IQ163" s="189"/>
      <c r="IR163" s="189"/>
      <c r="IS163" s="189"/>
      <c r="IT163" s="189"/>
      <c r="IU163" s="189"/>
      <c r="IV163" s="189"/>
    </row>
    <row r="164" spans="1:256" hidden="1">
      <c r="A164" s="841" t="s">
        <v>239</v>
      </c>
      <c r="B164" s="844" t="s">
        <v>240</v>
      </c>
      <c r="C164" s="178" t="s">
        <v>0</v>
      </c>
      <c r="D164" s="180">
        <f>E164+M164</f>
        <v>5000</v>
      </c>
      <c r="E164" s="181">
        <f>F164+I164+J164+K164+L164</f>
        <v>5000</v>
      </c>
      <c r="F164" s="181">
        <f>G164+H164</f>
        <v>5000</v>
      </c>
      <c r="G164" s="181">
        <v>0</v>
      </c>
      <c r="H164" s="181">
        <v>5000</v>
      </c>
      <c r="I164" s="181">
        <v>0</v>
      </c>
      <c r="J164" s="181">
        <v>0</v>
      </c>
      <c r="K164" s="181">
        <v>0</v>
      </c>
      <c r="L164" s="181">
        <v>0</v>
      </c>
      <c r="M164" s="181">
        <f>N164+P164</f>
        <v>0</v>
      </c>
      <c r="N164" s="181">
        <v>0</v>
      </c>
      <c r="O164" s="181">
        <v>0</v>
      </c>
      <c r="P164" s="181">
        <v>0</v>
      </c>
      <c r="Q164" s="182"/>
      <c r="R164" s="182"/>
      <c r="S164" s="182"/>
      <c r="T164" s="182"/>
      <c r="U164" s="182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  <c r="HN164" s="148"/>
      <c r="HO164" s="148"/>
      <c r="HP164" s="148"/>
      <c r="HQ164" s="148"/>
      <c r="HR164" s="148"/>
      <c r="HS164" s="148"/>
      <c r="HT164" s="148"/>
      <c r="HU164" s="148"/>
      <c r="HV164" s="148"/>
      <c r="HW164" s="148"/>
      <c r="HX164" s="148"/>
      <c r="HY164" s="148"/>
      <c r="HZ164" s="148"/>
      <c r="IA164" s="148"/>
      <c r="IB164" s="148"/>
      <c r="IC164" s="148"/>
      <c r="ID164" s="148"/>
      <c r="IE164" s="148"/>
      <c r="IF164" s="148"/>
      <c r="IG164" s="148"/>
      <c r="IH164" s="148"/>
      <c r="II164" s="148"/>
      <c r="IJ164" s="148"/>
      <c r="IK164" s="148"/>
      <c r="IL164" s="148"/>
      <c r="IM164" s="148"/>
      <c r="IN164" s="148"/>
      <c r="IO164" s="148"/>
      <c r="IP164" s="148"/>
      <c r="IQ164" s="148"/>
      <c r="IR164" s="148"/>
      <c r="IS164" s="148"/>
      <c r="IT164" s="148"/>
      <c r="IU164" s="148"/>
      <c r="IV164" s="148"/>
    </row>
    <row r="165" spans="1:256" hidden="1">
      <c r="A165" s="842"/>
      <c r="B165" s="845"/>
      <c r="C165" s="178" t="s">
        <v>1</v>
      </c>
      <c r="D165" s="180">
        <f>E165+M165</f>
        <v>0</v>
      </c>
      <c r="E165" s="181">
        <f>F165+I165+J165+K165+L165</f>
        <v>0</v>
      </c>
      <c r="F165" s="181">
        <f>G165+H165</f>
        <v>0</v>
      </c>
      <c r="G165" s="181"/>
      <c r="H165" s="181"/>
      <c r="I165" s="181"/>
      <c r="J165" s="181"/>
      <c r="K165" s="181"/>
      <c r="L165" s="181"/>
      <c r="M165" s="181">
        <f>N165+P165</f>
        <v>0</v>
      </c>
      <c r="N165" s="181"/>
      <c r="O165" s="181"/>
      <c r="P165" s="181"/>
      <c r="Q165" s="182"/>
      <c r="R165" s="182"/>
      <c r="S165" s="182"/>
      <c r="T165" s="182"/>
      <c r="U165" s="182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  <c r="HQ165" s="148"/>
      <c r="HR165" s="148"/>
      <c r="HS165" s="148"/>
      <c r="HT165" s="148"/>
      <c r="HU165" s="148"/>
      <c r="HV165" s="148"/>
      <c r="HW165" s="148"/>
      <c r="HX165" s="148"/>
      <c r="HY165" s="148"/>
      <c r="HZ165" s="148"/>
      <c r="IA165" s="148"/>
      <c r="IB165" s="148"/>
      <c r="IC165" s="148"/>
      <c r="ID165" s="148"/>
      <c r="IE165" s="148"/>
      <c r="IF165" s="148"/>
      <c r="IG165" s="148"/>
      <c r="IH165" s="148"/>
      <c r="II165" s="148"/>
      <c r="IJ165" s="148"/>
      <c r="IK165" s="148"/>
      <c r="IL165" s="148"/>
      <c r="IM165" s="148"/>
      <c r="IN165" s="148"/>
      <c r="IO165" s="148"/>
      <c r="IP165" s="148"/>
      <c r="IQ165" s="148"/>
      <c r="IR165" s="148"/>
      <c r="IS165" s="148"/>
      <c r="IT165" s="148"/>
      <c r="IU165" s="148"/>
      <c r="IV165" s="148"/>
    </row>
    <row r="166" spans="1:256" hidden="1">
      <c r="A166" s="843"/>
      <c r="B166" s="846"/>
      <c r="C166" s="178" t="s">
        <v>2</v>
      </c>
      <c r="D166" s="180">
        <f>D164+D165</f>
        <v>5000</v>
      </c>
      <c r="E166" s="181">
        <f t="shared" ref="E166:P166" si="67">E164+E165</f>
        <v>5000</v>
      </c>
      <c r="F166" s="181">
        <f t="shared" si="67"/>
        <v>5000</v>
      </c>
      <c r="G166" s="181">
        <f t="shared" si="67"/>
        <v>0</v>
      </c>
      <c r="H166" s="181">
        <f t="shared" si="67"/>
        <v>5000</v>
      </c>
      <c r="I166" s="181">
        <f t="shared" si="67"/>
        <v>0</v>
      </c>
      <c r="J166" s="181">
        <f t="shared" si="67"/>
        <v>0</v>
      </c>
      <c r="K166" s="181">
        <f t="shared" si="67"/>
        <v>0</v>
      </c>
      <c r="L166" s="181">
        <f t="shared" si="67"/>
        <v>0</v>
      </c>
      <c r="M166" s="181">
        <f t="shared" si="67"/>
        <v>0</v>
      </c>
      <c r="N166" s="181">
        <f t="shared" si="67"/>
        <v>0</v>
      </c>
      <c r="O166" s="181">
        <f t="shared" si="67"/>
        <v>0</v>
      </c>
      <c r="P166" s="181">
        <f t="shared" si="67"/>
        <v>0</v>
      </c>
      <c r="Q166" s="182"/>
      <c r="R166" s="182"/>
      <c r="S166" s="182"/>
      <c r="T166" s="182"/>
      <c r="U166" s="182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  <c r="HQ166" s="148"/>
      <c r="HR166" s="148"/>
      <c r="HS166" s="148"/>
      <c r="HT166" s="148"/>
      <c r="HU166" s="148"/>
      <c r="HV166" s="148"/>
      <c r="HW166" s="148"/>
      <c r="HX166" s="148"/>
      <c r="HY166" s="148"/>
      <c r="HZ166" s="148"/>
      <c r="IA166" s="148"/>
      <c r="IB166" s="148"/>
      <c r="IC166" s="148"/>
      <c r="ID166" s="148"/>
      <c r="IE166" s="148"/>
      <c r="IF166" s="148"/>
      <c r="IG166" s="148"/>
      <c r="IH166" s="148"/>
      <c r="II166" s="148"/>
      <c r="IJ166" s="148"/>
      <c r="IK166" s="148"/>
      <c r="IL166" s="148"/>
      <c r="IM166" s="148"/>
      <c r="IN166" s="148"/>
      <c r="IO166" s="148"/>
      <c r="IP166" s="148"/>
      <c r="IQ166" s="148"/>
      <c r="IR166" s="148"/>
      <c r="IS166" s="148"/>
      <c r="IT166" s="148"/>
      <c r="IU166" s="148"/>
      <c r="IV166" s="148"/>
    </row>
    <row r="167" spans="1:256" ht="15">
      <c r="A167" s="835" t="s">
        <v>102</v>
      </c>
      <c r="B167" s="838" t="s">
        <v>103</v>
      </c>
      <c r="C167" s="183" t="s">
        <v>0</v>
      </c>
      <c r="D167" s="192">
        <f>D173+D170</f>
        <v>879581</v>
      </c>
      <c r="E167" s="193">
        <f>E173+E170</f>
        <v>861781</v>
      </c>
      <c r="F167" s="193">
        <f t="shared" ref="F167:P168" si="68">F173+F170</f>
        <v>856700</v>
      </c>
      <c r="G167" s="193">
        <f t="shared" si="68"/>
        <v>0</v>
      </c>
      <c r="H167" s="193">
        <f t="shared" si="68"/>
        <v>856700</v>
      </c>
      <c r="I167" s="193">
        <f t="shared" si="68"/>
        <v>0</v>
      </c>
      <c r="J167" s="193">
        <f t="shared" si="68"/>
        <v>0</v>
      </c>
      <c r="K167" s="193">
        <f t="shared" si="68"/>
        <v>5081</v>
      </c>
      <c r="L167" s="193">
        <f t="shared" si="68"/>
        <v>0</v>
      </c>
      <c r="M167" s="193">
        <f t="shared" si="68"/>
        <v>17800</v>
      </c>
      <c r="N167" s="193">
        <f t="shared" si="68"/>
        <v>17800</v>
      </c>
      <c r="O167" s="193">
        <f t="shared" si="68"/>
        <v>17800</v>
      </c>
      <c r="P167" s="193">
        <f t="shared" si="68"/>
        <v>0</v>
      </c>
      <c r="Q167" s="194"/>
      <c r="R167" s="194"/>
      <c r="S167" s="194"/>
      <c r="T167" s="194"/>
      <c r="U167" s="194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</row>
    <row r="168" spans="1:256" ht="15">
      <c r="A168" s="836"/>
      <c r="B168" s="839"/>
      <c r="C168" s="183" t="s">
        <v>1</v>
      </c>
      <c r="D168" s="192">
        <f>D174+D171</f>
        <v>293670</v>
      </c>
      <c r="E168" s="193">
        <f>E174+E171</f>
        <v>293670</v>
      </c>
      <c r="F168" s="193">
        <f t="shared" si="68"/>
        <v>293670</v>
      </c>
      <c r="G168" s="193">
        <f t="shared" si="68"/>
        <v>0</v>
      </c>
      <c r="H168" s="193">
        <f t="shared" si="68"/>
        <v>293670</v>
      </c>
      <c r="I168" s="193">
        <f t="shared" si="68"/>
        <v>0</v>
      </c>
      <c r="J168" s="193">
        <f t="shared" si="68"/>
        <v>0</v>
      </c>
      <c r="K168" s="193">
        <f t="shared" si="68"/>
        <v>0</v>
      </c>
      <c r="L168" s="193">
        <f t="shared" si="68"/>
        <v>0</v>
      </c>
      <c r="M168" s="193">
        <f t="shared" si="68"/>
        <v>0</v>
      </c>
      <c r="N168" s="193">
        <f t="shared" si="68"/>
        <v>0</v>
      </c>
      <c r="O168" s="193">
        <f t="shared" si="68"/>
        <v>0</v>
      </c>
      <c r="P168" s="193">
        <f t="shared" si="68"/>
        <v>0</v>
      </c>
      <c r="Q168" s="194"/>
      <c r="R168" s="194"/>
      <c r="S168" s="194"/>
      <c r="T168" s="194"/>
      <c r="U168" s="194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</row>
    <row r="169" spans="1:256" ht="15">
      <c r="A169" s="837"/>
      <c r="B169" s="840"/>
      <c r="C169" s="183" t="s">
        <v>2</v>
      </c>
      <c r="D169" s="192">
        <f>D167+D168</f>
        <v>1173251</v>
      </c>
      <c r="E169" s="193">
        <f t="shared" ref="E169:P169" si="69">E167+E168</f>
        <v>1155451</v>
      </c>
      <c r="F169" s="193">
        <f t="shared" si="69"/>
        <v>1150370</v>
      </c>
      <c r="G169" s="193">
        <f t="shared" si="69"/>
        <v>0</v>
      </c>
      <c r="H169" s="193">
        <f t="shared" si="69"/>
        <v>1150370</v>
      </c>
      <c r="I169" s="193">
        <f t="shared" si="69"/>
        <v>0</v>
      </c>
      <c r="J169" s="193">
        <f t="shared" si="69"/>
        <v>0</v>
      </c>
      <c r="K169" s="193">
        <f t="shared" si="69"/>
        <v>5081</v>
      </c>
      <c r="L169" s="193">
        <f t="shared" si="69"/>
        <v>0</v>
      </c>
      <c r="M169" s="193">
        <f t="shared" si="69"/>
        <v>17800</v>
      </c>
      <c r="N169" s="193">
        <f t="shared" si="69"/>
        <v>17800</v>
      </c>
      <c r="O169" s="193">
        <f t="shared" si="69"/>
        <v>17800</v>
      </c>
      <c r="P169" s="193">
        <f t="shared" si="69"/>
        <v>0</v>
      </c>
      <c r="Q169" s="194"/>
      <c r="R169" s="194"/>
      <c r="S169" s="194"/>
      <c r="T169" s="194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</row>
    <row r="170" spans="1:256" hidden="1">
      <c r="A170" s="841" t="s">
        <v>241</v>
      </c>
      <c r="B170" s="844" t="s">
        <v>242</v>
      </c>
      <c r="C170" s="178" t="s">
        <v>0</v>
      </c>
      <c r="D170" s="180">
        <f>E170+M170</f>
        <v>22881</v>
      </c>
      <c r="E170" s="181">
        <f>F170+I170+J170+K170+L170</f>
        <v>5081</v>
      </c>
      <c r="F170" s="181">
        <f>G170+H170</f>
        <v>0</v>
      </c>
      <c r="G170" s="181">
        <v>0</v>
      </c>
      <c r="H170" s="181">
        <v>0</v>
      </c>
      <c r="I170" s="181">
        <v>0</v>
      </c>
      <c r="J170" s="181">
        <v>0</v>
      </c>
      <c r="K170" s="181">
        <v>5081</v>
      </c>
      <c r="L170" s="181">
        <v>0</v>
      </c>
      <c r="M170" s="181">
        <f>N170+P170</f>
        <v>17800</v>
      </c>
      <c r="N170" s="181">
        <v>17800</v>
      </c>
      <c r="O170" s="181">
        <v>17800</v>
      </c>
      <c r="P170" s="181">
        <v>0</v>
      </c>
      <c r="Q170" s="182"/>
      <c r="R170" s="182"/>
      <c r="S170" s="182"/>
      <c r="T170" s="182"/>
      <c r="U170" s="182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  <c r="GR170" s="148"/>
      <c r="GS170" s="148"/>
      <c r="GT170" s="148"/>
      <c r="GU170" s="148"/>
      <c r="GV170" s="148"/>
      <c r="GW170" s="148"/>
      <c r="GX170" s="148"/>
      <c r="GY170" s="148"/>
      <c r="GZ170" s="148"/>
      <c r="HA170" s="148"/>
      <c r="HB170" s="148"/>
      <c r="HC170" s="148"/>
      <c r="HD170" s="148"/>
      <c r="HE170" s="148"/>
      <c r="HF170" s="148"/>
      <c r="HG170" s="148"/>
      <c r="HH170" s="148"/>
      <c r="HI170" s="148"/>
      <c r="HJ170" s="148"/>
      <c r="HK170" s="148"/>
      <c r="HL170" s="148"/>
      <c r="HM170" s="148"/>
      <c r="HN170" s="148"/>
      <c r="HO170" s="148"/>
      <c r="HP170" s="148"/>
      <c r="HQ170" s="148"/>
      <c r="HR170" s="148"/>
      <c r="HS170" s="148"/>
      <c r="HT170" s="148"/>
      <c r="HU170" s="148"/>
      <c r="HV170" s="148"/>
      <c r="HW170" s="148"/>
      <c r="HX170" s="148"/>
      <c r="HY170" s="148"/>
      <c r="HZ170" s="148"/>
      <c r="IA170" s="148"/>
      <c r="IB170" s="148"/>
      <c r="IC170" s="148"/>
      <c r="ID170" s="148"/>
      <c r="IE170" s="148"/>
      <c r="IF170" s="148"/>
      <c r="IG170" s="148"/>
      <c r="IH170" s="148"/>
      <c r="II170" s="148"/>
      <c r="IJ170" s="148"/>
      <c r="IK170" s="148"/>
      <c r="IL170" s="148"/>
      <c r="IM170" s="148"/>
      <c r="IN170" s="148"/>
      <c r="IO170" s="148"/>
      <c r="IP170" s="148"/>
      <c r="IQ170" s="148"/>
      <c r="IR170" s="148"/>
      <c r="IS170" s="148"/>
      <c r="IT170" s="148"/>
      <c r="IU170" s="148"/>
      <c r="IV170" s="148"/>
    </row>
    <row r="171" spans="1:256" hidden="1">
      <c r="A171" s="842"/>
      <c r="B171" s="845"/>
      <c r="C171" s="178" t="s">
        <v>1</v>
      </c>
      <c r="D171" s="180">
        <f>E171+M171</f>
        <v>0</v>
      </c>
      <c r="E171" s="181">
        <f>F171+I171+J171+K171+L171</f>
        <v>0</v>
      </c>
      <c r="F171" s="181">
        <f>G171+H171</f>
        <v>0</v>
      </c>
      <c r="G171" s="181"/>
      <c r="H171" s="181"/>
      <c r="I171" s="181"/>
      <c r="J171" s="181"/>
      <c r="K171" s="181"/>
      <c r="L171" s="181"/>
      <c r="M171" s="181">
        <f>N171+P171</f>
        <v>0</v>
      </c>
      <c r="N171" s="181"/>
      <c r="O171" s="181"/>
      <c r="P171" s="181"/>
      <c r="Q171" s="182"/>
      <c r="R171" s="182"/>
      <c r="S171" s="182"/>
      <c r="T171" s="182"/>
      <c r="U171" s="182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  <c r="GR171" s="148"/>
      <c r="GS171" s="148"/>
      <c r="GT171" s="148"/>
      <c r="GU171" s="148"/>
      <c r="GV171" s="148"/>
      <c r="GW171" s="148"/>
      <c r="GX171" s="148"/>
      <c r="GY171" s="148"/>
      <c r="GZ171" s="148"/>
      <c r="HA171" s="148"/>
      <c r="HB171" s="148"/>
      <c r="HC171" s="148"/>
      <c r="HD171" s="148"/>
      <c r="HE171" s="148"/>
      <c r="HF171" s="148"/>
      <c r="HG171" s="148"/>
      <c r="HH171" s="148"/>
      <c r="HI171" s="148"/>
      <c r="HJ171" s="148"/>
      <c r="HK171" s="148"/>
      <c r="HL171" s="148"/>
      <c r="HM171" s="148"/>
      <c r="HN171" s="148"/>
      <c r="HO171" s="148"/>
      <c r="HP171" s="148"/>
      <c r="HQ171" s="148"/>
      <c r="HR171" s="148"/>
      <c r="HS171" s="148"/>
      <c r="HT171" s="148"/>
      <c r="HU171" s="148"/>
      <c r="HV171" s="148"/>
      <c r="HW171" s="148"/>
      <c r="HX171" s="148"/>
      <c r="HY171" s="148"/>
      <c r="HZ171" s="148"/>
      <c r="IA171" s="148"/>
      <c r="IB171" s="148"/>
      <c r="IC171" s="148"/>
      <c r="ID171" s="148"/>
      <c r="IE171" s="148"/>
      <c r="IF171" s="148"/>
      <c r="IG171" s="148"/>
      <c r="IH171" s="148"/>
      <c r="II171" s="148"/>
      <c r="IJ171" s="148"/>
      <c r="IK171" s="148"/>
      <c r="IL171" s="148"/>
      <c r="IM171" s="148"/>
      <c r="IN171" s="148"/>
      <c r="IO171" s="148"/>
      <c r="IP171" s="148"/>
      <c r="IQ171" s="148"/>
      <c r="IR171" s="148"/>
      <c r="IS171" s="148"/>
      <c r="IT171" s="148"/>
      <c r="IU171" s="148"/>
      <c r="IV171" s="148"/>
    </row>
    <row r="172" spans="1:256" hidden="1">
      <c r="A172" s="843"/>
      <c r="B172" s="846"/>
      <c r="C172" s="178" t="s">
        <v>2</v>
      </c>
      <c r="D172" s="180">
        <f>D170+D171</f>
        <v>22881</v>
      </c>
      <c r="E172" s="181">
        <f t="shared" ref="E172:P172" si="70">E170+E171</f>
        <v>5081</v>
      </c>
      <c r="F172" s="181">
        <f t="shared" si="70"/>
        <v>0</v>
      </c>
      <c r="G172" s="181">
        <f t="shared" si="70"/>
        <v>0</v>
      </c>
      <c r="H172" s="181">
        <f t="shared" si="70"/>
        <v>0</v>
      </c>
      <c r="I172" s="181">
        <f t="shared" si="70"/>
        <v>0</v>
      </c>
      <c r="J172" s="181">
        <f t="shared" si="70"/>
        <v>0</v>
      </c>
      <c r="K172" s="181">
        <f t="shared" si="70"/>
        <v>5081</v>
      </c>
      <c r="L172" s="181">
        <f t="shared" si="70"/>
        <v>0</v>
      </c>
      <c r="M172" s="181">
        <f t="shared" si="70"/>
        <v>17800</v>
      </c>
      <c r="N172" s="181">
        <f t="shared" si="70"/>
        <v>17800</v>
      </c>
      <c r="O172" s="181">
        <f t="shared" si="70"/>
        <v>17800</v>
      </c>
      <c r="P172" s="181">
        <f t="shared" si="70"/>
        <v>0</v>
      </c>
      <c r="Q172" s="182"/>
      <c r="R172" s="182"/>
      <c r="S172" s="182"/>
      <c r="T172" s="182"/>
      <c r="U172" s="182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  <c r="HN172" s="148"/>
      <c r="HO172" s="148"/>
      <c r="HP172" s="148"/>
      <c r="HQ172" s="148"/>
      <c r="HR172" s="148"/>
      <c r="HS172" s="148"/>
      <c r="HT172" s="148"/>
      <c r="HU172" s="148"/>
      <c r="HV172" s="148"/>
      <c r="HW172" s="148"/>
      <c r="HX172" s="148"/>
      <c r="HY172" s="148"/>
      <c r="HZ172" s="148"/>
      <c r="IA172" s="148"/>
      <c r="IB172" s="148"/>
      <c r="IC172" s="148"/>
      <c r="ID172" s="148"/>
      <c r="IE172" s="148"/>
      <c r="IF172" s="148"/>
      <c r="IG172" s="148"/>
      <c r="IH172" s="148"/>
      <c r="II172" s="148"/>
      <c r="IJ172" s="148"/>
      <c r="IK172" s="148"/>
      <c r="IL172" s="148"/>
      <c r="IM172" s="148"/>
      <c r="IN172" s="148"/>
      <c r="IO172" s="148"/>
      <c r="IP172" s="148"/>
      <c r="IQ172" s="148"/>
      <c r="IR172" s="148"/>
      <c r="IS172" s="148"/>
      <c r="IT172" s="148"/>
      <c r="IU172" s="148"/>
      <c r="IV172" s="148"/>
    </row>
    <row r="173" spans="1:256">
      <c r="A173" s="841" t="s">
        <v>243</v>
      </c>
      <c r="B173" s="844" t="s">
        <v>108</v>
      </c>
      <c r="C173" s="178" t="s">
        <v>0</v>
      </c>
      <c r="D173" s="180">
        <f>E173+M173</f>
        <v>856700</v>
      </c>
      <c r="E173" s="181">
        <f>F173+I173+J173+K173+L173</f>
        <v>856700</v>
      </c>
      <c r="F173" s="181">
        <f>G173+H173</f>
        <v>856700</v>
      </c>
      <c r="G173" s="181">
        <v>0</v>
      </c>
      <c r="H173" s="181">
        <v>856700</v>
      </c>
      <c r="I173" s="181">
        <v>0</v>
      </c>
      <c r="J173" s="181">
        <v>0</v>
      </c>
      <c r="K173" s="181">
        <v>0</v>
      </c>
      <c r="L173" s="181">
        <v>0</v>
      </c>
      <c r="M173" s="181">
        <f>N173+P173</f>
        <v>0</v>
      </c>
      <c r="N173" s="181">
        <v>0</v>
      </c>
      <c r="O173" s="181">
        <v>0</v>
      </c>
      <c r="P173" s="181">
        <v>0</v>
      </c>
      <c r="Q173" s="182"/>
      <c r="R173" s="182"/>
      <c r="S173" s="182"/>
      <c r="T173" s="182"/>
      <c r="U173" s="182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  <c r="HN173" s="148"/>
      <c r="HO173" s="148"/>
      <c r="HP173" s="148"/>
      <c r="HQ173" s="148"/>
      <c r="HR173" s="148"/>
      <c r="HS173" s="148"/>
      <c r="HT173" s="148"/>
      <c r="HU173" s="148"/>
      <c r="HV173" s="148"/>
      <c r="HW173" s="148"/>
      <c r="HX173" s="148"/>
      <c r="HY173" s="148"/>
      <c r="HZ173" s="148"/>
      <c r="IA173" s="148"/>
      <c r="IB173" s="148"/>
      <c r="IC173" s="148"/>
      <c r="ID173" s="148"/>
      <c r="IE173" s="148"/>
      <c r="IF173" s="148"/>
      <c r="IG173" s="148"/>
      <c r="IH173" s="148"/>
      <c r="II173" s="148"/>
      <c r="IJ173" s="148"/>
      <c r="IK173" s="148"/>
      <c r="IL173" s="148"/>
      <c r="IM173" s="148"/>
      <c r="IN173" s="148"/>
      <c r="IO173" s="148"/>
      <c r="IP173" s="148"/>
      <c r="IQ173" s="148"/>
      <c r="IR173" s="148"/>
      <c r="IS173" s="148"/>
      <c r="IT173" s="148"/>
      <c r="IU173" s="148"/>
      <c r="IV173" s="148"/>
    </row>
    <row r="174" spans="1:256">
      <c r="A174" s="842"/>
      <c r="B174" s="845"/>
      <c r="C174" s="178" t="s">
        <v>1</v>
      </c>
      <c r="D174" s="180">
        <f>E174+M174</f>
        <v>293670</v>
      </c>
      <c r="E174" s="181">
        <f>F174+I174+J174+K174+L174</f>
        <v>293670</v>
      </c>
      <c r="F174" s="181">
        <f>G174+H174</f>
        <v>293670</v>
      </c>
      <c r="G174" s="181"/>
      <c r="H174" s="181">
        <v>293670</v>
      </c>
      <c r="I174" s="181"/>
      <c r="J174" s="181"/>
      <c r="K174" s="181"/>
      <c r="L174" s="181"/>
      <c r="M174" s="181">
        <f>N174+P174</f>
        <v>0</v>
      </c>
      <c r="N174" s="181"/>
      <c r="O174" s="181"/>
      <c r="P174" s="181"/>
      <c r="Q174" s="182"/>
      <c r="R174" s="182"/>
      <c r="S174" s="182"/>
      <c r="T174" s="182"/>
      <c r="U174" s="182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  <c r="HN174" s="148"/>
      <c r="HO174" s="148"/>
      <c r="HP174" s="148"/>
      <c r="HQ174" s="148"/>
      <c r="HR174" s="148"/>
      <c r="HS174" s="148"/>
      <c r="HT174" s="148"/>
      <c r="HU174" s="148"/>
      <c r="HV174" s="148"/>
      <c r="HW174" s="148"/>
      <c r="HX174" s="148"/>
      <c r="HY174" s="148"/>
      <c r="HZ174" s="148"/>
      <c r="IA174" s="148"/>
      <c r="IB174" s="148"/>
      <c r="IC174" s="148"/>
      <c r="ID174" s="148"/>
      <c r="IE174" s="148"/>
      <c r="IF174" s="148"/>
      <c r="IG174" s="148"/>
      <c r="IH174" s="148"/>
      <c r="II174" s="148"/>
      <c r="IJ174" s="148"/>
      <c r="IK174" s="148"/>
      <c r="IL174" s="148"/>
      <c r="IM174" s="148"/>
      <c r="IN174" s="148"/>
      <c r="IO174" s="148"/>
      <c r="IP174" s="148"/>
      <c r="IQ174" s="148"/>
      <c r="IR174" s="148"/>
      <c r="IS174" s="148"/>
      <c r="IT174" s="148"/>
      <c r="IU174" s="148"/>
      <c r="IV174" s="148"/>
    </row>
    <row r="175" spans="1:256">
      <c r="A175" s="843"/>
      <c r="B175" s="846"/>
      <c r="C175" s="178" t="s">
        <v>2</v>
      </c>
      <c r="D175" s="180">
        <f>D173+D174</f>
        <v>1150370</v>
      </c>
      <c r="E175" s="181">
        <f t="shared" ref="E175:P175" si="71">E173+E174</f>
        <v>1150370</v>
      </c>
      <c r="F175" s="181">
        <f t="shared" si="71"/>
        <v>1150370</v>
      </c>
      <c r="G175" s="181">
        <f t="shared" si="71"/>
        <v>0</v>
      </c>
      <c r="H175" s="181">
        <f t="shared" si="71"/>
        <v>1150370</v>
      </c>
      <c r="I175" s="181">
        <f t="shared" si="71"/>
        <v>0</v>
      </c>
      <c r="J175" s="181">
        <f t="shared" si="71"/>
        <v>0</v>
      </c>
      <c r="K175" s="181">
        <f t="shared" si="71"/>
        <v>0</v>
      </c>
      <c r="L175" s="181">
        <f t="shared" si="71"/>
        <v>0</v>
      </c>
      <c r="M175" s="181">
        <f t="shared" si="71"/>
        <v>0</v>
      </c>
      <c r="N175" s="181">
        <f t="shared" si="71"/>
        <v>0</v>
      </c>
      <c r="O175" s="181">
        <f t="shared" si="71"/>
        <v>0</v>
      </c>
      <c r="P175" s="181">
        <f t="shared" si="71"/>
        <v>0</v>
      </c>
      <c r="Q175" s="182"/>
      <c r="R175" s="182"/>
      <c r="S175" s="182"/>
      <c r="T175" s="182"/>
      <c r="U175" s="182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  <c r="GR175" s="148"/>
      <c r="GS175" s="148"/>
      <c r="GT175" s="148"/>
      <c r="GU175" s="148"/>
      <c r="GV175" s="148"/>
      <c r="GW175" s="148"/>
      <c r="GX175" s="148"/>
      <c r="GY175" s="148"/>
      <c r="GZ175" s="148"/>
      <c r="HA175" s="148"/>
      <c r="HB175" s="148"/>
      <c r="HC175" s="148"/>
      <c r="HD175" s="148"/>
      <c r="HE175" s="148"/>
      <c r="HF175" s="148"/>
      <c r="HG175" s="148"/>
      <c r="HH175" s="148"/>
      <c r="HI175" s="148"/>
      <c r="HJ175" s="148"/>
      <c r="HK175" s="148"/>
      <c r="HL175" s="148"/>
      <c r="HM175" s="148"/>
      <c r="HN175" s="148"/>
      <c r="HO175" s="148"/>
      <c r="HP175" s="148"/>
      <c r="HQ175" s="148"/>
      <c r="HR175" s="148"/>
      <c r="HS175" s="148"/>
      <c r="HT175" s="148"/>
      <c r="HU175" s="148"/>
      <c r="HV175" s="148"/>
      <c r="HW175" s="148"/>
      <c r="HX175" s="148"/>
      <c r="HY175" s="148"/>
      <c r="HZ175" s="148"/>
      <c r="IA175" s="148"/>
      <c r="IB175" s="148"/>
      <c r="IC175" s="148"/>
      <c r="ID175" s="148"/>
      <c r="IE175" s="148"/>
      <c r="IF175" s="148"/>
      <c r="IG175" s="148"/>
      <c r="IH175" s="148"/>
      <c r="II175" s="148"/>
      <c r="IJ175" s="148"/>
      <c r="IK175" s="148"/>
      <c r="IL175" s="148"/>
      <c r="IM175" s="148"/>
      <c r="IN175" s="148"/>
      <c r="IO175" s="148"/>
      <c r="IP175" s="148"/>
      <c r="IQ175" s="148"/>
      <c r="IR175" s="148"/>
      <c r="IS175" s="148"/>
      <c r="IT175" s="148"/>
      <c r="IU175" s="148"/>
      <c r="IV175" s="148"/>
    </row>
    <row r="176" spans="1:256" ht="15" hidden="1">
      <c r="A176" s="835" t="s">
        <v>244</v>
      </c>
      <c r="B176" s="838" t="s">
        <v>245</v>
      </c>
      <c r="C176" s="183" t="s">
        <v>0</v>
      </c>
      <c r="D176" s="174">
        <f t="shared" ref="D176:P177" si="72">D179+D182</f>
        <v>71633158</v>
      </c>
      <c r="E176" s="175">
        <f t="shared" si="72"/>
        <v>71633158</v>
      </c>
      <c r="F176" s="175">
        <f t="shared" si="72"/>
        <v>0</v>
      </c>
      <c r="G176" s="175">
        <f t="shared" si="72"/>
        <v>0</v>
      </c>
      <c r="H176" s="175">
        <f t="shared" si="72"/>
        <v>0</v>
      </c>
      <c r="I176" s="175">
        <f t="shared" si="72"/>
        <v>0</v>
      </c>
      <c r="J176" s="175">
        <f t="shared" si="72"/>
        <v>0</v>
      </c>
      <c r="K176" s="175">
        <f t="shared" si="72"/>
        <v>0</v>
      </c>
      <c r="L176" s="175">
        <f t="shared" si="72"/>
        <v>71633158</v>
      </c>
      <c r="M176" s="175">
        <f t="shared" si="72"/>
        <v>0</v>
      </c>
      <c r="N176" s="175">
        <f t="shared" si="72"/>
        <v>0</v>
      </c>
      <c r="O176" s="175">
        <f t="shared" si="72"/>
        <v>0</v>
      </c>
      <c r="P176" s="175">
        <f t="shared" si="72"/>
        <v>0</v>
      </c>
      <c r="Q176" s="188"/>
      <c r="R176" s="188"/>
      <c r="S176" s="188"/>
      <c r="T176" s="188"/>
      <c r="U176" s="188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9"/>
      <c r="BT176" s="189"/>
      <c r="BU176" s="189"/>
      <c r="BV176" s="189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  <c r="CW176" s="189"/>
      <c r="CX176" s="189"/>
      <c r="CY176" s="189"/>
      <c r="CZ176" s="189"/>
      <c r="DA176" s="189"/>
      <c r="DB176" s="189"/>
      <c r="DC176" s="189"/>
      <c r="DD176" s="189"/>
      <c r="DE176" s="189"/>
      <c r="DF176" s="189"/>
      <c r="DG176" s="189"/>
      <c r="DH176" s="189"/>
      <c r="DI176" s="189"/>
      <c r="DJ176" s="189"/>
      <c r="DK176" s="189"/>
      <c r="DL176" s="189"/>
      <c r="DM176" s="189"/>
      <c r="DN176" s="189"/>
      <c r="DO176" s="189"/>
      <c r="DP176" s="189"/>
      <c r="DQ176" s="189"/>
      <c r="DR176" s="189"/>
      <c r="DS176" s="189"/>
      <c r="DT176" s="189"/>
      <c r="DU176" s="189"/>
      <c r="DV176" s="189"/>
      <c r="DW176" s="189"/>
      <c r="DX176" s="189"/>
      <c r="DY176" s="189"/>
      <c r="DZ176" s="189"/>
      <c r="EA176" s="189"/>
      <c r="EB176" s="189"/>
      <c r="EC176" s="189"/>
      <c r="ED176" s="189"/>
      <c r="EE176" s="189"/>
      <c r="EF176" s="189"/>
      <c r="EG176" s="189"/>
      <c r="EH176" s="189"/>
      <c r="EI176" s="189"/>
      <c r="EJ176" s="189"/>
      <c r="EK176" s="189"/>
      <c r="EL176" s="189"/>
      <c r="EM176" s="189"/>
      <c r="EN176" s="189"/>
      <c r="EO176" s="189"/>
      <c r="EP176" s="189"/>
      <c r="EQ176" s="189"/>
      <c r="ER176" s="189"/>
      <c r="ES176" s="189"/>
      <c r="ET176" s="189"/>
      <c r="EU176" s="189"/>
      <c r="EV176" s="189"/>
      <c r="EW176" s="189"/>
      <c r="EX176" s="189"/>
      <c r="EY176" s="189"/>
      <c r="EZ176" s="189"/>
      <c r="FA176" s="189"/>
      <c r="FB176" s="189"/>
      <c r="FC176" s="189"/>
      <c r="FD176" s="189"/>
      <c r="FE176" s="189"/>
      <c r="FF176" s="189"/>
      <c r="FG176" s="189"/>
      <c r="FH176" s="189"/>
      <c r="FI176" s="189"/>
      <c r="FJ176" s="189"/>
      <c r="FK176" s="189"/>
      <c r="FL176" s="189"/>
      <c r="FM176" s="189"/>
      <c r="FN176" s="189"/>
      <c r="FO176" s="189"/>
      <c r="FP176" s="189"/>
      <c r="FQ176" s="189"/>
      <c r="FR176" s="189"/>
      <c r="FS176" s="189"/>
      <c r="FT176" s="189"/>
      <c r="FU176" s="189"/>
      <c r="FV176" s="189"/>
      <c r="FW176" s="189"/>
      <c r="FX176" s="189"/>
      <c r="FY176" s="189"/>
      <c r="FZ176" s="189"/>
      <c r="GA176" s="189"/>
      <c r="GB176" s="189"/>
      <c r="GC176" s="189"/>
      <c r="GD176" s="189"/>
      <c r="GE176" s="189"/>
      <c r="GF176" s="189"/>
      <c r="GG176" s="189"/>
      <c r="GH176" s="189"/>
      <c r="GI176" s="189"/>
      <c r="GJ176" s="189"/>
      <c r="GK176" s="189"/>
      <c r="GL176" s="189"/>
      <c r="GM176" s="189"/>
      <c r="GN176" s="189"/>
      <c r="GO176" s="189"/>
      <c r="GP176" s="189"/>
      <c r="GQ176" s="189"/>
      <c r="GR176" s="189"/>
      <c r="GS176" s="189"/>
      <c r="GT176" s="189"/>
      <c r="GU176" s="189"/>
      <c r="GV176" s="189"/>
      <c r="GW176" s="189"/>
      <c r="GX176" s="189"/>
      <c r="GY176" s="189"/>
      <c r="GZ176" s="189"/>
      <c r="HA176" s="189"/>
      <c r="HB176" s="189"/>
      <c r="HC176" s="189"/>
      <c r="HD176" s="189"/>
      <c r="HE176" s="189"/>
      <c r="HF176" s="189"/>
      <c r="HG176" s="189"/>
      <c r="HH176" s="189"/>
      <c r="HI176" s="189"/>
      <c r="HJ176" s="189"/>
      <c r="HK176" s="189"/>
      <c r="HL176" s="189"/>
      <c r="HM176" s="189"/>
      <c r="HN176" s="189"/>
      <c r="HO176" s="189"/>
      <c r="HP176" s="189"/>
      <c r="HQ176" s="189"/>
      <c r="HR176" s="189"/>
      <c r="HS176" s="189"/>
      <c r="HT176" s="189"/>
      <c r="HU176" s="189"/>
      <c r="HV176" s="189"/>
      <c r="HW176" s="189"/>
      <c r="HX176" s="189"/>
      <c r="HY176" s="189"/>
      <c r="HZ176" s="189"/>
      <c r="IA176" s="189"/>
      <c r="IB176" s="189"/>
      <c r="IC176" s="189"/>
      <c r="ID176" s="189"/>
      <c r="IE176" s="189"/>
      <c r="IF176" s="189"/>
      <c r="IG176" s="189"/>
      <c r="IH176" s="189"/>
      <c r="II176" s="189"/>
      <c r="IJ176" s="189"/>
      <c r="IK176" s="189"/>
      <c r="IL176" s="189"/>
      <c r="IM176" s="189"/>
      <c r="IN176" s="189"/>
      <c r="IO176" s="189"/>
      <c r="IP176" s="189"/>
      <c r="IQ176" s="189"/>
      <c r="IR176" s="189"/>
      <c r="IS176" s="189"/>
      <c r="IT176" s="189"/>
      <c r="IU176" s="189"/>
      <c r="IV176" s="189"/>
    </row>
    <row r="177" spans="1:256" ht="15" hidden="1">
      <c r="A177" s="836"/>
      <c r="B177" s="839"/>
      <c r="C177" s="183" t="s">
        <v>1</v>
      </c>
      <c r="D177" s="174">
        <f t="shared" si="72"/>
        <v>0</v>
      </c>
      <c r="E177" s="175">
        <f t="shared" si="72"/>
        <v>0</v>
      </c>
      <c r="F177" s="175">
        <f t="shared" si="72"/>
        <v>0</v>
      </c>
      <c r="G177" s="175">
        <f t="shared" si="72"/>
        <v>0</v>
      </c>
      <c r="H177" s="175">
        <f t="shared" si="72"/>
        <v>0</v>
      </c>
      <c r="I177" s="175">
        <f t="shared" si="72"/>
        <v>0</v>
      </c>
      <c r="J177" s="175">
        <f t="shared" si="72"/>
        <v>0</v>
      </c>
      <c r="K177" s="175">
        <f t="shared" si="72"/>
        <v>0</v>
      </c>
      <c r="L177" s="175">
        <f t="shared" si="72"/>
        <v>0</v>
      </c>
      <c r="M177" s="175">
        <f t="shared" si="72"/>
        <v>0</v>
      </c>
      <c r="N177" s="175">
        <f t="shared" si="72"/>
        <v>0</v>
      </c>
      <c r="O177" s="175">
        <f t="shared" si="72"/>
        <v>0</v>
      </c>
      <c r="P177" s="175">
        <f t="shared" si="72"/>
        <v>0</v>
      </c>
      <c r="Q177" s="188"/>
      <c r="R177" s="188"/>
      <c r="S177" s="188"/>
      <c r="T177" s="188"/>
      <c r="U177" s="188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  <c r="CW177" s="189"/>
      <c r="CX177" s="189"/>
      <c r="CY177" s="189"/>
      <c r="CZ177" s="189"/>
      <c r="DA177" s="189"/>
      <c r="DB177" s="189"/>
      <c r="DC177" s="189"/>
      <c r="DD177" s="189"/>
      <c r="DE177" s="189"/>
      <c r="DF177" s="189"/>
      <c r="DG177" s="189"/>
      <c r="DH177" s="189"/>
      <c r="DI177" s="189"/>
      <c r="DJ177" s="189"/>
      <c r="DK177" s="189"/>
      <c r="DL177" s="189"/>
      <c r="DM177" s="189"/>
      <c r="DN177" s="189"/>
      <c r="DO177" s="189"/>
      <c r="DP177" s="189"/>
      <c r="DQ177" s="189"/>
      <c r="DR177" s="189"/>
      <c r="DS177" s="189"/>
      <c r="DT177" s="189"/>
      <c r="DU177" s="189"/>
      <c r="DV177" s="189"/>
      <c r="DW177" s="189"/>
      <c r="DX177" s="189"/>
      <c r="DY177" s="189"/>
      <c r="DZ177" s="189"/>
      <c r="EA177" s="189"/>
      <c r="EB177" s="189"/>
      <c r="EC177" s="189"/>
      <c r="ED177" s="189"/>
      <c r="EE177" s="189"/>
      <c r="EF177" s="189"/>
      <c r="EG177" s="189"/>
      <c r="EH177" s="189"/>
      <c r="EI177" s="189"/>
      <c r="EJ177" s="189"/>
      <c r="EK177" s="189"/>
      <c r="EL177" s="189"/>
      <c r="EM177" s="189"/>
      <c r="EN177" s="189"/>
      <c r="EO177" s="189"/>
      <c r="EP177" s="189"/>
      <c r="EQ177" s="189"/>
      <c r="ER177" s="189"/>
      <c r="ES177" s="189"/>
      <c r="ET177" s="189"/>
      <c r="EU177" s="189"/>
      <c r="EV177" s="189"/>
      <c r="EW177" s="189"/>
      <c r="EX177" s="189"/>
      <c r="EY177" s="189"/>
      <c r="EZ177" s="189"/>
      <c r="FA177" s="189"/>
      <c r="FB177" s="189"/>
      <c r="FC177" s="189"/>
      <c r="FD177" s="189"/>
      <c r="FE177" s="189"/>
      <c r="FF177" s="189"/>
      <c r="FG177" s="189"/>
      <c r="FH177" s="189"/>
      <c r="FI177" s="189"/>
      <c r="FJ177" s="189"/>
      <c r="FK177" s="189"/>
      <c r="FL177" s="189"/>
      <c r="FM177" s="189"/>
      <c r="FN177" s="189"/>
      <c r="FO177" s="189"/>
      <c r="FP177" s="189"/>
      <c r="FQ177" s="189"/>
      <c r="FR177" s="189"/>
      <c r="FS177" s="189"/>
      <c r="FT177" s="189"/>
      <c r="FU177" s="189"/>
      <c r="FV177" s="189"/>
      <c r="FW177" s="189"/>
      <c r="FX177" s="189"/>
      <c r="FY177" s="189"/>
      <c r="FZ177" s="189"/>
      <c r="GA177" s="189"/>
      <c r="GB177" s="189"/>
      <c r="GC177" s="189"/>
      <c r="GD177" s="189"/>
      <c r="GE177" s="189"/>
      <c r="GF177" s="189"/>
      <c r="GG177" s="189"/>
      <c r="GH177" s="189"/>
      <c r="GI177" s="189"/>
      <c r="GJ177" s="189"/>
      <c r="GK177" s="189"/>
      <c r="GL177" s="189"/>
      <c r="GM177" s="189"/>
      <c r="GN177" s="189"/>
      <c r="GO177" s="189"/>
      <c r="GP177" s="189"/>
      <c r="GQ177" s="189"/>
      <c r="GR177" s="189"/>
      <c r="GS177" s="189"/>
      <c r="GT177" s="189"/>
      <c r="GU177" s="189"/>
      <c r="GV177" s="189"/>
      <c r="GW177" s="189"/>
      <c r="GX177" s="189"/>
      <c r="GY177" s="189"/>
      <c r="GZ177" s="189"/>
      <c r="HA177" s="189"/>
      <c r="HB177" s="189"/>
      <c r="HC177" s="189"/>
      <c r="HD177" s="189"/>
      <c r="HE177" s="189"/>
      <c r="HF177" s="189"/>
      <c r="HG177" s="189"/>
      <c r="HH177" s="189"/>
      <c r="HI177" s="189"/>
      <c r="HJ177" s="189"/>
      <c r="HK177" s="189"/>
      <c r="HL177" s="189"/>
      <c r="HM177" s="189"/>
      <c r="HN177" s="189"/>
      <c r="HO177" s="189"/>
      <c r="HP177" s="189"/>
      <c r="HQ177" s="189"/>
      <c r="HR177" s="189"/>
      <c r="HS177" s="189"/>
      <c r="HT177" s="189"/>
      <c r="HU177" s="189"/>
      <c r="HV177" s="189"/>
      <c r="HW177" s="189"/>
      <c r="HX177" s="189"/>
      <c r="HY177" s="189"/>
      <c r="HZ177" s="189"/>
      <c r="IA177" s="189"/>
      <c r="IB177" s="189"/>
      <c r="IC177" s="189"/>
      <c r="ID177" s="189"/>
      <c r="IE177" s="189"/>
      <c r="IF177" s="189"/>
      <c r="IG177" s="189"/>
      <c r="IH177" s="189"/>
      <c r="II177" s="189"/>
      <c r="IJ177" s="189"/>
      <c r="IK177" s="189"/>
      <c r="IL177" s="189"/>
      <c r="IM177" s="189"/>
      <c r="IN177" s="189"/>
      <c r="IO177" s="189"/>
      <c r="IP177" s="189"/>
      <c r="IQ177" s="189"/>
      <c r="IR177" s="189"/>
      <c r="IS177" s="189"/>
      <c r="IT177" s="189"/>
      <c r="IU177" s="189"/>
      <c r="IV177" s="189"/>
    </row>
    <row r="178" spans="1:256" ht="15" hidden="1">
      <c r="A178" s="837"/>
      <c r="B178" s="840"/>
      <c r="C178" s="183" t="s">
        <v>2</v>
      </c>
      <c r="D178" s="174">
        <f>D176+D177</f>
        <v>71633158</v>
      </c>
      <c r="E178" s="175">
        <f t="shared" ref="E178:P178" si="73">E176+E177</f>
        <v>71633158</v>
      </c>
      <c r="F178" s="175">
        <f t="shared" si="73"/>
        <v>0</v>
      </c>
      <c r="G178" s="175">
        <f t="shared" si="73"/>
        <v>0</v>
      </c>
      <c r="H178" s="175">
        <f t="shared" si="73"/>
        <v>0</v>
      </c>
      <c r="I178" s="175">
        <f t="shared" si="73"/>
        <v>0</v>
      </c>
      <c r="J178" s="175">
        <f t="shared" si="73"/>
        <v>0</v>
      </c>
      <c r="K178" s="175">
        <f t="shared" si="73"/>
        <v>0</v>
      </c>
      <c r="L178" s="175">
        <f t="shared" si="73"/>
        <v>71633158</v>
      </c>
      <c r="M178" s="175">
        <f t="shared" si="73"/>
        <v>0</v>
      </c>
      <c r="N178" s="175">
        <f t="shared" si="73"/>
        <v>0</v>
      </c>
      <c r="O178" s="175">
        <f t="shared" si="73"/>
        <v>0</v>
      </c>
      <c r="P178" s="175">
        <f t="shared" si="73"/>
        <v>0</v>
      </c>
      <c r="Q178" s="188"/>
      <c r="R178" s="188"/>
      <c r="S178" s="188"/>
      <c r="T178" s="188"/>
      <c r="U178" s="188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189"/>
      <c r="CD178" s="189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  <c r="CW178" s="189"/>
      <c r="CX178" s="189"/>
      <c r="CY178" s="189"/>
      <c r="CZ178" s="189"/>
      <c r="DA178" s="189"/>
      <c r="DB178" s="189"/>
      <c r="DC178" s="189"/>
      <c r="DD178" s="189"/>
      <c r="DE178" s="189"/>
      <c r="DF178" s="189"/>
      <c r="DG178" s="189"/>
      <c r="DH178" s="189"/>
      <c r="DI178" s="189"/>
      <c r="DJ178" s="189"/>
      <c r="DK178" s="189"/>
      <c r="DL178" s="189"/>
      <c r="DM178" s="189"/>
      <c r="DN178" s="189"/>
      <c r="DO178" s="189"/>
      <c r="DP178" s="189"/>
      <c r="DQ178" s="189"/>
      <c r="DR178" s="189"/>
      <c r="DS178" s="189"/>
      <c r="DT178" s="189"/>
      <c r="DU178" s="189"/>
      <c r="DV178" s="189"/>
      <c r="DW178" s="189"/>
      <c r="DX178" s="189"/>
      <c r="DY178" s="189"/>
      <c r="DZ178" s="189"/>
      <c r="EA178" s="189"/>
      <c r="EB178" s="189"/>
      <c r="EC178" s="189"/>
      <c r="ED178" s="189"/>
      <c r="EE178" s="189"/>
      <c r="EF178" s="189"/>
      <c r="EG178" s="189"/>
      <c r="EH178" s="189"/>
      <c r="EI178" s="189"/>
      <c r="EJ178" s="189"/>
      <c r="EK178" s="189"/>
      <c r="EL178" s="189"/>
      <c r="EM178" s="189"/>
      <c r="EN178" s="189"/>
      <c r="EO178" s="189"/>
      <c r="EP178" s="189"/>
      <c r="EQ178" s="189"/>
      <c r="ER178" s="189"/>
      <c r="ES178" s="189"/>
      <c r="ET178" s="189"/>
      <c r="EU178" s="189"/>
      <c r="EV178" s="189"/>
      <c r="EW178" s="189"/>
      <c r="EX178" s="189"/>
      <c r="EY178" s="189"/>
      <c r="EZ178" s="189"/>
      <c r="FA178" s="189"/>
      <c r="FB178" s="189"/>
      <c r="FC178" s="189"/>
      <c r="FD178" s="189"/>
      <c r="FE178" s="189"/>
      <c r="FF178" s="189"/>
      <c r="FG178" s="189"/>
      <c r="FH178" s="189"/>
      <c r="FI178" s="189"/>
      <c r="FJ178" s="189"/>
      <c r="FK178" s="189"/>
      <c r="FL178" s="189"/>
      <c r="FM178" s="189"/>
      <c r="FN178" s="189"/>
      <c r="FO178" s="189"/>
      <c r="FP178" s="189"/>
      <c r="FQ178" s="189"/>
      <c r="FR178" s="189"/>
      <c r="FS178" s="189"/>
      <c r="FT178" s="189"/>
      <c r="FU178" s="189"/>
      <c r="FV178" s="189"/>
      <c r="FW178" s="189"/>
      <c r="FX178" s="189"/>
      <c r="FY178" s="189"/>
      <c r="FZ178" s="189"/>
      <c r="GA178" s="189"/>
      <c r="GB178" s="189"/>
      <c r="GC178" s="189"/>
      <c r="GD178" s="189"/>
      <c r="GE178" s="189"/>
      <c r="GF178" s="189"/>
      <c r="GG178" s="189"/>
      <c r="GH178" s="189"/>
      <c r="GI178" s="189"/>
      <c r="GJ178" s="189"/>
      <c r="GK178" s="189"/>
      <c r="GL178" s="189"/>
      <c r="GM178" s="189"/>
      <c r="GN178" s="189"/>
      <c r="GO178" s="189"/>
      <c r="GP178" s="189"/>
      <c r="GQ178" s="189"/>
      <c r="GR178" s="189"/>
      <c r="GS178" s="189"/>
      <c r="GT178" s="189"/>
      <c r="GU178" s="189"/>
      <c r="GV178" s="189"/>
      <c r="GW178" s="189"/>
      <c r="GX178" s="189"/>
      <c r="GY178" s="189"/>
      <c r="GZ178" s="189"/>
      <c r="HA178" s="189"/>
      <c r="HB178" s="189"/>
      <c r="HC178" s="189"/>
      <c r="HD178" s="189"/>
      <c r="HE178" s="189"/>
      <c r="HF178" s="189"/>
      <c r="HG178" s="189"/>
      <c r="HH178" s="189"/>
      <c r="HI178" s="189"/>
      <c r="HJ178" s="189"/>
      <c r="HK178" s="189"/>
      <c r="HL178" s="189"/>
      <c r="HM178" s="189"/>
      <c r="HN178" s="189"/>
      <c r="HO178" s="189"/>
      <c r="HP178" s="189"/>
      <c r="HQ178" s="189"/>
      <c r="HR178" s="189"/>
      <c r="HS178" s="189"/>
      <c r="HT178" s="189"/>
      <c r="HU178" s="189"/>
      <c r="HV178" s="189"/>
      <c r="HW178" s="189"/>
      <c r="HX178" s="189"/>
      <c r="HY178" s="189"/>
      <c r="HZ178" s="189"/>
      <c r="IA178" s="189"/>
      <c r="IB178" s="189"/>
      <c r="IC178" s="189"/>
      <c r="ID178" s="189"/>
      <c r="IE178" s="189"/>
      <c r="IF178" s="189"/>
      <c r="IG178" s="189"/>
      <c r="IH178" s="189"/>
      <c r="II178" s="189"/>
      <c r="IJ178" s="189"/>
      <c r="IK178" s="189"/>
      <c r="IL178" s="189"/>
      <c r="IM178" s="189"/>
      <c r="IN178" s="189"/>
      <c r="IO178" s="189"/>
      <c r="IP178" s="189"/>
      <c r="IQ178" s="189"/>
      <c r="IR178" s="189"/>
      <c r="IS178" s="189"/>
      <c r="IT178" s="189"/>
      <c r="IU178" s="189"/>
      <c r="IV178" s="189"/>
    </row>
    <row r="179" spans="1:256" ht="19.5" hidden="1" customHeight="1">
      <c r="A179" s="841" t="s">
        <v>246</v>
      </c>
      <c r="B179" s="844" t="s">
        <v>247</v>
      </c>
      <c r="C179" s="178" t="s">
        <v>0</v>
      </c>
      <c r="D179" s="170">
        <f>E179+M179</f>
        <v>14724772</v>
      </c>
      <c r="E179" s="171">
        <f>F179+I179+J179+K179+L179</f>
        <v>14724772</v>
      </c>
      <c r="F179" s="171">
        <f>G179+H179</f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14724772</v>
      </c>
      <c r="M179" s="171">
        <f>N179+P179</f>
        <v>0</v>
      </c>
      <c r="N179" s="171">
        <v>0</v>
      </c>
      <c r="O179" s="171">
        <v>0</v>
      </c>
      <c r="P179" s="171">
        <v>0</v>
      </c>
      <c r="Q179" s="172"/>
      <c r="R179" s="172"/>
      <c r="S179" s="172"/>
      <c r="T179" s="172"/>
      <c r="U179" s="172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</row>
    <row r="180" spans="1:256" ht="19.5" hidden="1" customHeight="1">
      <c r="A180" s="842"/>
      <c r="B180" s="845"/>
      <c r="C180" s="178" t="s">
        <v>1</v>
      </c>
      <c r="D180" s="170">
        <f>E180+M180</f>
        <v>0</v>
      </c>
      <c r="E180" s="171">
        <f>F180+I180+J180+K180+L180</f>
        <v>0</v>
      </c>
      <c r="F180" s="171">
        <f>G180+H180</f>
        <v>0</v>
      </c>
      <c r="G180" s="171"/>
      <c r="H180" s="171"/>
      <c r="I180" s="171"/>
      <c r="J180" s="171"/>
      <c r="K180" s="171"/>
      <c r="L180" s="171"/>
      <c r="M180" s="171">
        <f>N180+P180</f>
        <v>0</v>
      </c>
      <c r="N180" s="171"/>
      <c r="O180" s="171"/>
      <c r="P180" s="171"/>
      <c r="Q180" s="172"/>
      <c r="R180" s="172"/>
      <c r="S180" s="172"/>
      <c r="T180" s="172"/>
      <c r="U180" s="172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3"/>
      <c r="DI180" s="163"/>
      <c r="DJ180" s="163"/>
      <c r="DK180" s="163"/>
      <c r="DL180" s="163"/>
      <c r="DM180" s="163"/>
      <c r="DN180" s="163"/>
      <c r="DO180" s="163"/>
      <c r="DP180" s="163"/>
      <c r="DQ180" s="163"/>
      <c r="DR180" s="163"/>
      <c r="DS180" s="163"/>
      <c r="DT180" s="163"/>
      <c r="DU180" s="163"/>
      <c r="DV180" s="163"/>
      <c r="DW180" s="163"/>
      <c r="DX180" s="163"/>
      <c r="DY180" s="163"/>
      <c r="DZ180" s="163"/>
      <c r="EA180" s="163"/>
      <c r="EB180" s="163"/>
      <c r="EC180" s="163"/>
      <c r="ED180" s="163"/>
      <c r="EE180" s="163"/>
      <c r="EF180" s="163"/>
      <c r="EG180" s="163"/>
      <c r="EH180" s="163"/>
      <c r="EI180" s="163"/>
      <c r="EJ180" s="163"/>
      <c r="EK180" s="163"/>
      <c r="EL180" s="163"/>
      <c r="EM180" s="163"/>
      <c r="EN180" s="163"/>
      <c r="EO180" s="163"/>
      <c r="EP180" s="163"/>
      <c r="EQ180" s="163"/>
      <c r="ER180" s="163"/>
      <c r="ES180" s="163"/>
      <c r="ET180" s="163"/>
      <c r="EU180" s="163"/>
      <c r="EV180" s="163"/>
      <c r="EW180" s="163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3"/>
      <c r="FH180" s="163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3"/>
      <c r="FS180" s="163"/>
      <c r="FT180" s="163"/>
      <c r="FU180" s="163"/>
      <c r="FV180" s="163"/>
      <c r="FW180" s="163"/>
      <c r="FX180" s="163"/>
      <c r="FY180" s="163"/>
      <c r="FZ180" s="163"/>
      <c r="GA180" s="163"/>
      <c r="GB180" s="163"/>
      <c r="GC180" s="163"/>
      <c r="GD180" s="163"/>
      <c r="GE180" s="163"/>
      <c r="GF180" s="163"/>
      <c r="GG180" s="163"/>
      <c r="GH180" s="163"/>
      <c r="GI180" s="163"/>
      <c r="GJ180" s="163"/>
      <c r="GK180" s="163"/>
      <c r="GL180" s="163"/>
      <c r="GM180" s="163"/>
      <c r="GN180" s="163"/>
      <c r="GO180" s="163"/>
      <c r="GP180" s="163"/>
      <c r="GQ180" s="163"/>
      <c r="GR180" s="163"/>
      <c r="GS180" s="163"/>
      <c r="GT180" s="163"/>
      <c r="GU180" s="163"/>
      <c r="GV180" s="163"/>
      <c r="GW180" s="163"/>
      <c r="GX180" s="163"/>
      <c r="GY180" s="163"/>
      <c r="GZ180" s="163"/>
      <c r="HA180" s="163"/>
      <c r="HB180" s="163"/>
      <c r="HC180" s="163"/>
      <c r="HD180" s="163"/>
      <c r="HE180" s="163"/>
      <c r="HF180" s="163"/>
      <c r="HG180" s="163"/>
      <c r="HH180" s="163"/>
      <c r="HI180" s="163"/>
      <c r="HJ180" s="163"/>
      <c r="HK180" s="163"/>
      <c r="HL180" s="163"/>
      <c r="HM180" s="163"/>
      <c r="HN180" s="163"/>
      <c r="HO180" s="163"/>
      <c r="HP180" s="163"/>
      <c r="HQ180" s="163"/>
      <c r="HR180" s="163"/>
      <c r="HS180" s="163"/>
      <c r="HT180" s="163"/>
      <c r="HU180" s="163"/>
      <c r="HV180" s="163"/>
      <c r="HW180" s="163"/>
      <c r="HX180" s="163"/>
      <c r="HY180" s="163"/>
      <c r="HZ180" s="163"/>
      <c r="IA180" s="163"/>
      <c r="IB180" s="163"/>
      <c r="IC180" s="163"/>
      <c r="ID180" s="163"/>
      <c r="IE180" s="163"/>
      <c r="IF180" s="163"/>
      <c r="IG180" s="163"/>
      <c r="IH180" s="163"/>
      <c r="II180" s="163"/>
      <c r="IJ180" s="163"/>
      <c r="IK180" s="163"/>
      <c r="IL180" s="163"/>
      <c r="IM180" s="163"/>
      <c r="IN180" s="163"/>
      <c r="IO180" s="163"/>
      <c r="IP180" s="163"/>
      <c r="IQ180" s="163"/>
      <c r="IR180" s="163"/>
      <c r="IS180" s="163"/>
      <c r="IT180" s="163"/>
      <c r="IU180" s="163"/>
      <c r="IV180" s="163"/>
    </row>
    <row r="181" spans="1:256" ht="19.5" hidden="1" customHeight="1">
      <c r="A181" s="843"/>
      <c r="B181" s="846"/>
      <c r="C181" s="178" t="s">
        <v>2</v>
      </c>
      <c r="D181" s="170">
        <f>D179+D180</f>
        <v>14724772</v>
      </c>
      <c r="E181" s="171">
        <f t="shared" ref="E181:P181" si="74">E179+E180</f>
        <v>14724772</v>
      </c>
      <c r="F181" s="171">
        <f t="shared" si="74"/>
        <v>0</v>
      </c>
      <c r="G181" s="171">
        <f t="shared" si="74"/>
        <v>0</v>
      </c>
      <c r="H181" s="171">
        <f t="shared" si="74"/>
        <v>0</v>
      </c>
      <c r="I181" s="171">
        <f t="shared" si="74"/>
        <v>0</v>
      </c>
      <c r="J181" s="171">
        <f t="shared" si="74"/>
        <v>0</v>
      </c>
      <c r="K181" s="171">
        <f t="shared" si="74"/>
        <v>0</v>
      </c>
      <c r="L181" s="171">
        <f t="shared" si="74"/>
        <v>14724772</v>
      </c>
      <c r="M181" s="171">
        <f t="shared" si="74"/>
        <v>0</v>
      </c>
      <c r="N181" s="171">
        <f t="shared" si="74"/>
        <v>0</v>
      </c>
      <c r="O181" s="171">
        <f t="shared" si="74"/>
        <v>0</v>
      </c>
      <c r="P181" s="171">
        <f t="shared" si="74"/>
        <v>0</v>
      </c>
      <c r="Q181" s="172"/>
      <c r="R181" s="172"/>
      <c r="S181" s="172"/>
      <c r="T181" s="172"/>
      <c r="U181" s="172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  <c r="IL181" s="163"/>
      <c r="IM181" s="163"/>
      <c r="IN181" s="163"/>
      <c r="IO181" s="163"/>
      <c r="IP181" s="163"/>
      <c r="IQ181" s="163"/>
      <c r="IR181" s="163"/>
      <c r="IS181" s="163"/>
      <c r="IT181" s="163"/>
      <c r="IU181" s="163"/>
      <c r="IV181" s="163"/>
    </row>
    <row r="182" spans="1:256" hidden="1">
      <c r="A182" s="841" t="s">
        <v>248</v>
      </c>
      <c r="B182" s="844" t="s">
        <v>249</v>
      </c>
      <c r="C182" s="178" t="s">
        <v>0</v>
      </c>
      <c r="D182" s="170">
        <f>E182+M182</f>
        <v>56908386</v>
      </c>
      <c r="E182" s="171">
        <f>F182+I182+J182+K182+L182</f>
        <v>56908386</v>
      </c>
      <c r="F182" s="171">
        <f>G182+H182</f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56908386</v>
      </c>
      <c r="M182" s="171">
        <f>N182+P182</f>
        <v>0</v>
      </c>
      <c r="N182" s="171">
        <v>0</v>
      </c>
      <c r="O182" s="171">
        <v>0</v>
      </c>
      <c r="P182" s="171">
        <v>0</v>
      </c>
      <c r="Q182" s="172"/>
      <c r="R182" s="172"/>
      <c r="S182" s="172"/>
      <c r="T182" s="172"/>
      <c r="U182" s="172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  <c r="IL182" s="163"/>
      <c r="IM182" s="163"/>
      <c r="IN182" s="163"/>
      <c r="IO182" s="163"/>
      <c r="IP182" s="163"/>
      <c r="IQ182" s="163"/>
      <c r="IR182" s="163"/>
      <c r="IS182" s="163"/>
      <c r="IT182" s="163"/>
      <c r="IU182" s="163"/>
      <c r="IV182" s="163"/>
    </row>
    <row r="183" spans="1:256" hidden="1">
      <c r="A183" s="842"/>
      <c r="B183" s="845"/>
      <c r="C183" s="178" t="s">
        <v>1</v>
      </c>
      <c r="D183" s="170">
        <f>E183+M183</f>
        <v>0</v>
      </c>
      <c r="E183" s="171">
        <f>F183+I183+J183+K183+L183</f>
        <v>0</v>
      </c>
      <c r="F183" s="171">
        <f>G183+H183</f>
        <v>0</v>
      </c>
      <c r="G183" s="171"/>
      <c r="H183" s="171"/>
      <c r="I183" s="171"/>
      <c r="J183" s="171"/>
      <c r="K183" s="171"/>
      <c r="L183" s="171"/>
      <c r="M183" s="171">
        <f>N183+P183</f>
        <v>0</v>
      </c>
      <c r="N183" s="171"/>
      <c r="O183" s="171"/>
      <c r="P183" s="171"/>
      <c r="Q183" s="172"/>
      <c r="R183" s="172"/>
      <c r="S183" s="172"/>
      <c r="T183" s="172"/>
      <c r="U183" s="172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3"/>
      <c r="FT183" s="163"/>
      <c r="FU183" s="163"/>
      <c r="FV183" s="163"/>
      <c r="FW183" s="163"/>
      <c r="FX183" s="163"/>
      <c r="FY183" s="163"/>
      <c r="FZ183" s="163"/>
      <c r="GA183" s="163"/>
      <c r="GB183" s="163"/>
      <c r="GC183" s="163"/>
      <c r="GD183" s="163"/>
      <c r="GE183" s="163"/>
      <c r="GF183" s="163"/>
      <c r="GG183" s="163"/>
      <c r="GH183" s="163"/>
      <c r="GI183" s="163"/>
      <c r="GJ183" s="163"/>
      <c r="GK183" s="163"/>
      <c r="GL183" s="163"/>
      <c r="GM183" s="163"/>
      <c r="GN183" s="163"/>
      <c r="GO183" s="163"/>
      <c r="GP183" s="163"/>
      <c r="GQ183" s="163"/>
      <c r="GR183" s="163"/>
      <c r="GS183" s="163"/>
      <c r="GT183" s="163"/>
      <c r="GU183" s="163"/>
      <c r="GV183" s="163"/>
      <c r="GW183" s="163"/>
      <c r="GX183" s="163"/>
      <c r="GY183" s="163"/>
      <c r="GZ183" s="163"/>
      <c r="HA183" s="163"/>
      <c r="HB183" s="163"/>
      <c r="HC183" s="163"/>
      <c r="HD183" s="163"/>
      <c r="HE183" s="163"/>
      <c r="HF183" s="163"/>
      <c r="HG183" s="163"/>
      <c r="HH183" s="163"/>
      <c r="HI183" s="163"/>
      <c r="HJ183" s="163"/>
      <c r="HK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  <c r="IL183" s="163"/>
      <c r="IM183" s="163"/>
      <c r="IN183" s="163"/>
      <c r="IO183" s="163"/>
      <c r="IP183" s="163"/>
      <c r="IQ183" s="163"/>
      <c r="IR183" s="163"/>
      <c r="IS183" s="163"/>
      <c r="IT183" s="163"/>
      <c r="IU183" s="163"/>
      <c r="IV183" s="163"/>
    </row>
    <row r="184" spans="1:256" hidden="1">
      <c r="A184" s="843"/>
      <c r="B184" s="846"/>
      <c r="C184" s="178" t="s">
        <v>2</v>
      </c>
      <c r="D184" s="170">
        <f>D182+D183</f>
        <v>56908386</v>
      </c>
      <c r="E184" s="171">
        <f t="shared" ref="E184:P184" si="75">E182+E183</f>
        <v>56908386</v>
      </c>
      <c r="F184" s="171">
        <f t="shared" si="75"/>
        <v>0</v>
      </c>
      <c r="G184" s="171">
        <f t="shared" si="75"/>
        <v>0</v>
      </c>
      <c r="H184" s="171">
        <f t="shared" si="75"/>
        <v>0</v>
      </c>
      <c r="I184" s="171">
        <f t="shared" si="75"/>
        <v>0</v>
      </c>
      <c r="J184" s="171">
        <f t="shared" si="75"/>
        <v>0</v>
      </c>
      <c r="K184" s="171">
        <f t="shared" si="75"/>
        <v>0</v>
      </c>
      <c r="L184" s="171">
        <f t="shared" si="75"/>
        <v>56908386</v>
      </c>
      <c r="M184" s="171">
        <f t="shared" si="75"/>
        <v>0</v>
      </c>
      <c r="N184" s="171">
        <f t="shared" si="75"/>
        <v>0</v>
      </c>
      <c r="O184" s="171">
        <f t="shared" si="75"/>
        <v>0</v>
      </c>
      <c r="P184" s="171">
        <f t="shared" si="75"/>
        <v>0</v>
      </c>
      <c r="Q184" s="172"/>
      <c r="R184" s="172"/>
      <c r="S184" s="172"/>
      <c r="T184" s="172"/>
      <c r="U184" s="17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3"/>
      <c r="FT184" s="163"/>
      <c r="FU184" s="163"/>
      <c r="FV184" s="163"/>
      <c r="FW184" s="163"/>
      <c r="FX184" s="163"/>
      <c r="FY184" s="163"/>
      <c r="FZ184" s="163"/>
      <c r="GA184" s="163"/>
      <c r="GB184" s="163"/>
      <c r="GC184" s="163"/>
      <c r="GD184" s="163"/>
      <c r="GE184" s="163"/>
      <c r="GF184" s="163"/>
      <c r="GG184" s="163"/>
      <c r="GH184" s="163"/>
      <c r="GI184" s="163"/>
      <c r="GJ184" s="163"/>
      <c r="GK184" s="163"/>
      <c r="GL184" s="163"/>
      <c r="GM184" s="163"/>
      <c r="GN184" s="163"/>
      <c r="GO184" s="163"/>
      <c r="GP184" s="163"/>
      <c r="GQ184" s="163"/>
      <c r="GR184" s="163"/>
      <c r="GS184" s="163"/>
      <c r="GT184" s="163"/>
      <c r="GU184" s="163"/>
      <c r="GV184" s="163"/>
      <c r="GW184" s="163"/>
      <c r="GX184" s="163"/>
      <c r="GY184" s="163"/>
      <c r="GZ184" s="163"/>
      <c r="HA184" s="163"/>
      <c r="HB184" s="163"/>
      <c r="HC184" s="163"/>
      <c r="HD184" s="163"/>
      <c r="HE184" s="163"/>
      <c r="HF184" s="163"/>
      <c r="HG184" s="163"/>
      <c r="HH184" s="163"/>
      <c r="HI184" s="163"/>
      <c r="HJ184" s="163"/>
      <c r="HK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  <c r="IL184" s="163"/>
      <c r="IM184" s="163"/>
      <c r="IN184" s="163"/>
      <c r="IO184" s="163"/>
      <c r="IP184" s="163"/>
      <c r="IQ184" s="163"/>
      <c r="IR184" s="163"/>
      <c r="IS184" s="163"/>
      <c r="IT184" s="163"/>
      <c r="IU184" s="163"/>
      <c r="IV184" s="163"/>
    </row>
    <row r="185" spans="1:256" ht="15" hidden="1">
      <c r="A185" s="835" t="s">
        <v>57</v>
      </c>
      <c r="B185" s="838" t="s">
        <v>58</v>
      </c>
      <c r="C185" s="183" t="s">
        <v>0</v>
      </c>
      <c r="D185" s="174">
        <f>D188</f>
        <v>63345268</v>
      </c>
      <c r="E185" s="175">
        <f t="shared" ref="E185:P186" si="76">E188</f>
        <v>50544268</v>
      </c>
      <c r="F185" s="175">
        <f t="shared" si="76"/>
        <v>50544268</v>
      </c>
      <c r="G185" s="175">
        <f t="shared" si="76"/>
        <v>0</v>
      </c>
      <c r="H185" s="175">
        <f t="shared" si="76"/>
        <v>50544268</v>
      </c>
      <c r="I185" s="175">
        <f t="shared" si="76"/>
        <v>0</v>
      </c>
      <c r="J185" s="175">
        <f t="shared" si="76"/>
        <v>0</v>
      </c>
      <c r="K185" s="175">
        <f t="shared" si="76"/>
        <v>0</v>
      </c>
      <c r="L185" s="175">
        <f t="shared" si="76"/>
        <v>0</v>
      </c>
      <c r="M185" s="175">
        <f t="shared" si="76"/>
        <v>12801000</v>
      </c>
      <c r="N185" s="175">
        <f t="shared" si="76"/>
        <v>12801000</v>
      </c>
      <c r="O185" s="175">
        <f t="shared" si="76"/>
        <v>0</v>
      </c>
      <c r="P185" s="175">
        <f t="shared" si="76"/>
        <v>0</v>
      </c>
      <c r="Q185" s="188"/>
      <c r="R185" s="188"/>
      <c r="S185" s="188"/>
      <c r="T185" s="188"/>
      <c r="U185" s="188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189"/>
      <c r="DE185" s="189"/>
      <c r="DF185" s="189"/>
      <c r="DG185" s="189"/>
      <c r="DH185" s="189"/>
      <c r="DI185" s="189"/>
      <c r="DJ185" s="189"/>
      <c r="DK185" s="189"/>
      <c r="DL185" s="189"/>
      <c r="DM185" s="189"/>
      <c r="DN185" s="189"/>
      <c r="DO185" s="189"/>
      <c r="DP185" s="189"/>
      <c r="DQ185" s="189"/>
      <c r="DR185" s="189"/>
      <c r="DS185" s="189"/>
      <c r="DT185" s="189"/>
      <c r="DU185" s="189"/>
      <c r="DV185" s="189"/>
      <c r="DW185" s="189"/>
      <c r="DX185" s="189"/>
      <c r="DY185" s="189"/>
      <c r="DZ185" s="189"/>
      <c r="EA185" s="189"/>
      <c r="EB185" s="189"/>
      <c r="EC185" s="189"/>
      <c r="ED185" s="189"/>
      <c r="EE185" s="189"/>
      <c r="EF185" s="189"/>
      <c r="EG185" s="189"/>
      <c r="EH185" s="189"/>
      <c r="EI185" s="189"/>
      <c r="EJ185" s="189"/>
      <c r="EK185" s="189"/>
      <c r="EL185" s="189"/>
      <c r="EM185" s="189"/>
      <c r="EN185" s="189"/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89"/>
      <c r="EY185" s="189"/>
      <c r="EZ185" s="189"/>
      <c r="FA185" s="189"/>
      <c r="FB185" s="189"/>
      <c r="FC185" s="189"/>
      <c r="FD185" s="189"/>
      <c r="FE185" s="189"/>
      <c r="FF185" s="189"/>
      <c r="FG185" s="189"/>
      <c r="FH185" s="189"/>
      <c r="FI185" s="189"/>
      <c r="FJ185" s="189"/>
      <c r="FK185" s="189"/>
      <c r="FL185" s="189"/>
      <c r="FM185" s="189"/>
      <c r="FN185" s="189"/>
      <c r="FO185" s="189"/>
      <c r="FP185" s="189"/>
      <c r="FQ185" s="189"/>
      <c r="FR185" s="189"/>
      <c r="FS185" s="189"/>
      <c r="FT185" s="189"/>
      <c r="FU185" s="189"/>
      <c r="FV185" s="189"/>
      <c r="FW185" s="189"/>
      <c r="FX185" s="189"/>
      <c r="FY185" s="189"/>
      <c r="FZ185" s="189"/>
      <c r="GA185" s="189"/>
      <c r="GB185" s="189"/>
      <c r="GC185" s="189"/>
      <c r="GD185" s="189"/>
      <c r="GE185" s="189"/>
      <c r="GF185" s="189"/>
      <c r="GG185" s="189"/>
      <c r="GH185" s="189"/>
      <c r="GI185" s="189"/>
      <c r="GJ185" s="189"/>
      <c r="GK185" s="189"/>
      <c r="GL185" s="189"/>
      <c r="GM185" s="189"/>
      <c r="GN185" s="189"/>
      <c r="GO185" s="189"/>
      <c r="GP185" s="189"/>
      <c r="GQ185" s="189"/>
      <c r="GR185" s="189"/>
      <c r="GS185" s="189"/>
      <c r="GT185" s="189"/>
      <c r="GU185" s="189"/>
      <c r="GV185" s="189"/>
      <c r="GW185" s="189"/>
      <c r="GX185" s="189"/>
      <c r="GY185" s="189"/>
      <c r="GZ185" s="189"/>
      <c r="HA185" s="189"/>
      <c r="HB185" s="189"/>
      <c r="HC185" s="189"/>
      <c r="HD185" s="189"/>
      <c r="HE185" s="189"/>
      <c r="HF185" s="189"/>
      <c r="HG185" s="189"/>
      <c r="HH185" s="189"/>
      <c r="HI185" s="189"/>
      <c r="HJ185" s="189"/>
      <c r="HK185" s="189"/>
      <c r="HL185" s="189"/>
      <c r="HM185" s="189"/>
      <c r="HN185" s="189"/>
      <c r="HO185" s="189"/>
      <c r="HP185" s="189"/>
      <c r="HQ185" s="189"/>
      <c r="HR185" s="189"/>
      <c r="HS185" s="189"/>
      <c r="HT185" s="189"/>
      <c r="HU185" s="189"/>
      <c r="HV185" s="189"/>
      <c r="HW185" s="189"/>
      <c r="HX185" s="189"/>
      <c r="HY185" s="189"/>
      <c r="HZ185" s="189"/>
      <c r="IA185" s="189"/>
      <c r="IB185" s="189"/>
      <c r="IC185" s="189"/>
      <c r="ID185" s="189"/>
      <c r="IE185" s="189"/>
      <c r="IF185" s="189"/>
      <c r="IG185" s="189"/>
      <c r="IH185" s="189"/>
      <c r="II185" s="189"/>
      <c r="IJ185" s="189"/>
      <c r="IK185" s="189"/>
      <c r="IL185" s="189"/>
      <c r="IM185" s="189"/>
      <c r="IN185" s="189"/>
      <c r="IO185" s="189"/>
      <c r="IP185" s="189"/>
      <c r="IQ185" s="189"/>
      <c r="IR185" s="189"/>
      <c r="IS185" s="189"/>
      <c r="IT185" s="189"/>
      <c r="IU185" s="189"/>
      <c r="IV185" s="189"/>
    </row>
    <row r="186" spans="1:256" ht="15" hidden="1">
      <c r="A186" s="836"/>
      <c r="B186" s="839"/>
      <c r="C186" s="183" t="s">
        <v>1</v>
      </c>
      <c r="D186" s="174">
        <f>D189</f>
        <v>0</v>
      </c>
      <c r="E186" s="175">
        <f t="shared" si="76"/>
        <v>0</v>
      </c>
      <c r="F186" s="175">
        <f t="shared" si="76"/>
        <v>0</v>
      </c>
      <c r="G186" s="175">
        <f t="shared" si="76"/>
        <v>0</v>
      </c>
      <c r="H186" s="175">
        <f t="shared" si="76"/>
        <v>0</v>
      </c>
      <c r="I186" s="175">
        <f t="shared" si="76"/>
        <v>0</v>
      </c>
      <c r="J186" s="175">
        <f t="shared" si="76"/>
        <v>0</v>
      </c>
      <c r="K186" s="175">
        <f t="shared" si="76"/>
        <v>0</v>
      </c>
      <c r="L186" s="175">
        <f t="shared" si="76"/>
        <v>0</v>
      </c>
      <c r="M186" s="175">
        <f t="shared" si="76"/>
        <v>0</v>
      </c>
      <c r="N186" s="175">
        <f t="shared" si="76"/>
        <v>0</v>
      </c>
      <c r="O186" s="175">
        <f t="shared" si="76"/>
        <v>0</v>
      </c>
      <c r="P186" s="175">
        <f t="shared" si="76"/>
        <v>0</v>
      </c>
      <c r="Q186" s="188"/>
      <c r="R186" s="188"/>
      <c r="S186" s="188"/>
      <c r="T186" s="188"/>
      <c r="U186" s="188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  <c r="CW186" s="189"/>
      <c r="CX186" s="189"/>
      <c r="CY186" s="189"/>
      <c r="CZ186" s="189"/>
      <c r="DA186" s="189"/>
      <c r="DB186" s="189"/>
      <c r="DC186" s="189"/>
      <c r="DD186" s="189"/>
      <c r="DE186" s="189"/>
      <c r="DF186" s="189"/>
      <c r="DG186" s="189"/>
      <c r="DH186" s="189"/>
      <c r="DI186" s="189"/>
      <c r="DJ186" s="189"/>
      <c r="DK186" s="189"/>
      <c r="DL186" s="189"/>
      <c r="DM186" s="189"/>
      <c r="DN186" s="189"/>
      <c r="DO186" s="189"/>
      <c r="DP186" s="189"/>
      <c r="DQ186" s="189"/>
      <c r="DR186" s="189"/>
      <c r="DS186" s="189"/>
      <c r="DT186" s="189"/>
      <c r="DU186" s="189"/>
      <c r="DV186" s="189"/>
      <c r="DW186" s="189"/>
      <c r="DX186" s="189"/>
      <c r="DY186" s="189"/>
      <c r="DZ186" s="189"/>
      <c r="EA186" s="189"/>
      <c r="EB186" s="189"/>
      <c r="EC186" s="189"/>
      <c r="ED186" s="189"/>
      <c r="EE186" s="189"/>
      <c r="EF186" s="189"/>
      <c r="EG186" s="189"/>
      <c r="EH186" s="189"/>
      <c r="EI186" s="189"/>
      <c r="EJ186" s="189"/>
      <c r="EK186" s="189"/>
      <c r="EL186" s="189"/>
      <c r="EM186" s="189"/>
      <c r="EN186" s="189"/>
      <c r="EO186" s="189"/>
      <c r="EP186" s="189"/>
      <c r="EQ186" s="189"/>
      <c r="ER186" s="189"/>
      <c r="ES186" s="189"/>
      <c r="ET186" s="189"/>
      <c r="EU186" s="189"/>
      <c r="EV186" s="189"/>
      <c r="EW186" s="189"/>
      <c r="EX186" s="189"/>
      <c r="EY186" s="189"/>
      <c r="EZ186" s="189"/>
      <c r="FA186" s="189"/>
      <c r="FB186" s="189"/>
      <c r="FC186" s="189"/>
      <c r="FD186" s="189"/>
      <c r="FE186" s="189"/>
      <c r="FF186" s="189"/>
      <c r="FG186" s="189"/>
      <c r="FH186" s="189"/>
      <c r="FI186" s="189"/>
      <c r="FJ186" s="189"/>
      <c r="FK186" s="189"/>
      <c r="FL186" s="189"/>
      <c r="FM186" s="189"/>
      <c r="FN186" s="189"/>
      <c r="FO186" s="189"/>
      <c r="FP186" s="189"/>
      <c r="FQ186" s="189"/>
      <c r="FR186" s="189"/>
      <c r="FS186" s="189"/>
      <c r="FT186" s="189"/>
      <c r="FU186" s="189"/>
      <c r="FV186" s="189"/>
      <c r="FW186" s="189"/>
      <c r="FX186" s="189"/>
      <c r="FY186" s="189"/>
      <c r="FZ186" s="189"/>
      <c r="GA186" s="189"/>
      <c r="GB186" s="189"/>
      <c r="GC186" s="189"/>
      <c r="GD186" s="189"/>
      <c r="GE186" s="189"/>
      <c r="GF186" s="189"/>
      <c r="GG186" s="189"/>
      <c r="GH186" s="189"/>
      <c r="GI186" s="189"/>
      <c r="GJ186" s="189"/>
      <c r="GK186" s="189"/>
      <c r="GL186" s="189"/>
      <c r="GM186" s="189"/>
      <c r="GN186" s="189"/>
      <c r="GO186" s="189"/>
      <c r="GP186" s="189"/>
      <c r="GQ186" s="189"/>
      <c r="GR186" s="189"/>
      <c r="GS186" s="189"/>
      <c r="GT186" s="189"/>
      <c r="GU186" s="189"/>
      <c r="GV186" s="189"/>
      <c r="GW186" s="189"/>
      <c r="GX186" s="189"/>
      <c r="GY186" s="189"/>
      <c r="GZ186" s="189"/>
      <c r="HA186" s="189"/>
      <c r="HB186" s="189"/>
      <c r="HC186" s="189"/>
      <c r="HD186" s="189"/>
      <c r="HE186" s="189"/>
      <c r="HF186" s="189"/>
      <c r="HG186" s="189"/>
      <c r="HH186" s="189"/>
      <c r="HI186" s="189"/>
      <c r="HJ186" s="189"/>
      <c r="HK186" s="189"/>
      <c r="HL186" s="189"/>
      <c r="HM186" s="189"/>
      <c r="HN186" s="189"/>
      <c r="HO186" s="189"/>
      <c r="HP186" s="189"/>
      <c r="HQ186" s="189"/>
      <c r="HR186" s="189"/>
      <c r="HS186" s="189"/>
      <c r="HT186" s="189"/>
      <c r="HU186" s="189"/>
      <c r="HV186" s="189"/>
      <c r="HW186" s="189"/>
      <c r="HX186" s="189"/>
      <c r="HY186" s="189"/>
      <c r="HZ186" s="189"/>
      <c r="IA186" s="189"/>
      <c r="IB186" s="189"/>
      <c r="IC186" s="189"/>
      <c r="ID186" s="189"/>
      <c r="IE186" s="189"/>
      <c r="IF186" s="189"/>
      <c r="IG186" s="189"/>
      <c r="IH186" s="189"/>
      <c r="II186" s="189"/>
      <c r="IJ186" s="189"/>
      <c r="IK186" s="189"/>
      <c r="IL186" s="189"/>
      <c r="IM186" s="189"/>
      <c r="IN186" s="189"/>
      <c r="IO186" s="189"/>
      <c r="IP186" s="189"/>
      <c r="IQ186" s="189"/>
      <c r="IR186" s="189"/>
      <c r="IS186" s="189"/>
      <c r="IT186" s="189"/>
      <c r="IU186" s="189"/>
      <c r="IV186" s="189"/>
    </row>
    <row r="187" spans="1:256" ht="15" hidden="1">
      <c r="A187" s="837"/>
      <c r="B187" s="840"/>
      <c r="C187" s="183" t="s">
        <v>2</v>
      </c>
      <c r="D187" s="174">
        <f>D185+D186</f>
        <v>63345268</v>
      </c>
      <c r="E187" s="175">
        <f t="shared" ref="E187:P187" si="77">E185+E186</f>
        <v>50544268</v>
      </c>
      <c r="F187" s="175">
        <f t="shared" si="77"/>
        <v>50544268</v>
      </c>
      <c r="G187" s="175">
        <f t="shared" si="77"/>
        <v>0</v>
      </c>
      <c r="H187" s="175">
        <f t="shared" si="77"/>
        <v>50544268</v>
      </c>
      <c r="I187" s="175">
        <f t="shared" si="77"/>
        <v>0</v>
      </c>
      <c r="J187" s="175">
        <f t="shared" si="77"/>
        <v>0</v>
      </c>
      <c r="K187" s="175">
        <f t="shared" si="77"/>
        <v>0</v>
      </c>
      <c r="L187" s="175">
        <f t="shared" si="77"/>
        <v>0</v>
      </c>
      <c r="M187" s="175">
        <f t="shared" si="77"/>
        <v>12801000</v>
      </c>
      <c r="N187" s="175">
        <f t="shared" si="77"/>
        <v>12801000</v>
      </c>
      <c r="O187" s="175">
        <f t="shared" si="77"/>
        <v>0</v>
      </c>
      <c r="P187" s="175">
        <f t="shared" si="77"/>
        <v>0</v>
      </c>
      <c r="Q187" s="188"/>
      <c r="R187" s="188"/>
      <c r="S187" s="188"/>
      <c r="T187" s="188"/>
      <c r="U187" s="188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189"/>
      <c r="DE187" s="189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189"/>
      <c r="DV187" s="189"/>
      <c r="DW187" s="189"/>
      <c r="DX187" s="189"/>
      <c r="DY187" s="189"/>
      <c r="DZ187" s="189"/>
      <c r="EA187" s="189"/>
      <c r="EB187" s="189"/>
      <c r="EC187" s="189"/>
      <c r="ED187" s="189"/>
      <c r="EE187" s="189"/>
      <c r="EF187" s="189"/>
      <c r="EG187" s="189"/>
      <c r="EH187" s="189"/>
      <c r="EI187" s="189"/>
      <c r="EJ187" s="189"/>
      <c r="EK187" s="189"/>
      <c r="EL187" s="189"/>
      <c r="EM187" s="189"/>
      <c r="EN187" s="189"/>
      <c r="EO187" s="189"/>
      <c r="EP187" s="189"/>
      <c r="EQ187" s="189"/>
      <c r="ER187" s="189"/>
      <c r="ES187" s="189"/>
      <c r="ET187" s="189"/>
      <c r="EU187" s="189"/>
      <c r="EV187" s="189"/>
      <c r="EW187" s="189"/>
      <c r="EX187" s="189"/>
      <c r="EY187" s="189"/>
      <c r="EZ187" s="189"/>
      <c r="FA187" s="189"/>
      <c r="FB187" s="189"/>
      <c r="FC187" s="189"/>
      <c r="FD187" s="189"/>
      <c r="FE187" s="189"/>
      <c r="FF187" s="189"/>
      <c r="FG187" s="189"/>
      <c r="FH187" s="189"/>
      <c r="FI187" s="189"/>
      <c r="FJ187" s="189"/>
      <c r="FK187" s="189"/>
      <c r="FL187" s="189"/>
      <c r="FM187" s="189"/>
      <c r="FN187" s="189"/>
      <c r="FO187" s="189"/>
      <c r="FP187" s="189"/>
      <c r="FQ187" s="189"/>
      <c r="FR187" s="189"/>
      <c r="FS187" s="189"/>
      <c r="FT187" s="189"/>
      <c r="FU187" s="189"/>
      <c r="FV187" s="189"/>
      <c r="FW187" s="189"/>
      <c r="FX187" s="189"/>
      <c r="FY187" s="189"/>
      <c r="FZ187" s="189"/>
      <c r="GA187" s="189"/>
      <c r="GB187" s="189"/>
      <c r="GC187" s="189"/>
      <c r="GD187" s="189"/>
      <c r="GE187" s="189"/>
      <c r="GF187" s="189"/>
      <c r="GG187" s="189"/>
      <c r="GH187" s="189"/>
      <c r="GI187" s="189"/>
      <c r="GJ187" s="189"/>
      <c r="GK187" s="189"/>
      <c r="GL187" s="189"/>
      <c r="GM187" s="189"/>
      <c r="GN187" s="189"/>
      <c r="GO187" s="189"/>
      <c r="GP187" s="189"/>
      <c r="GQ187" s="189"/>
      <c r="GR187" s="189"/>
      <c r="GS187" s="189"/>
      <c r="GT187" s="189"/>
      <c r="GU187" s="189"/>
      <c r="GV187" s="189"/>
      <c r="GW187" s="189"/>
      <c r="GX187" s="189"/>
      <c r="GY187" s="189"/>
      <c r="GZ187" s="189"/>
      <c r="HA187" s="189"/>
      <c r="HB187" s="189"/>
      <c r="HC187" s="189"/>
      <c r="HD187" s="189"/>
      <c r="HE187" s="189"/>
      <c r="HF187" s="189"/>
      <c r="HG187" s="189"/>
      <c r="HH187" s="189"/>
      <c r="HI187" s="189"/>
      <c r="HJ187" s="189"/>
      <c r="HK187" s="189"/>
      <c r="HL187" s="189"/>
      <c r="HM187" s="189"/>
      <c r="HN187" s="189"/>
      <c r="HO187" s="189"/>
      <c r="HP187" s="189"/>
      <c r="HQ187" s="189"/>
      <c r="HR187" s="189"/>
      <c r="HS187" s="189"/>
      <c r="HT187" s="189"/>
      <c r="HU187" s="189"/>
      <c r="HV187" s="189"/>
      <c r="HW187" s="189"/>
      <c r="HX187" s="189"/>
      <c r="HY187" s="189"/>
      <c r="HZ187" s="189"/>
      <c r="IA187" s="189"/>
      <c r="IB187" s="189"/>
      <c r="IC187" s="189"/>
      <c r="ID187" s="189"/>
      <c r="IE187" s="189"/>
      <c r="IF187" s="189"/>
      <c r="IG187" s="189"/>
      <c r="IH187" s="189"/>
      <c r="II187" s="189"/>
      <c r="IJ187" s="189"/>
      <c r="IK187" s="189"/>
      <c r="IL187" s="189"/>
      <c r="IM187" s="189"/>
      <c r="IN187" s="189"/>
      <c r="IO187" s="189"/>
      <c r="IP187" s="189"/>
      <c r="IQ187" s="189"/>
      <c r="IR187" s="189"/>
      <c r="IS187" s="189"/>
      <c r="IT187" s="189"/>
      <c r="IU187" s="189"/>
      <c r="IV187" s="189"/>
    </row>
    <row r="188" spans="1:256" hidden="1">
      <c r="A188" s="841" t="s">
        <v>250</v>
      </c>
      <c r="B188" s="844" t="s">
        <v>251</v>
      </c>
      <c r="C188" s="178" t="s">
        <v>0</v>
      </c>
      <c r="D188" s="180">
        <f>E188+M188</f>
        <v>63345268</v>
      </c>
      <c r="E188" s="181">
        <f>F188+I188+J188+K188+L188</f>
        <v>50544268</v>
      </c>
      <c r="F188" s="181">
        <f>G188+H188</f>
        <v>50544268</v>
      </c>
      <c r="G188" s="181">
        <v>0</v>
      </c>
      <c r="H188" s="181">
        <v>50544268</v>
      </c>
      <c r="I188" s="181">
        <v>0</v>
      </c>
      <c r="J188" s="181">
        <v>0</v>
      </c>
      <c r="K188" s="181">
        <v>0</v>
      </c>
      <c r="L188" s="181">
        <v>0</v>
      </c>
      <c r="M188" s="181">
        <f>N188+P188</f>
        <v>12801000</v>
      </c>
      <c r="N188" s="181">
        <v>12801000</v>
      </c>
      <c r="O188" s="181">
        <v>0</v>
      </c>
      <c r="P188" s="181">
        <v>0</v>
      </c>
      <c r="Q188" s="182"/>
      <c r="R188" s="182"/>
      <c r="S188" s="182"/>
      <c r="T188" s="182"/>
      <c r="U188" s="182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  <c r="HN188" s="148"/>
      <c r="HO188" s="148"/>
      <c r="HP188" s="148"/>
      <c r="HQ188" s="148"/>
      <c r="HR188" s="148"/>
      <c r="HS188" s="148"/>
      <c r="HT188" s="148"/>
      <c r="HU188" s="148"/>
      <c r="HV188" s="148"/>
      <c r="HW188" s="148"/>
      <c r="HX188" s="148"/>
      <c r="HY188" s="148"/>
      <c r="HZ188" s="148"/>
      <c r="IA188" s="148"/>
      <c r="IB188" s="148"/>
      <c r="IC188" s="148"/>
      <c r="ID188" s="148"/>
      <c r="IE188" s="148"/>
      <c r="IF188" s="148"/>
      <c r="IG188" s="148"/>
      <c r="IH188" s="148"/>
      <c r="II188" s="148"/>
      <c r="IJ188" s="148"/>
      <c r="IK188" s="148"/>
      <c r="IL188" s="148"/>
      <c r="IM188" s="148"/>
      <c r="IN188" s="148"/>
      <c r="IO188" s="148"/>
      <c r="IP188" s="148"/>
      <c r="IQ188" s="148"/>
      <c r="IR188" s="148"/>
      <c r="IS188" s="148"/>
      <c r="IT188" s="148"/>
      <c r="IU188" s="148"/>
      <c r="IV188" s="148"/>
    </row>
    <row r="189" spans="1:256" hidden="1">
      <c r="A189" s="842"/>
      <c r="B189" s="845"/>
      <c r="C189" s="178" t="s">
        <v>1</v>
      </c>
      <c r="D189" s="180">
        <f>E189+M189</f>
        <v>0</v>
      </c>
      <c r="E189" s="181">
        <f>F189+I189+J189+K189+L189</f>
        <v>0</v>
      </c>
      <c r="F189" s="181">
        <f>G189+H189</f>
        <v>0</v>
      </c>
      <c r="G189" s="181"/>
      <c r="H189" s="181"/>
      <c r="I189" s="181"/>
      <c r="J189" s="181"/>
      <c r="K189" s="181"/>
      <c r="L189" s="181"/>
      <c r="M189" s="181">
        <f>N189+P189</f>
        <v>0</v>
      </c>
      <c r="N189" s="181"/>
      <c r="O189" s="181"/>
      <c r="P189" s="181"/>
      <c r="Q189" s="182"/>
      <c r="R189" s="182"/>
      <c r="S189" s="182"/>
      <c r="T189" s="182"/>
      <c r="U189" s="182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  <c r="HQ189" s="148"/>
      <c r="HR189" s="148"/>
      <c r="HS189" s="148"/>
      <c r="HT189" s="148"/>
      <c r="HU189" s="148"/>
      <c r="HV189" s="148"/>
      <c r="HW189" s="148"/>
      <c r="HX189" s="148"/>
      <c r="HY189" s="148"/>
      <c r="HZ189" s="148"/>
      <c r="IA189" s="148"/>
      <c r="IB189" s="148"/>
      <c r="IC189" s="148"/>
      <c r="ID189" s="148"/>
      <c r="IE189" s="148"/>
      <c r="IF189" s="148"/>
      <c r="IG189" s="148"/>
      <c r="IH189" s="148"/>
      <c r="II189" s="148"/>
      <c r="IJ189" s="148"/>
      <c r="IK189" s="148"/>
      <c r="IL189" s="148"/>
      <c r="IM189" s="148"/>
      <c r="IN189" s="148"/>
      <c r="IO189" s="148"/>
      <c r="IP189" s="148"/>
      <c r="IQ189" s="148"/>
      <c r="IR189" s="148"/>
      <c r="IS189" s="148"/>
      <c r="IT189" s="148"/>
      <c r="IU189" s="148"/>
      <c r="IV189" s="148"/>
    </row>
    <row r="190" spans="1:256" hidden="1">
      <c r="A190" s="843"/>
      <c r="B190" s="846"/>
      <c r="C190" s="178" t="s">
        <v>2</v>
      </c>
      <c r="D190" s="180">
        <f>D188+D189</f>
        <v>63345268</v>
      </c>
      <c r="E190" s="181">
        <f t="shared" ref="E190:P190" si="78">E188+E189</f>
        <v>50544268</v>
      </c>
      <c r="F190" s="181">
        <f t="shared" si="78"/>
        <v>50544268</v>
      </c>
      <c r="G190" s="181">
        <f t="shared" si="78"/>
        <v>0</v>
      </c>
      <c r="H190" s="181">
        <f t="shared" si="78"/>
        <v>50544268</v>
      </c>
      <c r="I190" s="181">
        <f t="shared" si="78"/>
        <v>0</v>
      </c>
      <c r="J190" s="181">
        <f t="shared" si="78"/>
        <v>0</v>
      </c>
      <c r="K190" s="181">
        <f t="shared" si="78"/>
        <v>0</v>
      </c>
      <c r="L190" s="181">
        <f t="shared" si="78"/>
        <v>0</v>
      </c>
      <c r="M190" s="181">
        <f t="shared" si="78"/>
        <v>12801000</v>
      </c>
      <c r="N190" s="181">
        <f t="shared" si="78"/>
        <v>12801000</v>
      </c>
      <c r="O190" s="181">
        <f t="shared" si="78"/>
        <v>0</v>
      </c>
      <c r="P190" s="181">
        <f t="shared" si="78"/>
        <v>0</v>
      </c>
      <c r="Q190" s="182"/>
      <c r="R190" s="182"/>
      <c r="S190" s="182"/>
      <c r="T190" s="182"/>
      <c r="U190" s="182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  <c r="HQ190" s="148"/>
      <c r="HR190" s="148"/>
      <c r="HS190" s="148"/>
      <c r="HT190" s="148"/>
      <c r="HU190" s="148"/>
      <c r="HV190" s="148"/>
      <c r="HW190" s="148"/>
      <c r="HX190" s="148"/>
      <c r="HY190" s="148"/>
      <c r="HZ190" s="148"/>
      <c r="IA190" s="148"/>
      <c r="IB190" s="148"/>
      <c r="IC190" s="148"/>
      <c r="ID190" s="148"/>
      <c r="IE190" s="148"/>
      <c r="IF190" s="148"/>
      <c r="IG190" s="148"/>
      <c r="IH190" s="148"/>
      <c r="II190" s="148"/>
      <c r="IJ190" s="148"/>
      <c r="IK190" s="148"/>
      <c r="IL190" s="148"/>
      <c r="IM190" s="148"/>
      <c r="IN190" s="148"/>
      <c r="IO190" s="148"/>
      <c r="IP190" s="148"/>
      <c r="IQ190" s="148"/>
      <c r="IR190" s="148"/>
      <c r="IS190" s="148"/>
      <c r="IT190" s="148"/>
      <c r="IU190" s="148"/>
      <c r="IV190" s="148"/>
    </row>
    <row r="191" spans="1:256" ht="15">
      <c r="A191" s="835" t="s">
        <v>59</v>
      </c>
      <c r="B191" s="838" t="s">
        <v>60</v>
      </c>
      <c r="C191" s="183" t="s">
        <v>0</v>
      </c>
      <c r="D191" s="174">
        <f>D194+D200+D203+D209+D212+D215+D218+D221+D224+D227+D233+D197+D230+D206</f>
        <v>145010503</v>
      </c>
      <c r="E191" s="175">
        <f t="shared" ref="E191:P192" si="79">E194+E200+E203+E209+E212+E215+E218+E221+E224+E227+E233+E197+E230+E206</f>
        <v>142023285</v>
      </c>
      <c r="F191" s="175">
        <f t="shared" si="79"/>
        <v>137501489</v>
      </c>
      <c r="G191" s="175">
        <f t="shared" si="79"/>
        <v>113019316</v>
      </c>
      <c r="H191" s="175">
        <f t="shared" si="79"/>
        <v>24482173</v>
      </c>
      <c r="I191" s="175">
        <f t="shared" si="79"/>
        <v>0</v>
      </c>
      <c r="J191" s="175">
        <f t="shared" si="79"/>
        <v>218423</v>
      </c>
      <c r="K191" s="175">
        <f t="shared" si="79"/>
        <v>4303373</v>
      </c>
      <c r="L191" s="175">
        <f t="shared" si="79"/>
        <v>0</v>
      </c>
      <c r="M191" s="175">
        <f t="shared" si="79"/>
        <v>2987218</v>
      </c>
      <c r="N191" s="175">
        <f t="shared" si="79"/>
        <v>2987218</v>
      </c>
      <c r="O191" s="175">
        <f t="shared" si="79"/>
        <v>781111</v>
      </c>
      <c r="P191" s="175">
        <f t="shared" si="79"/>
        <v>0</v>
      </c>
      <c r="Q191" s="188"/>
      <c r="R191" s="188"/>
      <c r="S191" s="188"/>
      <c r="T191" s="188"/>
      <c r="U191" s="188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189"/>
      <c r="DE191" s="189"/>
      <c r="DF191" s="189"/>
      <c r="DG191" s="189"/>
      <c r="DH191" s="189"/>
      <c r="DI191" s="189"/>
      <c r="DJ191" s="189"/>
      <c r="DK191" s="189"/>
      <c r="DL191" s="189"/>
      <c r="DM191" s="189"/>
      <c r="DN191" s="189"/>
      <c r="DO191" s="189"/>
      <c r="DP191" s="189"/>
      <c r="DQ191" s="189"/>
      <c r="DR191" s="189"/>
      <c r="DS191" s="189"/>
      <c r="DT191" s="189"/>
      <c r="DU191" s="189"/>
      <c r="DV191" s="189"/>
      <c r="DW191" s="189"/>
      <c r="DX191" s="189"/>
      <c r="DY191" s="189"/>
      <c r="DZ191" s="189"/>
      <c r="EA191" s="189"/>
      <c r="EB191" s="189"/>
      <c r="EC191" s="189"/>
      <c r="ED191" s="189"/>
      <c r="EE191" s="189"/>
      <c r="EF191" s="189"/>
      <c r="EG191" s="189"/>
      <c r="EH191" s="189"/>
      <c r="EI191" s="189"/>
      <c r="EJ191" s="189"/>
      <c r="EK191" s="189"/>
      <c r="EL191" s="189"/>
      <c r="EM191" s="189"/>
      <c r="EN191" s="189"/>
      <c r="EO191" s="189"/>
      <c r="EP191" s="189"/>
      <c r="EQ191" s="189"/>
      <c r="ER191" s="189"/>
      <c r="ES191" s="189"/>
      <c r="ET191" s="189"/>
      <c r="EU191" s="189"/>
      <c r="EV191" s="189"/>
      <c r="EW191" s="189"/>
      <c r="EX191" s="189"/>
      <c r="EY191" s="189"/>
      <c r="EZ191" s="189"/>
      <c r="FA191" s="189"/>
      <c r="FB191" s="189"/>
      <c r="FC191" s="189"/>
      <c r="FD191" s="189"/>
      <c r="FE191" s="189"/>
      <c r="FF191" s="189"/>
      <c r="FG191" s="189"/>
      <c r="FH191" s="189"/>
      <c r="FI191" s="189"/>
      <c r="FJ191" s="189"/>
      <c r="FK191" s="189"/>
      <c r="FL191" s="189"/>
      <c r="FM191" s="189"/>
      <c r="FN191" s="189"/>
      <c r="FO191" s="189"/>
      <c r="FP191" s="189"/>
      <c r="FQ191" s="189"/>
      <c r="FR191" s="189"/>
      <c r="FS191" s="189"/>
      <c r="FT191" s="189"/>
      <c r="FU191" s="189"/>
      <c r="FV191" s="189"/>
      <c r="FW191" s="189"/>
      <c r="FX191" s="189"/>
      <c r="FY191" s="189"/>
      <c r="FZ191" s="189"/>
      <c r="GA191" s="189"/>
      <c r="GB191" s="189"/>
      <c r="GC191" s="189"/>
      <c r="GD191" s="189"/>
      <c r="GE191" s="189"/>
      <c r="GF191" s="189"/>
      <c r="GG191" s="189"/>
      <c r="GH191" s="189"/>
      <c r="GI191" s="189"/>
      <c r="GJ191" s="189"/>
      <c r="GK191" s="189"/>
      <c r="GL191" s="189"/>
      <c r="GM191" s="189"/>
      <c r="GN191" s="189"/>
      <c r="GO191" s="189"/>
      <c r="GP191" s="189"/>
      <c r="GQ191" s="189"/>
      <c r="GR191" s="189"/>
      <c r="GS191" s="189"/>
      <c r="GT191" s="189"/>
      <c r="GU191" s="189"/>
      <c r="GV191" s="189"/>
      <c r="GW191" s="189"/>
      <c r="GX191" s="189"/>
      <c r="GY191" s="189"/>
      <c r="GZ191" s="189"/>
      <c r="HA191" s="189"/>
      <c r="HB191" s="189"/>
      <c r="HC191" s="189"/>
      <c r="HD191" s="189"/>
      <c r="HE191" s="189"/>
      <c r="HF191" s="189"/>
      <c r="HG191" s="189"/>
      <c r="HH191" s="189"/>
      <c r="HI191" s="189"/>
      <c r="HJ191" s="189"/>
      <c r="HK191" s="189"/>
      <c r="HL191" s="189"/>
      <c r="HM191" s="189"/>
      <c r="HN191" s="189"/>
      <c r="HO191" s="189"/>
      <c r="HP191" s="189"/>
      <c r="HQ191" s="189"/>
      <c r="HR191" s="189"/>
      <c r="HS191" s="189"/>
      <c r="HT191" s="189"/>
      <c r="HU191" s="189"/>
      <c r="HV191" s="189"/>
      <c r="HW191" s="189"/>
      <c r="HX191" s="189"/>
      <c r="HY191" s="189"/>
      <c r="HZ191" s="189"/>
      <c r="IA191" s="189"/>
      <c r="IB191" s="189"/>
      <c r="IC191" s="189"/>
      <c r="ID191" s="189"/>
      <c r="IE191" s="189"/>
      <c r="IF191" s="189"/>
      <c r="IG191" s="189"/>
      <c r="IH191" s="189"/>
      <c r="II191" s="189"/>
      <c r="IJ191" s="189"/>
      <c r="IK191" s="189"/>
      <c r="IL191" s="189"/>
      <c r="IM191" s="189"/>
      <c r="IN191" s="189"/>
      <c r="IO191" s="189"/>
      <c r="IP191" s="189"/>
      <c r="IQ191" s="189"/>
      <c r="IR191" s="189"/>
      <c r="IS191" s="189"/>
      <c r="IT191" s="189"/>
      <c r="IU191" s="189"/>
      <c r="IV191" s="189"/>
    </row>
    <row r="192" spans="1:256" ht="15">
      <c r="A192" s="836"/>
      <c r="B192" s="839"/>
      <c r="C192" s="183" t="s">
        <v>1</v>
      </c>
      <c r="D192" s="174">
        <f>D195+D201+D204+D210+D213+D216+D219+D222+D225+D228+D234+D198+D231+D207</f>
        <v>-2624108</v>
      </c>
      <c r="E192" s="175">
        <f t="shared" si="79"/>
        <v>-2764982</v>
      </c>
      <c r="F192" s="175">
        <f t="shared" si="79"/>
        <v>-3776288</v>
      </c>
      <c r="G192" s="175">
        <f t="shared" si="79"/>
        <v>-429884</v>
      </c>
      <c r="H192" s="175">
        <f t="shared" si="79"/>
        <v>-3346404</v>
      </c>
      <c r="I192" s="175">
        <f t="shared" si="79"/>
        <v>0</v>
      </c>
      <c r="J192" s="175">
        <f t="shared" si="79"/>
        <v>0</v>
      </c>
      <c r="K192" s="175">
        <f t="shared" si="79"/>
        <v>1011306</v>
      </c>
      <c r="L192" s="175">
        <f t="shared" si="79"/>
        <v>0</v>
      </c>
      <c r="M192" s="175">
        <f t="shared" si="79"/>
        <v>140874</v>
      </c>
      <c r="N192" s="175">
        <f t="shared" si="79"/>
        <v>140874</v>
      </c>
      <c r="O192" s="175">
        <f t="shared" si="79"/>
        <v>47682</v>
      </c>
      <c r="P192" s="175">
        <f t="shared" si="79"/>
        <v>0</v>
      </c>
      <c r="Q192" s="188"/>
      <c r="R192" s="188"/>
      <c r="S192" s="188"/>
      <c r="T192" s="188"/>
      <c r="U192" s="188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  <c r="CW192" s="189"/>
      <c r="CX192" s="189"/>
      <c r="CY192" s="189"/>
      <c r="CZ192" s="189"/>
      <c r="DA192" s="189"/>
      <c r="DB192" s="189"/>
      <c r="DC192" s="189"/>
      <c r="DD192" s="189"/>
      <c r="DE192" s="189"/>
      <c r="DF192" s="189"/>
      <c r="DG192" s="189"/>
      <c r="DH192" s="189"/>
      <c r="DI192" s="189"/>
      <c r="DJ192" s="189"/>
      <c r="DK192" s="189"/>
      <c r="DL192" s="189"/>
      <c r="DM192" s="189"/>
      <c r="DN192" s="189"/>
      <c r="DO192" s="189"/>
      <c r="DP192" s="189"/>
      <c r="DQ192" s="189"/>
      <c r="DR192" s="189"/>
      <c r="DS192" s="189"/>
      <c r="DT192" s="189"/>
      <c r="DU192" s="189"/>
      <c r="DV192" s="189"/>
      <c r="DW192" s="189"/>
      <c r="DX192" s="189"/>
      <c r="DY192" s="189"/>
      <c r="DZ192" s="189"/>
      <c r="EA192" s="189"/>
      <c r="EB192" s="189"/>
      <c r="EC192" s="189"/>
      <c r="ED192" s="189"/>
      <c r="EE192" s="189"/>
      <c r="EF192" s="189"/>
      <c r="EG192" s="189"/>
      <c r="EH192" s="189"/>
      <c r="EI192" s="189"/>
      <c r="EJ192" s="189"/>
      <c r="EK192" s="189"/>
      <c r="EL192" s="189"/>
      <c r="EM192" s="189"/>
      <c r="EN192" s="189"/>
      <c r="EO192" s="189"/>
      <c r="EP192" s="189"/>
      <c r="EQ192" s="189"/>
      <c r="ER192" s="189"/>
      <c r="ES192" s="189"/>
      <c r="ET192" s="189"/>
      <c r="EU192" s="189"/>
      <c r="EV192" s="189"/>
      <c r="EW192" s="189"/>
      <c r="EX192" s="189"/>
      <c r="EY192" s="189"/>
      <c r="EZ192" s="189"/>
      <c r="FA192" s="189"/>
      <c r="FB192" s="189"/>
      <c r="FC192" s="189"/>
      <c r="FD192" s="189"/>
      <c r="FE192" s="189"/>
      <c r="FF192" s="189"/>
      <c r="FG192" s="189"/>
      <c r="FH192" s="189"/>
      <c r="FI192" s="189"/>
      <c r="FJ192" s="189"/>
      <c r="FK192" s="189"/>
      <c r="FL192" s="189"/>
      <c r="FM192" s="189"/>
      <c r="FN192" s="189"/>
      <c r="FO192" s="189"/>
      <c r="FP192" s="189"/>
      <c r="FQ192" s="189"/>
      <c r="FR192" s="189"/>
      <c r="FS192" s="189"/>
      <c r="FT192" s="189"/>
      <c r="FU192" s="189"/>
      <c r="FV192" s="189"/>
      <c r="FW192" s="189"/>
      <c r="FX192" s="189"/>
      <c r="FY192" s="189"/>
      <c r="FZ192" s="189"/>
      <c r="GA192" s="189"/>
      <c r="GB192" s="189"/>
      <c r="GC192" s="189"/>
      <c r="GD192" s="189"/>
      <c r="GE192" s="189"/>
      <c r="GF192" s="189"/>
      <c r="GG192" s="189"/>
      <c r="GH192" s="189"/>
      <c r="GI192" s="189"/>
      <c r="GJ192" s="189"/>
      <c r="GK192" s="189"/>
      <c r="GL192" s="189"/>
      <c r="GM192" s="189"/>
      <c r="GN192" s="189"/>
      <c r="GO192" s="189"/>
      <c r="GP192" s="189"/>
      <c r="GQ192" s="189"/>
      <c r="GR192" s="189"/>
      <c r="GS192" s="189"/>
      <c r="GT192" s="189"/>
      <c r="GU192" s="189"/>
      <c r="GV192" s="189"/>
      <c r="GW192" s="189"/>
      <c r="GX192" s="189"/>
      <c r="GY192" s="189"/>
      <c r="GZ192" s="189"/>
      <c r="HA192" s="189"/>
      <c r="HB192" s="189"/>
      <c r="HC192" s="189"/>
      <c r="HD192" s="189"/>
      <c r="HE192" s="189"/>
      <c r="HF192" s="189"/>
      <c r="HG192" s="189"/>
      <c r="HH192" s="189"/>
      <c r="HI192" s="189"/>
      <c r="HJ192" s="189"/>
      <c r="HK192" s="189"/>
      <c r="HL192" s="189"/>
      <c r="HM192" s="189"/>
      <c r="HN192" s="189"/>
      <c r="HO192" s="189"/>
      <c r="HP192" s="189"/>
      <c r="HQ192" s="189"/>
      <c r="HR192" s="189"/>
      <c r="HS192" s="189"/>
      <c r="HT192" s="189"/>
      <c r="HU192" s="189"/>
      <c r="HV192" s="189"/>
      <c r="HW192" s="189"/>
      <c r="HX192" s="189"/>
      <c r="HY192" s="189"/>
      <c r="HZ192" s="189"/>
      <c r="IA192" s="189"/>
      <c r="IB192" s="189"/>
      <c r="IC192" s="189"/>
      <c r="ID192" s="189"/>
      <c r="IE192" s="189"/>
      <c r="IF192" s="189"/>
      <c r="IG192" s="189"/>
      <c r="IH192" s="189"/>
      <c r="II192" s="189"/>
      <c r="IJ192" s="189"/>
      <c r="IK192" s="189"/>
      <c r="IL192" s="189"/>
      <c r="IM192" s="189"/>
      <c r="IN192" s="189"/>
      <c r="IO192" s="189"/>
      <c r="IP192" s="189"/>
      <c r="IQ192" s="189"/>
      <c r="IR192" s="189"/>
      <c r="IS192" s="189"/>
      <c r="IT192" s="189"/>
      <c r="IU192" s="189"/>
      <c r="IV192" s="189"/>
    </row>
    <row r="193" spans="1:256" ht="15">
      <c r="A193" s="837"/>
      <c r="B193" s="840"/>
      <c r="C193" s="183" t="s">
        <v>2</v>
      </c>
      <c r="D193" s="174">
        <f>D191+D192</f>
        <v>142386395</v>
      </c>
      <c r="E193" s="175">
        <f t="shared" ref="E193:P193" si="80">E191+E192</f>
        <v>139258303</v>
      </c>
      <c r="F193" s="175">
        <f t="shared" si="80"/>
        <v>133725201</v>
      </c>
      <c r="G193" s="175">
        <f t="shared" si="80"/>
        <v>112589432</v>
      </c>
      <c r="H193" s="175">
        <f t="shared" si="80"/>
        <v>21135769</v>
      </c>
      <c r="I193" s="175">
        <f t="shared" si="80"/>
        <v>0</v>
      </c>
      <c r="J193" s="175">
        <f t="shared" si="80"/>
        <v>218423</v>
      </c>
      <c r="K193" s="175">
        <f t="shared" si="80"/>
        <v>5314679</v>
      </c>
      <c r="L193" s="175">
        <f t="shared" si="80"/>
        <v>0</v>
      </c>
      <c r="M193" s="175">
        <f t="shared" si="80"/>
        <v>3128092</v>
      </c>
      <c r="N193" s="175">
        <f t="shared" si="80"/>
        <v>3128092</v>
      </c>
      <c r="O193" s="175">
        <f t="shared" si="80"/>
        <v>828793</v>
      </c>
      <c r="P193" s="175">
        <f t="shared" si="80"/>
        <v>0</v>
      </c>
      <c r="Q193" s="188"/>
      <c r="R193" s="188"/>
      <c r="S193" s="188"/>
      <c r="T193" s="188"/>
      <c r="U193" s="188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189"/>
      <c r="DE193" s="189"/>
      <c r="DF193" s="189"/>
      <c r="DG193" s="189"/>
      <c r="DH193" s="189"/>
      <c r="DI193" s="189"/>
      <c r="DJ193" s="189"/>
      <c r="DK193" s="189"/>
      <c r="DL193" s="189"/>
      <c r="DM193" s="189"/>
      <c r="DN193" s="189"/>
      <c r="DO193" s="189"/>
      <c r="DP193" s="189"/>
      <c r="DQ193" s="189"/>
      <c r="DR193" s="189"/>
      <c r="DS193" s="189"/>
      <c r="DT193" s="189"/>
      <c r="DU193" s="189"/>
      <c r="DV193" s="189"/>
      <c r="DW193" s="189"/>
      <c r="DX193" s="189"/>
      <c r="DY193" s="189"/>
      <c r="DZ193" s="189"/>
      <c r="EA193" s="189"/>
      <c r="EB193" s="189"/>
      <c r="EC193" s="189"/>
      <c r="ED193" s="189"/>
      <c r="EE193" s="189"/>
      <c r="EF193" s="189"/>
      <c r="EG193" s="189"/>
      <c r="EH193" s="189"/>
      <c r="EI193" s="189"/>
      <c r="EJ193" s="189"/>
      <c r="EK193" s="189"/>
      <c r="EL193" s="189"/>
      <c r="EM193" s="189"/>
      <c r="EN193" s="189"/>
      <c r="EO193" s="189"/>
      <c r="EP193" s="189"/>
      <c r="EQ193" s="189"/>
      <c r="ER193" s="189"/>
      <c r="ES193" s="189"/>
      <c r="ET193" s="189"/>
      <c r="EU193" s="189"/>
      <c r="EV193" s="189"/>
      <c r="EW193" s="189"/>
      <c r="EX193" s="189"/>
      <c r="EY193" s="189"/>
      <c r="EZ193" s="189"/>
      <c r="FA193" s="189"/>
      <c r="FB193" s="189"/>
      <c r="FC193" s="189"/>
      <c r="FD193" s="189"/>
      <c r="FE193" s="189"/>
      <c r="FF193" s="189"/>
      <c r="FG193" s="189"/>
      <c r="FH193" s="189"/>
      <c r="FI193" s="189"/>
      <c r="FJ193" s="189"/>
      <c r="FK193" s="189"/>
      <c r="FL193" s="189"/>
      <c r="FM193" s="189"/>
      <c r="FN193" s="189"/>
      <c r="FO193" s="189"/>
      <c r="FP193" s="189"/>
      <c r="FQ193" s="189"/>
      <c r="FR193" s="189"/>
      <c r="FS193" s="189"/>
      <c r="FT193" s="189"/>
      <c r="FU193" s="189"/>
      <c r="FV193" s="189"/>
      <c r="FW193" s="189"/>
      <c r="FX193" s="189"/>
      <c r="FY193" s="189"/>
      <c r="FZ193" s="189"/>
      <c r="GA193" s="189"/>
      <c r="GB193" s="189"/>
      <c r="GC193" s="189"/>
      <c r="GD193" s="189"/>
      <c r="GE193" s="189"/>
      <c r="GF193" s="189"/>
      <c r="GG193" s="189"/>
      <c r="GH193" s="189"/>
      <c r="GI193" s="189"/>
      <c r="GJ193" s="189"/>
      <c r="GK193" s="189"/>
      <c r="GL193" s="189"/>
      <c r="GM193" s="189"/>
      <c r="GN193" s="189"/>
      <c r="GO193" s="189"/>
      <c r="GP193" s="189"/>
      <c r="GQ193" s="189"/>
      <c r="GR193" s="189"/>
      <c r="GS193" s="189"/>
      <c r="GT193" s="189"/>
      <c r="GU193" s="189"/>
      <c r="GV193" s="189"/>
      <c r="GW193" s="189"/>
      <c r="GX193" s="189"/>
      <c r="GY193" s="189"/>
      <c r="GZ193" s="189"/>
      <c r="HA193" s="189"/>
      <c r="HB193" s="189"/>
      <c r="HC193" s="189"/>
      <c r="HD193" s="189"/>
      <c r="HE193" s="189"/>
      <c r="HF193" s="189"/>
      <c r="HG193" s="189"/>
      <c r="HH193" s="189"/>
      <c r="HI193" s="189"/>
      <c r="HJ193" s="189"/>
      <c r="HK193" s="189"/>
      <c r="HL193" s="189"/>
      <c r="HM193" s="189"/>
      <c r="HN193" s="189"/>
      <c r="HO193" s="189"/>
      <c r="HP193" s="189"/>
      <c r="HQ193" s="189"/>
      <c r="HR193" s="189"/>
      <c r="HS193" s="189"/>
      <c r="HT193" s="189"/>
      <c r="HU193" s="189"/>
      <c r="HV193" s="189"/>
      <c r="HW193" s="189"/>
      <c r="HX193" s="189"/>
      <c r="HY193" s="189"/>
      <c r="HZ193" s="189"/>
      <c r="IA193" s="189"/>
      <c r="IB193" s="189"/>
      <c r="IC193" s="189"/>
      <c r="ID193" s="189"/>
      <c r="IE193" s="189"/>
      <c r="IF193" s="189"/>
      <c r="IG193" s="189"/>
      <c r="IH193" s="189"/>
      <c r="II193" s="189"/>
      <c r="IJ193" s="189"/>
      <c r="IK193" s="189"/>
      <c r="IL193" s="189"/>
      <c r="IM193" s="189"/>
      <c r="IN193" s="189"/>
      <c r="IO193" s="189"/>
      <c r="IP193" s="189"/>
      <c r="IQ193" s="189"/>
      <c r="IR193" s="189"/>
      <c r="IS193" s="189"/>
      <c r="IT193" s="189"/>
      <c r="IU193" s="189"/>
      <c r="IV193" s="189"/>
    </row>
    <row r="194" spans="1:256" hidden="1">
      <c r="A194" s="841" t="s">
        <v>252</v>
      </c>
      <c r="B194" s="844" t="s">
        <v>253</v>
      </c>
      <c r="C194" s="178" t="s">
        <v>0</v>
      </c>
      <c r="D194" s="180">
        <f t="shared" ref="D194:D228" si="81">E194+M194</f>
        <v>43290965</v>
      </c>
      <c r="E194" s="181">
        <f t="shared" ref="E194:E234" si="82">F194+I194+J194+K194+L194</f>
        <v>43290965</v>
      </c>
      <c r="F194" s="181">
        <f t="shared" ref="F194:F234" si="83">G194+H194</f>
        <v>43250394</v>
      </c>
      <c r="G194" s="181">
        <v>40731545</v>
      </c>
      <c r="H194" s="181">
        <v>2518849</v>
      </c>
      <c r="I194" s="181">
        <v>0</v>
      </c>
      <c r="J194" s="181">
        <v>40571</v>
      </c>
      <c r="K194" s="181">
        <v>0</v>
      </c>
      <c r="L194" s="181">
        <v>0</v>
      </c>
      <c r="M194" s="181">
        <f t="shared" ref="M194:M234" si="84">N194+P194</f>
        <v>0</v>
      </c>
      <c r="N194" s="181">
        <v>0</v>
      </c>
      <c r="O194" s="181">
        <v>0</v>
      </c>
      <c r="P194" s="181">
        <v>0</v>
      </c>
      <c r="Q194" s="182"/>
      <c r="R194" s="182"/>
      <c r="S194" s="182"/>
      <c r="T194" s="182"/>
      <c r="U194" s="182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  <c r="HQ194" s="148"/>
      <c r="HR194" s="148"/>
      <c r="HS194" s="148"/>
      <c r="HT194" s="148"/>
      <c r="HU194" s="148"/>
      <c r="HV194" s="148"/>
      <c r="HW194" s="148"/>
      <c r="HX194" s="148"/>
      <c r="HY194" s="148"/>
      <c r="HZ194" s="148"/>
      <c r="IA194" s="148"/>
      <c r="IB194" s="148"/>
      <c r="IC194" s="148"/>
      <c r="ID194" s="148"/>
      <c r="IE194" s="148"/>
      <c r="IF194" s="148"/>
      <c r="IG194" s="148"/>
      <c r="IH194" s="148"/>
      <c r="II194" s="148"/>
      <c r="IJ194" s="148"/>
      <c r="IK194" s="148"/>
      <c r="IL194" s="148"/>
      <c r="IM194" s="148"/>
      <c r="IN194" s="148"/>
      <c r="IO194" s="148"/>
      <c r="IP194" s="148"/>
      <c r="IQ194" s="148"/>
      <c r="IR194" s="148"/>
      <c r="IS194" s="148"/>
      <c r="IT194" s="148"/>
      <c r="IU194" s="148"/>
      <c r="IV194" s="148"/>
    </row>
    <row r="195" spans="1:256" hidden="1">
      <c r="A195" s="842"/>
      <c r="B195" s="845"/>
      <c r="C195" s="178" t="s">
        <v>1</v>
      </c>
      <c r="D195" s="180">
        <f t="shared" si="81"/>
        <v>0</v>
      </c>
      <c r="E195" s="181">
        <f t="shared" si="82"/>
        <v>0</v>
      </c>
      <c r="F195" s="181">
        <f t="shared" si="83"/>
        <v>0</v>
      </c>
      <c r="G195" s="181"/>
      <c r="H195" s="181"/>
      <c r="I195" s="181"/>
      <c r="J195" s="181"/>
      <c r="K195" s="181"/>
      <c r="L195" s="181"/>
      <c r="M195" s="181">
        <f t="shared" si="84"/>
        <v>0</v>
      </c>
      <c r="N195" s="181"/>
      <c r="O195" s="181"/>
      <c r="P195" s="181"/>
      <c r="Q195" s="182"/>
      <c r="R195" s="182"/>
      <c r="S195" s="182"/>
      <c r="T195" s="182"/>
      <c r="U195" s="182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  <c r="HN195" s="148"/>
      <c r="HO195" s="148"/>
      <c r="HP195" s="148"/>
      <c r="HQ195" s="148"/>
      <c r="HR195" s="148"/>
      <c r="HS195" s="148"/>
      <c r="HT195" s="148"/>
      <c r="HU195" s="148"/>
      <c r="HV195" s="148"/>
      <c r="HW195" s="148"/>
      <c r="HX195" s="148"/>
      <c r="HY195" s="148"/>
      <c r="HZ195" s="148"/>
      <c r="IA195" s="148"/>
      <c r="IB195" s="148"/>
      <c r="IC195" s="148"/>
      <c r="ID195" s="148"/>
      <c r="IE195" s="148"/>
      <c r="IF195" s="148"/>
      <c r="IG195" s="148"/>
      <c r="IH195" s="148"/>
      <c r="II195" s="148"/>
      <c r="IJ195" s="148"/>
      <c r="IK195" s="148"/>
      <c r="IL195" s="148"/>
      <c r="IM195" s="148"/>
      <c r="IN195" s="148"/>
      <c r="IO195" s="148"/>
      <c r="IP195" s="148"/>
      <c r="IQ195" s="148"/>
      <c r="IR195" s="148"/>
      <c r="IS195" s="148"/>
      <c r="IT195" s="148"/>
      <c r="IU195" s="148"/>
      <c r="IV195" s="148"/>
    </row>
    <row r="196" spans="1:256" hidden="1">
      <c r="A196" s="843"/>
      <c r="B196" s="846"/>
      <c r="C196" s="178" t="s">
        <v>2</v>
      </c>
      <c r="D196" s="180">
        <f>D194+D195</f>
        <v>43290965</v>
      </c>
      <c r="E196" s="181">
        <f t="shared" ref="E196:P196" si="85">E194+E195</f>
        <v>43290965</v>
      </c>
      <c r="F196" s="181">
        <f t="shared" si="85"/>
        <v>43250394</v>
      </c>
      <c r="G196" s="181">
        <f t="shared" si="85"/>
        <v>40731545</v>
      </c>
      <c r="H196" s="181">
        <f t="shared" si="85"/>
        <v>2518849</v>
      </c>
      <c r="I196" s="181">
        <f t="shared" si="85"/>
        <v>0</v>
      </c>
      <c r="J196" s="181">
        <f t="shared" si="85"/>
        <v>40571</v>
      </c>
      <c r="K196" s="181">
        <f t="shared" si="85"/>
        <v>0</v>
      </c>
      <c r="L196" s="181">
        <f t="shared" si="85"/>
        <v>0</v>
      </c>
      <c r="M196" s="181">
        <f t="shared" si="85"/>
        <v>0</v>
      </c>
      <c r="N196" s="181">
        <f t="shared" si="85"/>
        <v>0</v>
      </c>
      <c r="O196" s="181">
        <f t="shared" si="85"/>
        <v>0</v>
      </c>
      <c r="P196" s="181">
        <f t="shared" si="85"/>
        <v>0</v>
      </c>
      <c r="Q196" s="182"/>
      <c r="R196" s="182"/>
      <c r="S196" s="182"/>
      <c r="T196" s="182"/>
      <c r="U196" s="182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  <c r="HN196" s="148"/>
      <c r="HO196" s="148"/>
      <c r="HP196" s="148"/>
      <c r="HQ196" s="148"/>
      <c r="HR196" s="148"/>
      <c r="HS196" s="148"/>
      <c r="HT196" s="148"/>
      <c r="HU196" s="148"/>
      <c r="HV196" s="148"/>
      <c r="HW196" s="148"/>
      <c r="HX196" s="148"/>
      <c r="HY196" s="148"/>
      <c r="HZ196" s="148"/>
      <c r="IA196" s="148"/>
      <c r="IB196" s="148"/>
      <c r="IC196" s="148"/>
      <c r="ID196" s="148"/>
      <c r="IE196" s="148"/>
      <c r="IF196" s="148"/>
      <c r="IG196" s="148"/>
      <c r="IH196" s="148"/>
      <c r="II196" s="148"/>
      <c r="IJ196" s="148"/>
      <c r="IK196" s="148"/>
      <c r="IL196" s="148"/>
      <c r="IM196" s="148"/>
      <c r="IN196" s="148"/>
      <c r="IO196" s="148"/>
      <c r="IP196" s="148"/>
      <c r="IQ196" s="148"/>
      <c r="IR196" s="148"/>
      <c r="IS196" s="148"/>
      <c r="IT196" s="148"/>
      <c r="IU196" s="148"/>
      <c r="IV196" s="148"/>
    </row>
    <row r="197" spans="1:256">
      <c r="A197" s="841">
        <v>80104</v>
      </c>
      <c r="B197" s="844" t="s">
        <v>254</v>
      </c>
      <c r="C197" s="178" t="s">
        <v>0</v>
      </c>
      <c r="D197" s="180">
        <f t="shared" si="81"/>
        <v>4078456</v>
      </c>
      <c r="E197" s="181">
        <f>F197+I197+J197+K197+L197</f>
        <v>3909032</v>
      </c>
      <c r="F197" s="181">
        <f>G197+H197</f>
        <v>0</v>
      </c>
      <c r="G197" s="181">
        <v>0</v>
      </c>
      <c r="H197" s="181">
        <v>0</v>
      </c>
      <c r="I197" s="181">
        <v>0</v>
      </c>
      <c r="J197" s="181">
        <v>0</v>
      </c>
      <c r="K197" s="181">
        <v>3909032</v>
      </c>
      <c r="L197" s="181">
        <v>0</v>
      </c>
      <c r="M197" s="181">
        <f t="shared" si="84"/>
        <v>169424</v>
      </c>
      <c r="N197" s="181">
        <v>169424</v>
      </c>
      <c r="O197" s="181">
        <v>169424</v>
      </c>
      <c r="P197" s="181">
        <v>0</v>
      </c>
      <c r="Q197" s="182"/>
      <c r="R197" s="182"/>
      <c r="S197" s="182"/>
      <c r="T197" s="182"/>
      <c r="U197" s="182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  <c r="HN197" s="148"/>
      <c r="HO197" s="148"/>
      <c r="HP197" s="148"/>
      <c r="HQ197" s="148"/>
      <c r="HR197" s="148"/>
      <c r="HS197" s="148"/>
      <c r="HT197" s="148"/>
      <c r="HU197" s="148"/>
      <c r="HV197" s="148"/>
      <c r="HW197" s="148"/>
      <c r="HX197" s="148"/>
      <c r="HY197" s="148"/>
      <c r="HZ197" s="148"/>
      <c r="IA197" s="148"/>
      <c r="IB197" s="148"/>
      <c r="IC197" s="148"/>
      <c r="ID197" s="148"/>
      <c r="IE197" s="148"/>
      <c r="IF197" s="148"/>
      <c r="IG197" s="148"/>
      <c r="IH197" s="148"/>
      <c r="II197" s="148"/>
      <c r="IJ197" s="148"/>
      <c r="IK197" s="148"/>
      <c r="IL197" s="148"/>
      <c r="IM197" s="148"/>
      <c r="IN197" s="148"/>
      <c r="IO197" s="148"/>
      <c r="IP197" s="148"/>
      <c r="IQ197" s="148"/>
      <c r="IR197" s="148"/>
      <c r="IS197" s="148"/>
      <c r="IT197" s="148"/>
      <c r="IU197" s="148"/>
      <c r="IV197" s="148"/>
    </row>
    <row r="198" spans="1:256">
      <c r="A198" s="842"/>
      <c r="B198" s="845"/>
      <c r="C198" s="178" t="s">
        <v>1</v>
      </c>
      <c r="D198" s="180">
        <f t="shared" si="81"/>
        <v>-52074</v>
      </c>
      <c r="E198" s="181">
        <f>F198+I198+J198+K198+L198</f>
        <v>0</v>
      </c>
      <c r="F198" s="181">
        <f>G198+H198</f>
        <v>0</v>
      </c>
      <c r="G198" s="181"/>
      <c r="H198" s="181"/>
      <c r="I198" s="181"/>
      <c r="J198" s="181"/>
      <c r="K198" s="181"/>
      <c r="L198" s="181"/>
      <c r="M198" s="181">
        <f t="shared" si="84"/>
        <v>-52074</v>
      </c>
      <c r="N198" s="181">
        <v>-52074</v>
      </c>
      <c r="O198" s="181">
        <v>-52074</v>
      </c>
      <c r="P198" s="181"/>
      <c r="Q198" s="182"/>
      <c r="R198" s="182"/>
      <c r="S198" s="182"/>
      <c r="T198" s="182"/>
      <c r="U198" s="182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  <c r="HQ198" s="148"/>
      <c r="HR198" s="148"/>
      <c r="HS198" s="148"/>
      <c r="HT198" s="148"/>
      <c r="HU198" s="148"/>
      <c r="HV198" s="148"/>
      <c r="HW198" s="148"/>
      <c r="HX198" s="148"/>
      <c r="HY198" s="148"/>
      <c r="HZ198" s="148"/>
      <c r="IA198" s="148"/>
      <c r="IB198" s="148"/>
      <c r="IC198" s="148"/>
      <c r="ID198" s="148"/>
      <c r="IE198" s="148"/>
      <c r="IF198" s="148"/>
      <c r="IG198" s="148"/>
      <c r="IH198" s="148"/>
      <c r="II198" s="148"/>
      <c r="IJ198" s="148"/>
      <c r="IK198" s="148"/>
      <c r="IL198" s="148"/>
      <c r="IM198" s="148"/>
      <c r="IN198" s="148"/>
      <c r="IO198" s="148"/>
      <c r="IP198" s="148"/>
      <c r="IQ198" s="148"/>
      <c r="IR198" s="148"/>
      <c r="IS198" s="148"/>
      <c r="IT198" s="148"/>
      <c r="IU198" s="148"/>
      <c r="IV198" s="148"/>
    </row>
    <row r="199" spans="1:256">
      <c r="A199" s="843"/>
      <c r="B199" s="846"/>
      <c r="C199" s="178" t="s">
        <v>2</v>
      </c>
      <c r="D199" s="180">
        <f>D197+D198</f>
        <v>4026382</v>
      </c>
      <c r="E199" s="181">
        <f t="shared" ref="E199:P199" si="86">E197+E198</f>
        <v>3909032</v>
      </c>
      <c r="F199" s="181">
        <f t="shared" si="86"/>
        <v>0</v>
      </c>
      <c r="G199" s="181">
        <f t="shared" si="86"/>
        <v>0</v>
      </c>
      <c r="H199" s="181">
        <f t="shared" si="86"/>
        <v>0</v>
      </c>
      <c r="I199" s="181">
        <f t="shared" si="86"/>
        <v>0</v>
      </c>
      <c r="J199" s="181">
        <f t="shared" si="86"/>
        <v>0</v>
      </c>
      <c r="K199" s="181">
        <f t="shared" si="86"/>
        <v>3909032</v>
      </c>
      <c r="L199" s="181">
        <f t="shared" si="86"/>
        <v>0</v>
      </c>
      <c r="M199" s="181">
        <f t="shared" si="86"/>
        <v>117350</v>
      </c>
      <c r="N199" s="181">
        <f t="shared" si="86"/>
        <v>117350</v>
      </c>
      <c r="O199" s="181">
        <f t="shared" si="86"/>
        <v>117350</v>
      </c>
      <c r="P199" s="181">
        <f t="shared" si="86"/>
        <v>0</v>
      </c>
      <c r="Q199" s="182"/>
      <c r="R199" s="182"/>
      <c r="S199" s="182"/>
      <c r="T199" s="182"/>
      <c r="U199" s="182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  <c r="HN199" s="148"/>
      <c r="HO199" s="148"/>
      <c r="HP199" s="148"/>
      <c r="HQ199" s="148"/>
      <c r="HR199" s="148"/>
      <c r="HS199" s="148"/>
      <c r="HT199" s="148"/>
      <c r="HU199" s="148"/>
      <c r="HV199" s="148"/>
      <c r="HW199" s="148"/>
      <c r="HX199" s="148"/>
      <c r="HY199" s="148"/>
      <c r="HZ199" s="148"/>
      <c r="IA199" s="148"/>
      <c r="IB199" s="148"/>
      <c r="IC199" s="148"/>
      <c r="ID199" s="148"/>
      <c r="IE199" s="148"/>
      <c r="IF199" s="148"/>
      <c r="IG199" s="148"/>
      <c r="IH199" s="148"/>
      <c r="II199" s="148"/>
      <c r="IJ199" s="148"/>
      <c r="IK199" s="148"/>
      <c r="IL199" s="148"/>
      <c r="IM199" s="148"/>
      <c r="IN199" s="148"/>
      <c r="IO199" s="148"/>
      <c r="IP199" s="148"/>
      <c r="IQ199" s="148"/>
      <c r="IR199" s="148"/>
      <c r="IS199" s="148"/>
      <c r="IT199" s="148"/>
      <c r="IU199" s="148"/>
      <c r="IV199" s="148"/>
    </row>
    <row r="200" spans="1:256" hidden="1">
      <c r="A200" s="841" t="s">
        <v>255</v>
      </c>
      <c r="B200" s="844" t="s">
        <v>256</v>
      </c>
      <c r="C200" s="178" t="s">
        <v>0</v>
      </c>
      <c r="D200" s="180">
        <f t="shared" si="81"/>
        <v>539782</v>
      </c>
      <c r="E200" s="181">
        <f t="shared" si="82"/>
        <v>539782</v>
      </c>
      <c r="F200" s="181">
        <f t="shared" si="83"/>
        <v>537995</v>
      </c>
      <c r="G200" s="181">
        <v>515310</v>
      </c>
      <c r="H200" s="181">
        <v>22685</v>
      </c>
      <c r="I200" s="181">
        <v>0</v>
      </c>
      <c r="J200" s="181">
        <v>1787</v>
      </c>
      <c r="K200" s="181">
        <v>0</v>
      </c>
      <c r="L200" s="181">
        <v>0</v>
      </c>
      <c r="M200" s="181">
        <f t="shared" si="84"/>
        <v>0</v>
      </c>
      <c r="N200" s="181">
        <v>0</v>
      </c>
      <c r="O200" s="181">
        <v>0</v>
      </c>
      <c r="P200" s="181">
        <v>0</v>
      </c>
      <c r="Q200" s="182"/>
      <c r="R200" s="182"/>
      <c r="S200" s="182"/>
      <c r="T200" s="182"/>
      <c r="U200" s="182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  <c r="HN200" s="148"/>
      <c r="HO200" s="148"/>
      <c r="HP200" s="148"/>
      <c r="HQ200" s="148"/>
      <c r="HR200" s="148"/>
      <c r="HS200" s="148"/>
      <c r="HT200" s="148"/>
      <c r="HU200" s="148"/>
      <c r="HV200" s="148"/>
      <c r="HW200" s="148"/>
      <c r="HX200" s="148"/>
      <c r="HY200" s="148"/>
      <c r="HZ200" s="148"/>
      <c r="IA200" s="148"/>
      <c r="IB200" s="148"/>
      <c r="IC200" s="148"/>
      <c r="ID200" s="148"/>
      <c r="IE200" s="148"/>
      <c r="IF200" s="148"/>
      <c r="IG200" s="148"/>
      <c r="IH200" s="148"/>
      <c r="II200" s="148"/>
      <c r="IJ200" s="148"/>
      <c r="IK200" s="148"/>
      <c r="IL200" s="148"/>
      <c r="IM200" s="148"/>
      <c r="IN200" s="148"/>
      <c r="IO200" s="148"/>
      <c r="IP200" s="148"/>
      <c r="IQ200" s="148"/>
      <c r="IR200" s="148"/>
      <c r="IS200" s="148"/>
      <c r="IT200" s="148"/>
      <c r="IU200" s="148"/>
      <c r="IV200" s="148"/>
    </row>
    <row r="201" spans="1:256" hidden="1">
      <c r="A201" s="842"/>
      <c r="B201" s="845"/>
      <c r="C201" s="178" t="s">
        <v>1</v>
      </c>
      <c r="D201" s="180">
        <f t="shared" si="81"/>
        <v>0</v>
      </c>
      <c r="E201" s="181">
        <f t="shared" si="82"/>
        <v>0</v>
      </c>
      <c r="F201" s="181">
        <f t="shared" si="83"/>
        <v>0</v>
      </c>
      <c r="G201" s="181"/>
      <c r="H201" s="181"/>
      <c r="I201" s="181"/>
      <c r="J201" s="181"/>
      <c r="K201" s="181"/>
      <c r="L201" s="181"/>
      <c r="M201" s="181">
        <f t="shared" si="84"/>
        <v>0</v>
      </c>
      <c r="N201" s="181"/>
      <c r="O201" s="181"/>
      <c r="P201" s="181"/>
      <c r="Q201" s="182"/>
      <c r="R201" s="182"/>
      <c r="S201" s="182"/>
      <c r="T201" s="182"/>
      <c r="U201" s="182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  <c r="HN201" s="148"/>
      <c r="HO201" s="148"/>
      <c r="HP201" s="148"/>
      <c r="HQ201" s="148"/>
      <c r="HR201" s="148"/>
      <c r="HS201" s="148"/>
      <c r="HT201" s="148"/>
      <c r="HU201" s="148"/>
      <c r="HV201" s="148"/>
      <c r="HW201" s="148"/>
      <c r="HX201" s="148"/>
      <c r="HY201" s="148"/>
      <c r="HZ201" s="148"/>
      <c r="IA201" s="148"/>
      <c r="IB201" s="148"/>
      <c r="IC201" s="148"/>
      <c r="ID201" s="148"/>
      <c r="IE201" s="148"/>
      <c r="IF201" s="148"/>
      <c r="IG201" s="148"/>
      <c r="IH201" s="148"/>
      <c r="II201" s="148"/>
      <c r="IJ201" s="148"/>
      <c r="IK201" s="148"/>
      <c r="IL201" s="148"/>
      <c r="IM201" s="148"/>
      <c r="IN201" s="148"/>
      <c r="IO201" s="148"/>
      <c r="IP201" s="148"/>
      <c r="IQ201" s="148"/>
      <c r="IR201" s="148"/>
      <c r="IS201" s="148"/>
      <c r="IT201" s="148"/>
      <c r="IU201" s="148"/>
      <c r="IV201" s="148"/>
    </row>
    <row r="202" spans="1:256" hidden="1">
      <c r="A202" s="843"/>
      <c r="B202" s="846"/>
      <c r="C202" s="178" t="s">
        <v>2</v>
      </c>
      <c r="D202" s="180">
        <f>D200+D201</f>
        <v>539782</v>
      </c>
      <c r="E202" s="181">
        <f t="shared" ref="E202:P202" si="87">E200+E201</f>
        <v>539782</v>
      </c>
      <c r="F202" s="181">
        <f t="shared" si="87"/>
        <v>537995</v>
      </c>
      <c r="G202" s="181">
        <f t="shared" si="87"/>
        <v>515310</v>
      </c>
      <c r="H202" s="181">
        <f t="shared" si="87"/>
        <v>22685</v>
      </c>
      <c r="I202" s="181">
        <f t="shared" si="87"/>
        <v>0</v>
      </c>
      <c r="J202" s="181">
        <f t="shared" si="87"/>
        <v>1787</v>
      </c>
      <c r="K202" s="181">
        <f t="shared" si="87"/>
        <v>0</v>
      </c>
      <c r="L202" s="181">
        <f t="shared" si="87"/>
        <v>0</v>
      </c>
      <c r="M202" s="181">
        <f t="shared" si="87"/>
        <v>0</v>
      </c>
      <c r="N202" s="181">
        <f t="shared" si="87"/>
        <v>0</v>
      </c>
      <c r="O202" s="181">
        <f t="shared" si="87"/>
        <v>0</v>
      </c>
      <c r="P202" s="181">
        <f t="shared" si="87"/>
        <v>0</v>
      </c>
      <c r="Q202" s="182"/>
      <c r="R202" s="182"/>
      <c r="S202" s="182"/>
      <c r="T202" s="182"/>
      <c r="U202" s="182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  <c r="HN202" s="148"/>
      <c r="HO202" s="148"/>
      <c r="HP202" s="148"/>
      <c r="HQ202" s="148"/>
      <c r="HR202" s="148"/>
      <c r="HS202" s="148"/>
      <c r="HT202" s="148"/>
      <c r="HU202" s="148"/>
      <c r="HV202" s="148"/>
      <c r="HW202" s="148"/>
      <c r="HX202" s="148"/>
      <c r="HY202" s="148"/>
      <c r="HZ202" s="148"/>
      <c r="IA202" s="148"/>
      <c r="IB202" s="148"/>
      <c r="IC202" s="148"/>
      <c r="ID202" s="148"/>
      <c r="IE202" s="148"/>
      <c r="IF202" s="148"/>
      <c r="IG202" s="148"/>
      <c r="IH202" s="148"/>
      <c r="II202" s="148"/>
      <c r="IJ202" s="148"/>
      <c r="IK202" s="148"/>
      <c r="IL202" s="148"/>
      <c r="IM202" s="148"/>
      <c r="IN202" s="148"/>
      <c r="IO202" s="148"/>
      <c r="IP202" s="148"/>
      <c r="IQ202" s="148"/>
      <c r="IR202" s="148"/>
      <c r="IS202" s="148"/>
      <c r="IT202" s="148"/>
      <c r="IU202" s="148"/>
      <c r="IV202" s="148"/>
    </row>
    <row r="203" spans="1:256" hidden="1">
      <c r="A203" s="841" t="s">
        <v>257</v>
      </c>
      <c r="B203" s="844" t="s">
        <v>258</v>
      </c>
      <c r="C203" s="178" t="s">
        <v>0</v>
      </c>
      <c r="D203" s="180">
        <f t="shared" si="81"/>
        <v>16500</v>
      </c>
      <c r="E203" s="181">
        <f t="shared" si="82"/>
        <v>16500</v>
      </c>
      <c r="F203" s="181">
        <f t="shared" si="83"/>
        <v>16500</v>
      </c>
      <c r="G203" s="181">
        <v>0</v>
      </c>
      <c r="H203" s="181">
        <v>16500</v>
      </c>
      <c r="I203" s="181">
        <v>0</v>
      </c>
      <c r="J203" s="181">
        <v>0</v>
      </c>
      <c r="K203" s="181">
        <v>0</v>
      </c>
      <c r="L203" s="181">
        <v>0</v>
      </c>
      <c r="M203" s="181">
        <f t="shared" si="84"/>
        <v>0</v>
      </c>
      <c r="N203" s="181">
        <v>0</v>
      </c>
      <c r="O203" s="181">
        <v>0</v>
      </c>
      <c r="P203" s="181">
        <v>0</v>
      </c>
      <c r="Q203" s="182"/>
      <c r="R203" s="182"/>
      <c r="S203" s="182"/>
      <c r="T203" s="182"/>
      <c r="U203" s="182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  <c r="HN203" s="148"/>
      <c r="HO203" s="148"/>
      <c r="HP203" s="148"/>
      <c r="HQ203" s="148"/>
      <c r="HR203" s="148"/>
      <c r="HS203" s="148"/>
      <c r="HT203" s="148"/>
      <c r="HU203" s="148"/>
      <c r="HV203" s="148"/>
      <c r="HW203" s="148"/>
      <c r="HX203" s="148"/>
      <c r="HY203" s="148"/>
      <c r="HZ203" s="148"/>
      <c r="IA203" s="148"/>
      <c r="IB203" s="148"/>
      <c r="IC203" s="148"/>
      <c r="ID203" s="148"/>
      <c r="IE203" s="148"/>
      <c r="IF203" s="148"/>
      <c r="IG203" s="148"/>
      <c r="IH203" s="148"/>
      <c r="II203" s="148"/>
      <c r="IJ203" s="148"/>
      <c r="IK203" s="148"/>
      <c r="IL203" s="148"/>
      <c r="IM203" s="148"/>
      <c r="IN203" s="148"/>
      <c r="IO203" s="148"/>
      <c r="IP203" s="148"/>
      <c r="IQ203" s="148"/>
      <c r="IR203" s="148"/>
      <c r="IS203" s="148"/>
      <c r="IT203" s="148"/>
      <c r="IU203" s="148"/>
      <c r="IV203" s="148"/>
    </row>
    <row r="204" spans="1:256" hidden="1">
      <c r="A204" s="842"/>
      <c r="B204" s="845"/>
      <c r="C204" s="178" t="s">
        <v>1</v>
      </c>
      <c r="D204" s="180">
        <f t="shared" si="81"/>
        <v>0</v>
      </c>
      <c r="E204" s="181">
        <f t="shared" si="82"/>
        <v>0</v>
      </c>
      <c r="F204" s="181">
        <f t="shared" si="83"/>
        <v>0</v>
      </c>
      <c r="G204" s="181"/>
      <c r="H204" s="181"/>
      <c r="I204" s="181"/>
      <c r="J204" s="181"/>
      <c r="K204" s="181"/>
      <c r="L204" s="181"/>
      <c r="M204" s="181">
        <f t="shared" si="84"/>
        <v>0</v>
      </c>
      <c r="N204" s="181"/>
      <c r="O204" s="181"/>
      <c r="P204" s="181"/>
      <c r="Q204" s="182"/>
      <c r="R204" s="182"/>
      <c r="S204" s="182"/>
      <c r="T204" s="182"/>
      <c r="U204" s="182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  <c r="IO204" s="148"/>
      <c r="IP204" s="148"/>
      <c r="IQ204" s="148"/>
      <c r="IR204" s="148"/>
      <c r="IS204" s="148"/>
      <c r="IT204" s="148"/>
      <c r="IU204" s="148"/>
      <c r="IV204" s="148"/>
    </row>
    <row r="205" spans="1:256" hidden="1">
      <c r="A205" s="843"/>
      <c r="B205" s="846"/>
      <c r="C205" s="178" t="s">
        <v>2</v>
      </c>
      <c r="D205" s="180">
        <f>D203+D204</f>
        <v>16500</v>
      </c>
      <c r="E205" s="181">
        <f t="shared" ref="E205:P205" si="88">E203+E204</f>
        <v>16500</v>
      </c>
      <c r="F205" s="181">
        <f t="shared" si="88"/>
        <v>16500</v>
      </c>
      <c r="G205" s="181">
        <f t="shared" si="88"/>
        <v>0</v>
      </c>
      <c r="H205" s="181">
        <f t="shared" si="88"/>
        <v>16500</v>
      </c>
      <c r="I205" s="181">
        <f t="shared" si="88"/>
        <v>0</v>
      </c>
      <c r="J205" s="181">
        <f t="shared" si="88"/>
        <v>0</v>
      </c>
      <c r="K205" s="181">
        <f t="shared" si="88"/>
        <v>0</v>
      </c>
      <c r="L205" s="181">
        <f t="shared" si="88"/>
        <v>0</v>
      </c>
      <c r="M205" s="181">
        <f t="shared" si="88"/>
        <v>0</v>
      </c>
      <c r="N205" s="181">
        <f t="shared" si="88"/>
        <v>0</v>
      </c>
      <c r="O205" s="181">
        <f t="shared" si="88"/>
        <v>0</v>
      </c>
      <c r="P205" s="181">
        <f t="shared" si="88"/>
        <v>0</v>
      </c>
      <c r="Q205" s="182"/>
      <c r="R205" s="182"/>
      <c r="S205" s="182"/>
      <c r="T205" s="182"/>
      <c r="U205" s="182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  <c r="GB205" s="148"/>
      <c r="GC205" s="148"/>
      <c r="GD205" s="148"/>
      <c r="GE205" s="148"/>
      <c r="GF205" s="148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  <c r="GR205" s="148"/>
      <c r="GS205" s="148"/>
      <c r="GT205" s="148"/>
      <c r="GU205" s="148"/>
      <c r="GV205" s="148"/>
      <c r="GW205" s="148"/>
      <c r="GX205" s="148"/>
      <c r="GY205" s="148"/>
      <c r="GZ205" s="148"/>
      <c r="HA205" s="148"/>
      <c r="HB205" s="148"/>
      <c r="HC205" s="148"/>
      <c r="HD205" s="148"/>
      <c r="HE205" s="148"/>
      <c r="HF205" s="148"/>
      <c r="HG205" s="148"/>
      <c r="HH205" s="148"/>
      <c r="HI205" s="148"/>
      <c r="HJ205" s="148"/>
      <c r="HK205" s="148"/>
      <c r="HL205" s="148"/>
      <c r="HM205" s="148"/>
      <c r="HN205" s="148"/>
      <c r="HO205" s="148"/>
      <c r="HP205" s="148"/>
      <c r="HQ205" s="148"/>
      <c r="HR205" s="148"/>
      <c r="HS205" s="148"/>
      <c r="HT205" s="148"/>
      <c r="HU205" s="148"/>
      <c r="HV205" s="148"/>
      <c r="HW205" s="148"/>
      <c r="HX205" s="148"/>
      <c r="HY205" s="148"/>
      <c r="HZ205" s="148"/>
      <c r="IA205" s="148"/>
      <c r="IB205" s="148"/>
      <c r="IC205" s="148"/>
      <c r="ID205" s="148"/>
      <c r="IE205" s="148"/>
      <c r="IF205" s="148"/>
      <c r="IG205" s="148"/>
      <c r="IH205" s="148"/>
      <c r="II205" s="148"/>
      <c r="IJ205" s="148"/>
      <c r="IK205" s="148"/>
      <c r="IL205" s="148"/>
      <c r="IM205" s="148"/>
      <c r="IN205" s="148"/>
      <c r="IO205" s="148"/>
      <c r="IP205" s="148"/>
      <c r="IQ205" s="148"/>
      <c r="IR205" s="148"/>
      <c r="IS205" s="148"/>
      <c r="IT205" s="148"/>
      <c r="IU205" s="148"/>
      <c r="IV205" s="148"/>
    </row>
    <row r="206" spans="1:256" hidden="1">
      <c r="A206" s="841" t="s">
        <v>259</v>
      </c>
      <c r="B206" s="844" t="s">
        <v>260</v>
      </c>
      <c r="C206" s="178" t="s">
        <v>0</v>
      </c>
      <c r="D206" s="180">
        <f>E206+M206</f>
        <v>2955</v>
      </c>
      <c r="E206" s="181">
        <f>F206+I206+J206+K206+L206</f>
        <v>99</v>
      </c>
      <c r="F206" s="181">
        <f>G206+H206</f>
        <v>0</v>
      </c>
      <c r="G206" s="181">
        <v>0</v>
      </c>
      <c r="H206" s="181">
        <v>0</v>
      </c>
      <c r="I206" s="181">
        <v>0</v>
      </c>
      <c r="J206" s="181">
        <v>0</v>
      </c>
      <c r="K206" s="181">
        <v>99</v>
      </c>
      <c r="L206" s="181">
        <v>0</v>
      </c>
      <c r="M206" s="181">
        <f>N206+P206</f>
        <v>2856</v>
      </c>
      <c r="N206" s="181">
        <v>2856</v>
      </c>
      <c r="O206" s="181">
        <v>2856</v>
      </c>
      <c r="P206" s="181">
        <v>0</v>
      </c>
      <c r="Q206" s="182"/>
      <c r="R206" s="182"/>
      <c r="S206" s="182"/>
      <c r="T206" s="182"/>
      <c r="U206" s="182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  <c r="GB206" s="148"/>
      <c r="GC206" s="148"/>
      <c r="GD206" s="148"/>
      <c r="GE206" s="148"/>
      <c r="GF206" s="148"/>
      <c r="GG206" s="148"/>
      <c r="GH206" s="148"/>
      <c r="GI206" s="148"/>
      <c r="GJ206" s="148"/>
      <c r="GK206" s="148"/>
      <c r="GL206" s="148"/>
      <c r="GM206" s="148"/>
      <c r="GN206" s="148"/>
      <c r="GO206" s="148"/>
      <c r="GP206" s="148"/>
      <c r="GQ206" s="148"/>
      <c r="GR206" s="148"/>
      <c r="GS206" s="148"/>
      <c r="GT206" s="148"/>
      <c r="GU206" s="148"/>
      <c r="GV206" s="148"/>
      <c r="GW206" s="148"/>
      <c r="GX206" s="148"/>
      <c r="GY206" s="148"/>
      <c r="GZ206" s="148"/>
      <c r="HA206" s="148"/>
      <c r="HB206" s="148"/>
      <c r="HC206" s="148"/>
      <c r="HD206" s="148"/>
      <c r="HE206" s="148"/>
      <c r="HF206" s="148"/>
      <c r="HG206" s="148"/>
      <c r="HH206" s="148"/>
      <c r="HI206" s="148"/>
      <c r="HJ206" s="148"/>
      <c r="HK206" s="148"/>
      <c r="HL206" s="148"/>
      <c r="HM206" s="148"/>
      <c r="HN206" s="148"/>
      <c r="HO206" s="148"/>
      <c r="HP206" s="148"/>
      <c r="HQ206" s="148"/>
      <c r="HR206" s="148"/>
      <c r="HS206" s="148"/>
      <c r="HT206" s="148"/>
      <c r="HU206" s="148"/>
      <c r="HV206" s="148"/>
      <c r="HW206" s="148"/>
      <c r="HX206" s="148"/>
      <c r="HY206" s="148"/>
      <c r="HZ206" s="148"/>
      <c r="IA206" s="148"/>
      <c r="IB206" s="148"/>
      <c r="IC206" s="148"/>
      <c r="ID206" s="148"/>
      <c r="IE206" s="148"/>
      <c r="IF206" s="148"/>
      <c r="IG206" s="148"/>
      <c r="IH206" s="148"/>
      <c r="II206" s="148"/>
      <c r="IJ206" s="148"/>
      <c r="IK206" s="148"/>
      <c r="IL206" s="148"/>
      <c r="IM206" s="148"/>
      <c r="IN206" s="148"/>
      <c r="IO206" s="148"/>
      <c r="IP206" s="148"/>
      <c r="IQ206" s="148"/>
      <c r="IR206" s="148"/>
      <c r="IS206" s="148"/>
      <c r="IT206" s="148"/>
      <c r="IU206" s="148"/>
      <c r="IV206" s="148"/>
    </row>
    <row r="207" spans="1:256" hidden="1">
      <c r="A207" s="842"/>
      <c r="B207" s="845"/>
      <c r="C207" s="178" t="s">
        <v>1</v>
      </c>
      <c r="D207" s="180">
        <f>E207+M207</f>
        <v>0</v>
      </c>
      <c r="E207" s="181">
        <f>F207+I207+J207+K207+L207</f>
        <v>0</v>
      </c>
      <c r="F207" s="181">
        <f>G207+H207</f>
        <v>0</v>
      </c>
      <c r="G207" s="181"/>
      <c r="H207" s="181"/>
      <c r="I207" s="181"/>
      <c r="J207" s="181"/>
      <c r="K207" s="181"/>
      <c r="L207" s="181"/>
      <c r="M207" s="181">
        <f>N207+P207</f>
        <v>0</v>
      </c>
      <c r="N207" s="181"/>
      <c r="O207" s="181"/>
      <c r="P207" s="181"/>
      <c r="Q207" s="182"/>
      <c r="R207" s="182"/>
      <c r="S207" s="182"/>
      <c r="T207" s="182"/>
      <c r="U207" s="182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  <c r="GB207" s="148"/>
      <c r="GC207" s="148"/>
      <c r="GD207" s="148"/>
      <c r="GE207" s="148"/>
      <c r="GF207" s="148"/>
      <c r="GG207" s="148"/>
      <c r="GH207" s="148"/>
      <c r="GI207" s="148"/>
      <c r="GJ207" s="148"/>
      <c r="GK207" s="148"/>
      <c r="GL207" s="148"/>
      <c r="GM207" s="148"/>
      <c r="GN207" s="148"/>
      <c r="GO207" s="148"/>
      <c r="GP207" s="148"/>
      <c r="GQ207" s="148"/>
      <c r="GR207" s="148"/>
      <c r="GS207" s="148"/>
      <c r="GT207" s="148"/>
      <c r="GU207" s="148"/>
      <c r="GV207" s="148"/>
      <c r="GW207" s="148"/>
      <c r="GX207" s="148"/>
      <c r="GY207" s="148"/>
      <c r="GZ207" s="148"/>
      <c r="HA207" s="148"/>
      <c r="HB207" s="148"/>
      <c r="HC207" s="148"/>
      <c r="HD207" s="148"/>
      <c r="HE207" s="148"/>
      <c r="HF207" s="148"/>
      <c r="HG207" s="148"/>
      <c r="HH207" s="148"/>
      <c r="HI207" s="148"/>
      <c r="HJ207" s="148"/>
      <c r="HK207" s="148"/>
      <c r="HL207" s="148"/>
      <c r="HM207" s="148"/>
      <c r="HN207" s="148"/>
      <c r="HO207" s="148"/>
      <c r="HP207" s="148"/>
      <c r="HQ207" s="148"/>
      <c r="HR207" s="148"/>
      <c r="HS207" s="148"/>
      <c r="HT207" s="148"/>
      <c r="HU207" s="148"/>
      <c r="HV207" s="148"/>
      <c r="HW207" s="148"/>
      <c r="HX207" s="148"/>
      <c r="HY207" s="148"/>
      <c r="HZ207" s="148"/>
      <c r="IA207" s="148"/>
      <c r="IB207" s="148"/>
      <c r="IC207" s="148"/>
      <c r="ID207" s="148"/>
      <c r="IE207" s="148"/>
      <c r="IF207" s="148"/>
      <c r="IG207" s="148"/>
      <c r="IH207" s="148"/>
      <c r="II207" s="148"/>
      <c r="IJ207" s="148"/>
      <c r="IK207" s="148"/>
      <c r="IL207" s="148"/>
      <c r="IM207" s="148"/>
      <c r="IN207" s="148"/>
      <c r="IO207" s="148"/>
      <c r="IP207" s="148"/>
      <c r="IQ207" s="148"/>
      <c r="IR207" s="148"/>
      <c r="IS207" s="148"/>
      <c r="IT207" s="148"/>
      <c r="IU207" s="148"/>
      <c r="IV207" s="148"/>
    </row>
    <row r="208" spans="1:256" hidden="1">
      <c r="A208" s="843"/>
      <c r="B208" s="846"/>
      <c r="C208" s="178" t="s">
        <v>2</v>
      </c>
      <c r="D208" s="180">
        <f>D206+D207</f>
        <v>2955</v>
      </c>
      <c r="E208" s="181">
        <f t="shared" ref="E208:P208" si="89">E206+E207</f>
        <v>99</v>
      </c>
      <c r="F208" s="181">
        <f t="shared" si="89"/>
        <v>0</v>
      </c>
      <c r="G208" s="181">
        <f t="shared" si="89"/>
        <v>0</v>
      </c>
      <c r="H208" s="181">
        <f t="shared" si="89"/>
        <v>0</v>
      </c>
      <c r="I208" s="181">
        <f t="shared" si="89"/>
        <v>0</v>
      </c>
      <c r="J208" s="181">
        <f t="shared" si="89"/>
        <v>0</v>
      </c>
      <c r="K208" s="181">
        <f t="shared" si="89"/>
        <v>99</v>
      </c>
      <c r="L208" s="181">
        <f t="shared" si="89"/>
        <v>0</v>
      </c>
      <c r="M208" s="181">
        <f t="shared" si="89"/>
        <v>2856</v>
      </c>
      <c r="N208" s="181">
        <f t="shared" si="89"/>
        <v>2856</v>
      </c>
      <c r="O208" s="181">
        <f t="shared" si="89"/>
        <v>2856</v>
      </c>
      <c r="P208" s="181">
        <f t="shared" si="89"/>
        <v>0</v>
      </c>
      <c r="Q208" s="182"/>
      <c r="R208" s="182"/>
      <c r="S208" s="182"/>
      <c r="T208" s="182"/>
      <c r="U208" s="182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  <c r="GB208" s="148"/>
      <c r="GC208" s="148"/>
      <c r="GD208" s="148"/>
      <c r="GE208" s="148"/>
      <c r="GF208" s="148"/>
      <c r="GG208" s="148"/>
      <c r="GH208" s="148"/>
      <c r="GI208" s="148"/>
      <c r="GJ208" s="148"/>
      <c r="GK208" s="148"/>
      <c r="GL208" s="148"/>
      <c r="GM208" s="148"/>
      <c r="GN208" s="148"/>
      <c r="GO208" s="148"/>
      <c r="GP208" s="148"/>
      <c r="GQ208" s="148"/>
      <c r="GR208" s="148"/>
      <c r="GS208" s="148"/>
      <c r="GT208" s="148"/>
      <c r="GU208" s="148"/>
      <c r="GV208" s="148"/>
      <c r="GW208" s="148"/>
      <c r="GX208" s="148"/>
      <c r="GY208" s="148"/>
      <c r="GZ208" s="148"/>
      <c r="HA208" s="148"/>
      <c r="HB208" s="148"/>
      <c r="HC208" s="148"/>
      <c r="HD208" s="148"/>
      <c r="HE208" s="148"/>
      <c r="HF208" s="148"/>
      <c r="HG208" s="148"/>
      <c r="HH208" s="148"/>
      <c r="HI208" s="148"/>
      <c r="HJ208" s="148"/>
      <c r="HK208" s="148"/>
      <c r="HL208" s="148"/>
      <c r="HM208" s="148"/>
      <c r="HN208" s="148"/>
      <c r="HO208" s="148"/>
      <c r="HP208" s="148"/>
      <c r="HQ208" s="148"/>
      <c r="HR208" s="148"/>
      <c r="HS208" s="148"/>
      <c r="HT208" s="148"/>
      <c r="HU208" s="148"/>
      <c r="HV208" s="148"/>
      <c r="HW208" s="148"/>
      <c r="HX208" s="148"/>
      <c r="HY208" s="148"/>
      <c r="HZ208" s="148"/>
      <c r="IA208" s="148"/>
      <c r="IB208" s="148"/>
      <c r="IC208" s="148"/>
      <c r="ID208" s="148"/>
      <c r="IE208" s="148"/>
      <c r="IF208" s="148"/>
      <c r="IG208" s="148"/>
      <c r="IH208" s="148"/>
      <c r="II208" s="148"/>
      <c r="IJ208" s="148"/>
      <c r="IK208" s="148"/>
      <c r="IL208" s="148"/>
      <c r="IM208" s="148"/>
      <c r="IN208" s="148"/>
      <c r="IO208" s="148"/>
      <c r="IP208" s="148"/>
      <c r="IQ208" s="148"/>
      <c r="IR208" s="148"/>
      <c r="IS208" s="148"/>
      <c r="IT208" s="148"/>
      <c r="IU208" s="148"/>
      <c r="IV208" s="148"/>
    </row>
    <row r="209" spans="1:256">
      <c r="A209" s="841" t="s">
        <v>261</v>
      </c>
      <c r="B209" s="844" t="s">
        <v>262</v>
      </c>
      <c r="C209" s="178" t="s">
        <v>0</v>
      </c>
      <c r="D209" s="180">
        <f t="shared" si="81"/>
        <v>11172089</v>
      </c>
      <c r="E209" s="181">
        <f t="shared" si="82"/>
        <v>11172089</v>
      </c>
      <c r="F209" s="181">
        <f t="shared" si="83"/>
        <v>11139220</v>
      </c>
      <c r="G209" s="181">
        <v>9006185</v>
      </c>
      <c r="H209" s="181">
        <v>2133035</v>
      </c>
      <c r="I209" s="181">
        <v>0</v>
      </c>
      <c r="J209" s="181">
        <v>32869</v>
      </c>
      <c r="K209" s="181">
        <v>0</v>
      </c>
      <c r="L209" s="181">
        <v>0</v>
      </c>
      <c r="M209" s="181">
        <f t="shared" si="84"/>
        <v>0</v>
      </c>
      <c r="N209" s="181">
        <v>0</v>
      </c>
      <c r="O209" s="181">
        <v>0</v>
      </c>
      <c r="P209" s="181">
        <v>0</v>
      </c>
      <c r="Q209" s="182"/>
      <c r="R209" s="182"/>
      <c r="S209" s="182"/>
      <c r="T209" s="182"/>
      <c r="U209" s="182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  <c r="GB209" s="148"/>
      <c r="GC209" s="148"/>
      <c r="GD209" s="148"/>
      <c r="GE209" s="148"/>
      <c r="GF209" s="148"/>
      <c r="GG209" s="148"/>
      <c r="GH209" s="148"/>
      <c r="GI209" s="148"/>
      <c r="GJ209" s="148"/>
      <c r="GK209" s="148"/>
      <c r="GL209" s="148"/>
      <c r="GM209" s="148"/>
      <c r="GN209" s="148"/>
      <c r="GO209" s="148"/>
      <c r="GP209" s="148"/>
      <c r="GQ209" s="148"/>
      <c r="GR209" s="148"/>
      <c r="GS209" s="148"/>
      <c r="GT209" s="148"/>
      <c r="GU209" s="148"/>
      <c r="GV209" s="148"/>
      <c r="GW209" s="148"/>
      <c r="GX209" s="148"/>
      <c r="GY209" s="148"/>
      <c r="GZ209" s="148"/>
      <c r="HA209" s="148"/>
      <c r="HB209" s="148"/>
      <c r="HC209" s="148"/>
      <c r="HD209" s="148"/>
      <c r="HE209" s="148"/>
      <c r="HF209" s="148"/>
      <c r="HG209" s="148"/>
      <c r="HH209" s="148"/>
      <c r="HI209" s="148"/>
      <c r="HJ209" s="148"/>
      <c r="HK209" s="148"/>
      <c r="HL209" s="148"/>
      <c r="HM209" s="148"/>
      <c r="HN209" s="148"/>
      <c r="HO209" s="148"/>
      <c r="HP209" s="148"/>
      <c r="HQ209" s="148"/>
      <c r="HR209" s="148"/>
      <c r="HS209" s="148"/>
      <c r="HT209" s="148"/>
      <c r="HU209" s="148"/>
      <c r="HV209" s="148"/>
      <c r="HW209" s="148"/>
      <c r="HX209" s="148"/>
      <c r="HY209" s="148"/>
      <c r="HZ209" s="148"/>
      <c r="IA209" s="148"/>
      <c r="IB209" s="148"/>
      <c r="IC209" s="148"/>
      <c r="ID209" s="148"/>
      <c r="IE209" s="148"/>
      <c r="IF209" s="148"/>
      <c r="IG209" s="148"/>
      <c r="IH209" s="148"/>
      <c r="II209" s="148"/>
      <c r="IJ209" s="148"/>
      <c r="IK209" s="148"/>
      <c r="IL209" s="148"/>
      <c r="IM209" s="148"/>
      <c r="IN209" s="148"/>
      <c r="IO209" s="148"/>
      <c r="IP209" s="148"/>
      <c r="IQ209" s="148"/>
      <c r="IR209" s="148"/>
      <c r="IS209" s="148"/>
      <c r="IT209" s="148"/>
      <c r="IU209" s="148"/>
      <c r="IV209" s="148"/>
    </row>
    <row r="210" spans="1:256">
      <c r="A210" s="842"/>
      <c r="B210" s="845"/>
      <c r="C210" s="178" t="s">
        <v>1</v>
      </c>
      <c r="D210" s="180">
        <f t="shared" si="81"/>
        <v>8627</v>
      </c>
      <c r="E210" s="181">
        <f t="shared" si="82"/>
        <v>8627</v>
      </c>
      <c r="F210" s="181">
        <f t="shared" si="83"/>
        <v>8627</v>
      </c>
      <c r="G210" s="181"/>
      <c r="H210" s="181">
        <v>8627</v>
      </c>
      <c r="I210" s="181"/>
      <c r="J210" s="181"/>
      <c r="K210" s="181"/>
      <c r="L210" s="181"/>
      <c r="M210" s="181">
        <f t="shared" si="84"/>
        <v>0</v>
      </c>
      <c r="N210" s="181"/>
      <c r="O210" s="181"/>
      <c r="P210" s="181"/>
      <c r="Q210" s="182"/>
      <c r="R210" s="182"/>
      <c r="S210" s="182"/>
      <c r="T210" s="182"/>
      <c r="U210" s="182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  <c r="GB210" s="148"/>
      <c r="GC210" s="148"/>
      <c r="GD210" s="148"/>
      <c r="GE210" s="148"/>
      <c r="GF210" s="148"/>
      <c r="GG210" s="148"/>
      <c r="GH210" s="148"/>
      <c r="GI210" s="148"/>
      <c r="GJ210" s="148"/>
      <c r="GK210" s="148"/>
      <c r="GL210" s="148"/>
      <c r="GM210" s="148"/>
      <c r="GN210" s="148"/>
      <c r="GO210" s="148"/>
      <c r="GP210" s="148"/>
      <c r="GQ210" s="148"/>
      <c r="GR210" s="148"/>
      <c r="GS210" s="148"/>
      <c r="GT210" s="148"/>
      <c r="GU210" s="148"/>
      <c r="GV210" s="148"/>
      <c r="GW210" s="148"/>
      <c r="GX210" s="148"/>
      <c r="GY210" s="148"/>
      <c r="GZ210" s="148"/>
      <c r="HA210" s="148"/>
      <c r="HB210" s="148"/>
      <c r="HC210" s="148"/>
      <c r="HD210" s="148"/>
      <c r="HE210" s="148"/>
      <c r="HF210" s="148"/>
      <c r="HG210" s="148"/>
      <c r="HH210" s="148"/>
      <c r="HI210" s="148"/>
      <c r="HJ210" s="148"/>
      <c r="HK210" s="148"/>
      <c r="HL210" s="148"/>
      <c r="HM210" s="148"/>
      <c r="HN210" s="148"/>
      <c r="HO210" s="148"/>
      <c r="HP210" s="148"/>
      <c r="HQ210" s="148"/>
      <c r="HR210" s="148"/>
      <c r="HS210" s="148"/>
      <c r="HT210" s="148"/>
      <c r="HU210" s="148"/>
      <c r="HV210" s="148"/>
      <c r="HW210" s="148"/>
      <c r="HX210" s="148"/>
      <c r="HY210" s="148"/>
      <c r="HZ210" s="148"/>
      <c r="IA210" s="148"/>
      <c r="IB210" s="148"/>
      <c r="IC210" s="148"/>
      <c r="ID210" s="148"/>
      <c r="IE210" s="148"/>
      <c r="IF210" s="148"/>
      <c r="IG210" s="148"/>
      <c r="IH210" s="148"/>
      <c r="II210" s="148"/>
      <c r="IJ210" s="148"/>
      <c r="IK210" s="148"/>
      <c r="IL210" s="148"/>
      <c r="IM210" s="148"/>
      <c r="IN210" s="148"/>
      <c r="IO210" s="148"/>
      <c r="IP210" s="148"/>
      <c r="IQ210" s="148"/>
      <c r="IR210" s="148"/>
      <c r="IS210" s="148"/>
      <c r="IT210" s="148"/>
      <c r="IU210" s="148"/>
      <c r="IV210" s="148"/>
    </row>
    <row r="211" spans="1:256">
      <c r="A211" s="843"/>
      <c r="B211" s="846"/>
      <c r="C211" s="178" t="s">
        <v>2</v>
      </c>
      <c r="D211" s="180">
        <f>D209+D210</f>
        <v>11180716</v>
      </c>
      <c r="E211" s="181">
        <f t="shared" ref="E211:P211" si="90">E209+E210</f>
        <v>11180716</v>
      </c>
      <c r="F211" s="181">
        <f t="shared" si="90"/>
        <v>11147847</v>
      </c>
      <c r="G211" s="181">
        <f t="shared" si="90"/>
        <v>9006185</v>
      </c>
      <c r="H211" s="181">
        <f t="shared" si="90"/>
        <v>2141662</v>
      </c>
      <c r="I211" s="181">
        <f t="shared" si="90"/>
        <v>0</v>
      </c>
      <c r="J211" s="181">
        <f t="shared" si="90"/>
        <v>32869</v>
      </c>
      <c r="K211" s="181">
        <f t="shared" si="90"/>
        <v>0</v>
      </c>
      <c r="L211" s="181">
        <f t="shared" si="90"/>
        <v>0</v>
      </c>
      <c r="M211" s="181">
        <f t="shared" si="90"/>
        <v>0</v>
      </c>
      <c r="N211" s="181">
        <f t="shared" si="90"/>
        <v>0</v>
      </c>
      <c r="O211" s="181">
        <f t="shared" si="90"/>
        <v>0</v>
      </c>
      <c r="P211" s="181">
        <f t="shared" si="90"/>
        <v>0</v>
      </c>
      <c r="Q211" s="182"/>
      <c r="R211" s="182"/>
      <c r="S211" s="182"/>
      <c r="T211" s="182"/>
      <c r="U211" s="182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8"/>
      <c r="GD211" s="148"/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8"/>
      <c r="GO211" s="148"/>
      <c r="GP211" s="148"/>
      <c r="GQ211" s="148"/>
      <c r="GR211" s="148"/>
      <c r="GS211" s="148"/>
      <c r="GT211" s="148"/>
      <c r="GU211" s="148"/>
      <c r="GV211" s="148"/>
      <c r="GW211" s="148"/>
      <c r="GX211" s="148"/>
      <c r="GY211" s="148"/>
      <c r="GZ211" s="148"/>
      <c r="HA211" s="148"/>
      <c r="HB211" s="148"/>
      <c r="HC211" s="148"/>
      <c r="HD211" s="148"/>
      <c r="HE211" s="148"/>
      <c r="HF211" s="148"/>
      <c r="HG211" s="148"/>
      <c r="HH211" s="148"/>
      <c r="HI211" s="148"/>
      <c r="HJ211" s="148"/>
      <c r="HK211" s="148"/>
      <c r="HL211" s="148"/>
      <c r="HM211" s="148"/>
      <c r="HN211" s="148"/>
      <c r="HO211" s="148"/>
      <c r="HP211" s="148"/>
      <c r="HQ211" s="148"/>
      <c r="HR211" s="148"/>
      <c r="HS211" s="148"/>
      <c r="HT211" s="148"/>
      <c r="HU211" s="148"/>
      <c r="HV211" s="148"/>
      <c r="HW211" s="148"/>
      <c r="HX211" s="148"/>
      <c r="HY211" s="148"/>
      <c r="HZ211" s="148"/>
      <c r="IA211" s="148"/>
      <c r="IB211" s="148"/>
      <c r="IC211" s="148"/>
      <c r="ID211" s="148"/>
      <c r="IE211" s="148"/>
      <c r="IF211" s="148"/>
      <c r="IG211" s="148"/>
      <c r="IH211" s="148"/>
      <c r="II211" s="148"/>
      <c r="IJ211" s="148"/>
      <c r="IK211" s="148"/>
      <c r="IL211" s="148"/>
      <c r="IM211" s="148"/>
      <c r="IN211" s="148"/>
      <c r="IO211" s="148"/>
      <c r="IP211" s="148"/>
      <c r="IQ211" s="148"/>
      <c r="IR211" s="148"/>
      <c r="IS211" s="148"/>
      <c r="IT211" s="148"/>
      <c r="IU211" s="148"/>
      <c r="IV211" s="148"/>
    </row>
    <row r="212" spans="1:256" hidden="1">
      <c r="A212" s="841" t="s">
        <v>263</v>
      </c>
      <c r="B212" s="844" t="s">
        <v>264</v>
      </c>
      <c r="C212" s="178" t="s">
        <v>0</v>
      </c>
      <c r="D212" s="180">
        <f t="shared" si="81"/>
        <v>6391214</v>
      </c>
      <c r="E212" s="181">
        <f t="shared" si="82"/>
        <v>6391214</v>
      </c>
      <c r="F212" s="181">
        <f t="shared" si="83"/>
        <v>6382318</v>
      </c>
      <c r="G212" s="181">
        <v>5976126</v>
      </c>
      <c r="H212" s="181">
        <v>406192</v>
      </c>
      <c r="I212" s="181">
        <v>0</v>
      </c>
      <c r="J212" s="181">
        <v>8896</v>
      </c>
      <c r="K212" s="181">
        <v>0</v>
      </c>
      <c r="L212" s="181">
        <v>0</v>
      </c>
      <c r="M212" s="181">
        <f t="shared" si="84"/>
        <v>0</v>
      </c>
      <c r="N212" s="181">
        <v>0</v>
      </c>
      <c r="O212" s="181">
        <v>0</v>
      </c>
      <c r="P212" s="181">
        <v>0</v>
      </c>
      <c r="Q212" s="182"/>
      <c r="R212" s="182"/>
      <c r="S212" s="182"/>
      <c r="T212" s="182"/>
      <c r="U212" s="182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  <c r="GR212" s="148"/>
      <c r="GS212" s="148"/>
      <c r="GT212" s="148"/>
      <c r="GU212" s="148"/>
      <c r="GV212" s="148"/>
      <c r="GW212" s="148"/>
      <c r="GX212" s="148"/>
      <c r="GY212" s="148"/>
      <c r="GZ212" s="148"/>
      <c r="HA212" s="148"/>
      <c r="HB212" s="148"/>
      <c r="HC212" s="148"/>
      <c r="HD212" s="148"/>
      <c r="HE212" s="148"/>
      <c r="HF212" s="148"/>
      <c r="HG212" s="148"/>
      <c r="HH212" s="148"/>
      <c r="HI212" s="148"/>
      <c r="HJ212" s="148"/>
      <c r="HK212" s="148"/>
      <c r="HL212" s="148"/>
      <c r="HM212" s="148"/>
      <c r="HN212" s="148"/>
      <c r="HO212" s="148"/>
      <c r="HP212" s="148"/>
      <c r="HQ212" s="148"/>
      <c r="HR212" s="148"/>
      <c r="HS212" s="148"/>
      <c r="HT212" s="148"/>
      <c r="HU212" s="148"/>
      <c r="HV212" s="148"/>
      <c r="HW212" s="148"/>
      <c r="HX212" s="148"/>
      <c r="HY212" s="148"/>
      <c r="HZ212" s="148"/>
      <c r="IA212" s="148"/>
      <c r="IB212" s="148"/>
      <c r="IC212" s="148"/>
      <c r="ID212" s="148"/>
      <c r="IE212" s="148"/>
      <c r="IF212" s="148"/>
      <c r="IG212" s="148"/>
      <c r="IH212" s="148"/>
      <c r="II212" s="148"/>
      <c r="IJ212" s="148"/>
      <c r="IK212" s="148"/>
      <c r="IL212" s="148"/>
      <c r="IM212" s="148"/>
      <c r="IN212" s="148"/>
      <c r="IO212" s="148"/>
      <c r="IP212" s="148"/>
      <c r="IQ212" s="148"/>
      <c r="IR212" s="148"/>
      <c r="IS212" s="148"/>
      <c r="IT212" s="148"/>
      <c r="IU212" s="148"/>
      <c r="IV212" s="148"/>
    </row>
    <row r="213" spans="1:256" hidden="1">
      <c r="A213" s="842"/>
      <c r="B213" s="845"/>
      <c r="C213" s="178" t="s">
        <v>1</v>
      </c>
      <c r="D213" s="180">
        <f t="shared" si="81"/>
        <v>0</v>
      </c>
      <c r="E213" s="181">
        <f t="shared" si="82"/>
        <v>0</v>
      </c>
      <c r="F213" s="181">
        <f t="shared" si="83"/>
        <v>0</v>
      </c>
      <c r="G213" s="181"/>
      <c r="H213" s="181"/>
      <c r="I213" s="181"/>
      <c r="J213" s="181"/>
      <c r="K213" s="181"/>
      <c r="L213" s="181"/>
      <c r="M213" s="181">
        <f t="shared" si="84"/>
        <v>0</v>
      </c>
      <c r="N213" s="181"/>
      <c r="O213" s="181"/>
      <c r="P213" s="181"/>
      <c r="Q213" s="182"/>
      <c r="R213" s="182"/>
      <c r="S213" s="182"/>
      <c r="T213" s="182"/>
      <c r="U213" s="182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  <c r="GR213" s="148"/>
      <c r="GS213" s="148"/>
      <c r="GT213" s="148"/>
      <c r="GU213" s="148"/>
      <c r="GV213" s="148"/>
      <c r="GW213" s="148"/>
      <c r="GX213" s="148"/>
      <c r="GY213" s="148"/>
      <c r="GZ213" s="148"/>
      <c r="HA213" s="148"/>
      <c r="HB213" s="148"/>
      <c r="HC213" s="148"/>
      <c r="HD213" s="148"/>
      <c r="HE213" s="148"/>
      <c r="HF213" s="148"/>
      <c r="HG213" s="148"/>
      <c r="HH213" s="148"/>
      <c r="HI213" s="148"/>
      <c r="HJ213" s="148"/>
      <c r="HK213" s="148"/>
      <c r="HL213" s="148"/>
      <c r="HM213" s="148"/>
      <c r="HN213" s="148"/>
      <c r="HO213" s="148"/>
      <c r="HP213" s="148"/>
      <c r="HQ213" s="148"/>
      <c r="HR213" s="148"/>
      <c r="HS213" s="148"/>
      <c r="HT213" s="148"/>
      <c r="HU213" s="148"/>
      <c r="HV213" s="148"/>
      <c r="HW213" s="148"/>
      <c r="HX213" s="148"/>
      <c r="HY213" s="148"/>
      <c r="HZ213" s="148"/>
      <c r="IA213" s="148"/>
      <c r="IB213" s="148"/>
      <c r="IC213" s="148"/>
      <c r="ID213" s="148"/>
      <c r="IE213" s="148"/>
      <c r="IF213" s="148"/>
      <c r="IG213" s="148"/>
      <c r="IH213" s="148"/>
      <c r="II213" s="148"/>
      <c r="IJ213" s="148"/>
      <c r="IK213" s="148"/>
      <c r="IL213" s="148"/>
      <c r="IM213" s="148"/>
      <c r="IN213" s="148"/>
      <c r="IO213" s="148"/>
      <c r="IP213" s="148"/>
      <c r="IQ213" s="148"/>
      <c r="IR213" s="148"/>
      <c r="IS213" s="148"/>
      <c r="IT213" s="148"/>
      <c r="IU213" s="148"/>
      <c r="IV213" s="148"/>
    </row>
    <row r="214" spans="1:256" hidden="1">
      <c r="A214" s="843"/>
      <c r="B214" s="846"/>
      <c r="C214" s="178" t="s">
        <v>2</v>
      </c>
      <c r="D214" s="180">
        <f>D212+D213</f>
        <v>6391214</v>
      </c>
      <c r="E214" s="181">
        <f t="shared" ref="E214:P214" si="91">E212+E213</f>
        <v>6391214</v>
      </c>
      <c r="F214" s="181">
        <f t="shared" si="91"/>
        <v>6382318</v>
      </c>
      <c r="G214" s="181">
        <f t="shared" si="91"/>
        <v>5976126</v>
      </c>
      <c r="H214" s="181">
        <f t="shared" si="91"/>
        <v>406192</v>
      </c>
      <c r="I214" s="181">
        <f t="shared" si="91"/>
        <v>0</v>
      </c>
      <c r="J214" s="181">
        <f t="shared" si="91"/>
        <v>8896</v>
      </c>
      <c r="K214" s="181">
        <f t="shared" si="91"/>
        <v>0</v>
      </c>
      <c r="L214" s="181">
        <f t="shared" si="91"/>
        <v>0</v>
      </c>
      <c r="M214" s="181">
        <f t="shared" si="91"/>
        <v>0</v>
      </c>
      <c r="N214" s="181">
        <f t="shared" si="91"/>
        <v>0</v>
      </c>
      <c r="O214" s="181">
        <f t="shared" si="91"/>
        <v>0</v>
      </c>
      <c r="P214" s="181">
        <f t="shared" si="91"/>
        <v>0</v>
      </c>
      <c r="Q214" s="182"/>
      <c r="R214" s="182"/>
      <c r="S214" s="182"/>
      <c r="T214" s="182"/>
      <c r="U214" s="182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  <c r="GR214" s="148"/>
      <c r="GS214" s="148"/>
      <c r="GT214" s="148"/>
      <c r="GU214" s="148"/>
      <c r="GV214" s="148"/>
      <c r="GW214" s="148"/>
      <c r="GX214" s="148"/>
      <c r="GY214" s="148"/>
      <c r="GZ214" s="148"/>
      <c r="HA214" s="148"/>
      <c r="HB214" s="148"/>
      <c r="HC214" s="148"/>
      <c r="HD214" s="148"/>
      <c r="HE214" s="148"/>
      <c r="HF214" s="148"/>
      <c r="HG214" s="148"/>
      <c r="HH214" s="148"/>
      <c r="HI214" s="148"/>
      <c r="HJ214" s="148"/>
      <c r="HK214" s="148"/>
      <c r="HL214" s="148"/>
      <c r="HM214" s="148"/>
      <c r="HN214" s="148"/>
      <c r="HO214" s="148"/>
      <c r="HP214" s="148"/>
      <c r="HQ214" s="148"/>
      <c r="HR214" s="148"/>
      <c r="HS214" s="148"/>
      <c r="HT214" s="148"/>
      <c r="HU214" s="148"/>
      <c r="HV214" s="148"/>
      <c r="HW214" s="148"/>
      <c r="HX214" s="148"/>
      <c r="HY214" s="148"/>
      <c r="HZ214" s="148"/>
      <c r="IA214" s="148"/>
      <c r="IB214" s="148"/>
      <c r="IC214" s="148"/>
      <c r="ID214" s="148"/>
      <c r="IE214" s="148"/>
      <c r="IF214" s="148"/>
      <c r="IG214" s="148"/>
      <c r="IH214" s="148"/>
      <c r="II214" s="148"/>
      <c r="IJ214" s="148"/>
      <c r="IK214" s="148"/>
      <c r="IL214" s="148"/>
      <c r="IM214" s="148"/>
      <c r="IN214" s="148"/>
      <c r="IO214" s="148"/>
      <c r="IP214" s="148"/>
      <c r="IQ214" s="148"/>
      <c r="IR214" s="148"/>
      <c r="IS214" s="148"/>
      <c r="IT214" s="148"/>
      <c r="IU214" s="148"/>
      <c r="IV214" s="148"/>
    </row>
    <row r="215" spans="1:256">
      <c r="A215" s="841" t="s">
        <v>265</v>
      </c>
      <c r="B215" s="844" t="s">
        <v>266</v>
      </c>
      <c r="C215" s="178" t="s">
        <v>0</v>
      </c>
      <c r="D215" s="180">
        <f t="shared" si="81"/>
        <v>27660164</v>
      </c>
      <c r="E215" s="181">
        <f t="shared" si="82"/>
        <v>27660164</v>
      </c>
      <c r="F215" s="181">
        <f t="shared" si="83"/>
        <v>27646714</v>
      </c>
      <c r="G215" s="181">
        <v>25443445</v>
      </c>
      <c r="H215" s="181">
        <v>2203269</v>
      </c>
      <c r="I215" s="181">
        <v>0</v>
      </c>
      <c r="J215" s="181">
        <v>13450</v>
      </c>
      <c r="K215" s="181">
        <v>0</v>
      </c>
      <c r="L215" s="181">
        <v>0</v>
      </c>
      <c r="M215" s="181">
        <f t="shared" si="84"/>
        <v>0</v>
      </c>
      <c r="N215" s="181">
        <v>0</v>
      </c>
      <c r="O215" s="181">
        <v>0</v>
      </c>
      <c r="P215" s="181">
        <v>0</v>
      </c>
      <c r="Q215" s="182"/>
      <c r="R215" s="182"/>
      <c r="S215" s="182"/>
      <c r="T215" s="182"/>
      <c r="U215" s="182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  <c r="GR215" s="148"/>
      <c r="GS215" s="148"/>
      <c r="GT215" s="148"/>
      <c r="GU215" s="148"/>
      <c r="GV215" s="148"/>
      <c r="GW215" s="148"/>
      <c r="GX215" s="148"/>
      <c r="GY215" s="148"/>
      <c r="GZ215" s="148"/>
      <c r="HA215" s="148"/>
      <c r="HB215" s="148"/>
      <c r="HC215" s="148"/>
      <c r="HD215" s="148"/>
      <c r="HE215" s="148"/>
      <c r="HF215" s="148"/>
      <c r="HG215" s="148"/>
      <c r="HH215" s="148"/>
      <c r="HI215" s="148"/>
      <c r="HJ215" s="148"/>
      <c r="HK215" s="148"/>
      <c r="HL215" s="148"/>
      <c r="HM215" s="148"/>
      <c r="HN215" s="148"/>
      <c r="HO215" s="148"/>
      <c r="HP215" s="148"/>
      <c r="HQ215" s="148"/>
      <c r="HR215" s="148"/>
      <c r="HS215" s="148"/>
      <c r="HT215" s="148"/>
      <c r="HU215" s="148"/>
      <c r="HV215" s="148"/>
      <c r="HW215" s="148"/>
      <c r="HX215" s="148"/>
      <c r="HY215" s="148"/>
      <c r="HZ215" s="148"/>
      <c r="IA215" s="148"/>
      <c r="IB215" s="148"/>
      <c r="IC215" s="148"/>
      <c r="ID215" s="148"/>
      <c r="IE215" s="148"/>
      <c r="IF215" s="148"/>
      <c r="IG215" s="148"/>
      <c r="IH215" s="148"/>
      <c r="II215" s="148"/>
      <c r="IJ215" s="148"/>
      <c r="IK215" s="148"/>
      <c r="IL215" s="148"/>
      <c r="IM215" s="148"/>
      <c r="IN215" s="148"/>
      <c r="IO215" s="148"/>
      <c r="IP215" s="148"/>
      <c r="IQ215" s="148"/>
      <c r="IR215" s="148"/>
      <c r="IS215" s="148"/>
      <c r="IT215" s="148"/>
      <c r="IU215" s="148"/>
      <c r="IV215" s="148"/>
    </row>
    <row r="216" spans="1:256">
      <c r="A216" s="842"/>
      <c r="B216" s="845"/>
      <c r="C216" s="178" t="s">
        <v>1</v>
      </c>
      <c r="D216" s="180">
        <f t="shared" si="81"/>
        <v>225445</v>
      </c>
      <c r="E216" s="181">
        <f t="shared" si="82"/>
        <v>120445</v>
      </c>
      <c r="F216" s="181">
        <f t="shared" si="83"/>
        <v>0</v>
      </c>
      <c r="G216" s="181"/>
      <c r="H216" s="181"/>
      <c r="I216" s="181"/>
      <c r="J216" s="181"/>
      <c r="K216" s="181">
        <f>113753+6692</f>
        <v>120445</v>
      </c>
      <c r="L216" s="181"/>
      <c r="M216" s="181">
        <f t="shared" si="84"/>
        <v>105000</v>
      </c>
      <c r="N216" s="181">
        <v>105000</v>
      </c>
      <c r="O216" s="181"/>
      <c r="P216" s="181"/>
      <c r="Q216" s="182"/>
      <c r="R216" s="182"/>
      <c r="S216" s="182"/>
      <c r="T216" s="182"/>
      <c r="U216" s="182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  <c r="GR216" s="148"/>
      <c r="GS216" s="148"/>
      <c r="GT216" s="148"/>
      <c r="GU216" s="148"/>
      <c r="GV216" s="148"/>
      <c r="GW216" s="148"/>
      <c r="GX216" s="148"/>
      <c r="GY216" s="148"/>
      <c r="GZ216" s="148"/>
      <c r="HA216" s="148"/>
      <c r="HB216" s="148"/>
      <c r="HC216" s="148"/>
      <c r="HD216" s="148"/>
      <c r="HE216" s="148"/>
      <c r="HF216" s="148"/>
      <c r="HG216" s="148"/>
      <c r="HH216" s="148"/>
      <c r="HI216" s="148"/>
      <c r="HJ216" s="148"/>
      <c r="HK216" s="148"/>
      <c r="HL216" s="148"/>
      <c r="HM216" s="148"/>
      <c r="HN216" s="148"/>
      <c r="HO216" s="148"/>
      <c r="HP216" s="148"/>
      <c r="HQ216" s="148"/>
      <c r="HR216" s="148"/>
      <c r="HS216" s="148"/>
      <c r="HT216" s="148"/>
      <c r="HU216" s="148"/>
      <c r="HV216" s="148"/>
      <c r="HW216" s="148"/>
      <c r="HX216" s="148"/>
      <c r="HY216" s="148"/>
      <c r="HZ216" s="148"/>
      <c r="IA216" s="148"/>
      <c r="IB216" s="148"/>
      <c r="IC216" s="148"/>
      <c r="ID216" s="148"/>
      <c r="IE216" s="148"/>
      <c r="IF216" s="148"/>
      <c r="IG216" s="148"/>
      <c r="IH216" s="148"/>
      <c r="II216" s="148"/>
      <c r="IJ216" s="148"/>
      <c r="IK216" s="148"/>
      <c r="IL216" s="148"/>
      <c r="IM216" s="148"/>
      <c r="IN216" s="148"/>
      <c r="IO216" s="148"/>
      <c r="IP216" s="148"/>
      <c r="IQ216" s="148"/>
      <c r="IR216" s="148"/>
      <c r="IS216" s="148"/>
      <c r="IT216" s="148"/>
      <c r="IU216" s="148"/>
      <c r="IV216" s="148"/>
    </row>
    <row r="217" spans="1:256">
      <c r="A217" s="843"/>
      <c r="B217" s="846"/>
      <c r="C217" s="178" t="s">
        <v>2</v>
      </c>
      <c r="D217" s="180">
        <f>D215+D216</f>
        <v>27885609</v>
      </c>
      <c r="E217" s="181">
        <f t="shared" ref="E217:P217" si="92">E215+E216</f>
        <v>27780609</v>
      </c>
      <c r="F217" s="181">
        <f t="shared" si="92"/>
        <v>27646714</v>
      </c>
      <c r="G217" s="181">
        <f t="shared" si="92"/>
        <v>25443445</v>
      </c>
      <c r="H217" s="181">
        <f t="shared" si="92"/>
        <v>2203269</v>
      </c>
      <c r="I217" s="181">
        <f t="shared" si="92"/>
        <v>0</v>
      </c>
      <c r="J217" s="181">
        <f t="shared" si="92"/>
        <v>13450</v>
      </c>
      <c r="K217" s="181">
        <f t="shared" si="92"/>
        <v>120445</v>
      </c>
      <c r="L217" s="181">
        <f t="shared" si="92"/>
        <v>0</v>
      </c>
      <c r="M217" s="181">
        <f t="shared" si="92"/>
        <v>105000</v>
      </c>
      <c r="N217" s="181">
        <f t="shared" si="92"/>
        <v>105000</v>
      </c>
      <c r="O217" s="181">
        <f t="shared" si="92"/>
        <v>0</v>
      </c>
      <c r="P217" s="181">
        <f t="shared" si="92"/>
        <v>0</v>
      </c>
      <c r="Q217" s="182"/>
      <c r="R217" s="182"/>
      <c r="S217" s="182"/>
      <c r="T217" s="182"/>
      <c r="U217" s="182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  <c r="GR217" s="148"/>
      <c r="GS217" s="148"/>
      <c r="GT217" s="148"/>
      <c r="GU217" s="148"/>
      <c r="GV217" s="148"/>
      <c r="GW217" s="148"/>
      <c r="GX217" s="148"/>
      <c r="GY217" s="148"/>
      <c r="GZ217" s="148"/>
      <c r="HA217" s="148"/>
      <c r="HB217" s="148"/>
      <c r="HC217" s="148"/>
      <c r="HD217" s="148"/>
      <c r="HE217" s="148"/>
      <c r="HF217" s="148"/>
      <c r="HG217" s="148"/>
      <c r="HH217" s="148"/>
      <c r="HI217" s="148"/>
      <c r="HJ217" s="148"/>
      <c r="HK217" s="148"/>
      <c r="HL217" s="148"/>
      <c r="HM217" s="148"/>
      <c r="HN217" s="148"/>
      <c r="HO217" s="148"/>
      <c r="HP217" s="148"/>
      <c r="HQ217" s="148"/>
      <c r="HR217" s="148"/>
      <c r="HS217" s="148"/>
      <c r="HT217" s="148"/>
      <c r="HU217" s="148"/>
      <c r="HV217" s="148"/>
      <c r="HW217" s="148"/>
      <c r="HX217" s="148"/>
      <c r="HY217" s="148"/>
      <c r="HZ217" s="148"/>
      <c r="IA217" s="148"/>
      <c r="IB217" s="148"/>
      <c r="IC217" s="148"/>
      <c r="ID217" s="148"/>
      <c r="IE217" s="148"/>
      <c r="IF217" s="148"/>
      <c r="IG217" s="148"/>
      <c r="IH217" s="148"/>
      <c r="II217" s="148"/>
      <c r="IJ217" s="148"/>
      <c r="IK217" s="148"/>
      <c r="IL217" s="148"/>
      <c r="IM217" s="148"/>
      <c r="IN217" s="148"/>
      <c r="IO217" s="148"/>
      <c r="IP217" s="148"/>
      <c r="IQ217" s="148"/>
      <c r="IR217" s="148"/>
      <c r="IS217" s="148"/>
      <c r="IT217" s="148"/>
      <c r="IU217" s="148"/>
      <c r="IV217" s="148"/>
    </row>
    <row r="218" spans="1:256" hidden="1">
      <c r="A218" s="841" t="s">
        <v>267</v>
      </c>
      <c r="B218" s="859" t="s">
        <v>268</v>
      </c>
      <c r="C218" s="178" t="s">
        <v>0</v>
      </c>
      <c r="D218" s="170">
        <f t="shared" si="81"/>
        <v>4311525</v>
      </c>
      <c r="E218" s="171">
        <f t="shared" si="82"/>
        <v>4234035</v>
      </c>
      <c r="F218" s="171">
        <f t="shared" si="83"/>
        <v>4232035</v>
      </c>
      <c r="G218" s="171">
        <v>3847762</v>
      </c>
      <c r="H218" s="171">
        <v>384273</v>
      </c>
      <c r="I218" s="171">
        <v>0</v>
      </c>
      <c r="J218" s="171">
        <v>2000</v>
      </c>
      <c r="K218" s="171">
        <v>0</v>
      </c>
      <c r="L218" s="171">
        <v>0</v>
      </c>
      <c r="M218" s="171">
        <f t="shared" si="84"/>
        <v>77490</v>
      </c>
      <c r="N218" s="171">
        <v>77490</v>
      </c>
      <c r="O218" s="171">
        <v>0</v>
      </c>
      <c r="P218" s="171">
        <v>0</v>
      </c>
      <c r="Q218" s="172"/>
      <c r="R218" s="172"/>
      <c r="S218" s="172"/>
      <c r="T218" s="172"/>
      <c r="U218" s="172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3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3"/>
      <c r="CZ218" s="163"/>
      <c r="DA218" s="163"/>
      <c r="DB218" s="163"/>
      <c r="DC218" s="163"/>
      <c r="DD218" s="163"/>
      <c r="DE218" s="163"/>
      <c r="DF218" s="163"/>
      <c r="DG218" s="163"/>
      <c r="DH218" s="163"/>
      <c r="DI218" s="163"/>
      <c r="DJ218" s="163"/>
      <c r="DK218" s="163"/>
      <c r="DL218" s="163"/>
      <c r="DM218" s="163"/>
      <c r="DN218" s="163"/>
      <c r="DO218" s="163"/>
      <c r="DP218" s="163"/>
      <c r="DQ218" s="163"/>
      <c r="DR218" s="163"/>
      <c r="DS218" s="163"/>
      <c r="DT218" s="163"/>
      <c r="DU218" s="163"/>
      <c r="DV218" s="163"/>
      <c r="DW218" s="163"/>
      <c r="DX218" s="163"/>
      <c r="DY218" s="163"/>
      <c r="DZ218" s="163"/>
      <c r="EA218" s="163"/>
      <c r="EB218" s="163"/>
      <c r="EC218" s="163"/>
      <c r="ED218" s="163"/>
      <c r="EE218" s="163"/>
      <c r="EF218" s="163"/>
      <c r="EG218" s="163"/>
      <c r="EH218" s="163"/>
      <c r="EI218" s="163"/>
      <c r="EJ218" s="163"/>
      <c r="EK218" s="163"/>
      <c r="EL218" s="163"/>
      <c r="EM218" s="163"/>
      <c r="EN218" s="163"/>
      <c r="EO218" s="163"/>
      <c r="EP218" s="163"/>
      <c r="EQ218" s="163"/>
      <c r="ER218" s="163"/>
      <c r="ES218" s="163"/>
      <c r="ET218" s="163"/>
      <c r="EU218" s="163"/>
      <c r="EV218" s="163"/>
      <c r="EW218" s="163"/>
      <c r="EX218" s="163"/>
      <c r="EY218" s="163"/>
      <c r="EZ218" s="163"/>
      <c r="FA218" s="163"/>
      <c r="FB218" s="163"/>
      <c r="FC218" s="163"/>
      <c r="FD218" s="163"/>
      <c r="FE218" s="163"/>
      <c r="FF218" s="163"/>
      <c r="FG218" s="163"/>
      <c r="FH218" s="163"/>
      <c r="FI218" s="163"/>
      <c r="FJ218" s="163"/>
      <c r="FK218" s="163"/>
      <c r="FL218" s="163"/>
      <c r="FM218" s="163"/>
      <c r="FN218" s="163"/>
      <c r="FO218" s="163"/>
      <c r="FP218" s="163"/>
      <c r="FQ218" s="163"/>
      <c r="FR218" s="163"/>
      <c r="FS218" s="163"/>
      <c r="FT218" s="163"/>
      <c r="FU218" s="163"/>
      <c r="FV218" s="163"/>
      <c r="FW218" s="163"/>
      <c r="FX218" s="163"/>
      <c r="FY218" s="163"/>
      <c r="FZ218" s="163"/>
      <c r="GA218" s="163"/>
      <c r="GB218" s="163"/>
      <c r="GC218" s="163"/>
      <c r="GD218" s="163"/>
      <c r="GE218" s="163"/>
      <c r="GF218" s="163"/>
      <c r="GG218" s="163"/>
      <c r="GH218" s="163"/>
      <c r="GI218" s="163"/>
      <c r="GJ218" s="163"/>
      <c r="GK218" s="163"/>
      <c r="GL218" s="163"/>
      <c r="GM218" s="163"/>
      <c r="GN218" s="163"/>
      <c r="GO218" s="163"/>
      <c r="GP218" s="163"/>
      <c r="GQ218" s="163"/>
      <c r="GR218" s="163"/>
      <c r="GS218" s="163"/>
      <c r="GT218" s="163"/>
      <c r="GU218" s="163"/>
      <c r="GV218" s="163"/>
      <c r="GW218" s="163"/>
      <c r="GX218" s="163"/>
      <c r="GY218" s="163"/>
      <c r="GZ218" s="163"/>
      <c r="HA218" s="163"/>
      <c r="HB218" s="163"/>
      <c r="HC218" s="163"/>
      <c r="HD218" s="163"/>
      <c r="HE218" s="163"/>
      <c r="HF218" s="163"/>
      <c r="HG218" s="163"/>
      <c r="HH218" s="163"/>
      <c r="HI218" s="163"/>
      <c r="HJ218" s="163"/>
      <c r="HK218" s="163"/>
      <c r="HL218" s="163"/>
      <c r="HM218" s="163"/>
      <c r="HN218" s="163"/>
      <c r="HO218" s="163"/>
      <c r="HP218" s="163"/>
      <c r="HQ218" s="163"/>
      <c r="HR218" s="163"/>
      <c r="HS218" s="163"/>
      <c r="HT218" s="163"/>
      <c r="HU218" s="163"/>
      <c r="HV218" s="163"/>
      <c r="HW218" s="163"/>
      <c r="HX218" s="163"/>
      <c r="HY218" s="163"/>
      <c r="HZ218" s="163"/>
      <c r="IA218" s="163"/>
      <c r="IB218" s="163"/>
      <c r="IC218" s="163"/>
      <c r="ID218" s="163"/>
      <c r="IE218" s="163"/>
      <c r="IF218" s="163"/>
      <c r="IG218" s="163"/>
      <c r="IH218" s="163"/>
      <c r="II218" s="163"/>
      <c r="IJ218" s="163"/>
      <c r="IK218" s="163"/>
      <c r="IL218" s="163"/>
      <c r="IM218" s="163"/>
      <c r="IN218" s="163"/>
      <c r="IO218" s="163"/>
      <c r="IP218" s="163"/>
      <c r="IQ218" s="163"/>
      <c r="IR218" s="163"/>
      <c r="IS218" s="163"/>
      <c r="IT218" s="163"/>
      <c r="IU218" s="163"/>
      <c r="IV218" s="163"/>
    </row>
    <row r="219" spans="1:256" hidden="1">
      <c r="A219" s="842"/>
      <c r="B219" s="860"/>
      <c r="C219" s="178" t="s">
        <v>1</v>
      </c>
      <c r="D219" s="170">
        <f t="shared" si="81"/>
        <v>0</v>
      </c>
      <c r="E219" s="171">
        <f t="shared" si="82"/>
        <v>0</v>
      </c>
      <c r="F219" s="171">
        <f t="shared" si="83"/>
        <v>0</v>
      </c>
      <c r="G219" s="171"/>
      <c r="H219" s="171"/>
      <c r="I219" s="171"/>
      <c r="J219" s="171"/>
      <c r="K219" s="171"/>
      <c r="L219" s="171"/>
      <c r="M219" s="171">
        <f t="shared" si="84"/>
        <v>0</v>
      </c>
      <c r="N219" s="171"/>
      <c r="O219" s="171"/>
      <c r="P219" s="171"/>
      <c r="Q219" s="172"/>
      <c r="R219" s="172"/>
      <c r="S219" s="172"/>
      <c r="T219" s="172"/>
      <c r="U219" s="172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  <c r="CL219" s="163"/>
      <c r="CM219" s="163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3"/>
      <c r="DF219" s="163"/>
      <c r="DG219" s="163"/>
      <c r="DH219" s="163"/>
      <c r="DI219" s="163"/>
      <c r="DJ219" s="163"/>
      <c r="DK219" s="163"/>
      <c r="DL219" s="163"/>
      <c r="DM219" s="163"/>
      <c r="DN219" s="163"/>
      <c r="DO219" s="163"/>
      <c r="DP219" s="163"/>
      <c r="DQ219" s="163"/>
      <c r="DR219" s="163"/>
      <c r="DS219" s="163"/>
      <c r="DT219" s="163"/>
      <c r="DU219" s="163"/>
      <c r="DV219" s="163"/>
      <c r="DW219" s="163"/>
      <c r="DX219" s="163"/>
      <c r="DY219" s="163"/>
      <c r="DZ219" s="163"/>
      <c r="EA219" s="163"/>
      <c r="EB219" s="163"/>
      <c r="EC219" s="163"/>
      <c r="ED219" s="163"/>
      <c r="EE219" s="163"/>
      <c r="EF219" s="163"/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3"/>
      <c r="ER219" s="163"/>
      <c r="ES219" s="163"/>
      <c r="ET219" s="163"/>
      <c r="EU219" s="163"/>
      <c r="EV219" s="163"/>
      <c r="EW219" s="163"/>
      <c r="EX219" s="163"/>
      <c r="EY219" s="163"/>
      <c r="EZ219" s="163"/>
      <c r="FA219" s="163"/>
      <c r="FB219" s="163"/>
      <c r="FC219" s="163"/>
      <c r="FD219" s="163"/>
      <c r="FE219" s="163"/>
      <c r="FF219" s="163"/>
      <c r="FG219" s="163"/>
      <c r="FH219" s="163"/>
      <c r="FI219" s="163"/>
      <c r="FJ219" s="163"/>
      <c r="FK219" s="163"/>
      <c r="FL219" s="163"/>
      <c r="FM219" s="163"/>
      <c r="FN219" s="163"/>
      <c r="FO219" s="163"/>
      <c r="FP219" s="163"/>
      <c r="FQ219" s="163"/>
      <c r="FR219" s="163"/>
      <c r="FS219" s="163"/>
      <c r="FT219" s="163"/>
      <c r="FU219" s="163"/>
      <c r="FV219" s="163"/>
      <c r="FW219" s="163"/>
      <c r="FX219" s="163"/>
      <c r="FY219" s="163"/>
      <c r="FZ219" s="163"/>
      <c r="GA219" s="163"/>
      <c r="GB219" s="163"/>
      <c r="GC219" s="163"/>
      <c r="GD219" s="163"/>
      <c r="GE219" s="163"/>
      <c r="GF219" s="163"/>
      <c r="GG219" s="163"/>
      <c r="GH219" s="163"/>
      <c r="GI219" s="163"/>
      <c r="GJ219" s="163"/>
      <c r="GK219" s="163"/>
      <c r="GL219" s="163"/>
      <c r="GM219" s="163"/>
      <c r="GN219" s="163"/>
      <c r="GO219" s="163"/>
      <c r="GP219" s="163"/>
      <c r="GQ219" s="163"/>
      <c r="GR219" s="163"/>
      <c r="GS219" s="163"/>
      <c r="GT219" s="163"/>
      <c r="GU219" s="163"/>
      <c r="GV219" s="163"/>
      <c r="GW219" s="163"/>
      <c r="GX219" s="163"/>
      <c r="GY219" s="163"/>
      <c r="GZ219" s="163"/>
      <c r="HA219" s="163"/>
      <c r="HB219" s="163"/>
      <c r="HC219" s="163"/>
      <c r="HD219" s="163"/>
      <c r="HE219" s="163"/>
      <c r="HF219" s="163"/>
      <c r="HG219" s="163"/>
      <c r="HH219" s="163"/>
      <c r="HI219" s="163"/>
      <c r="HJ219" s="163"/>
      <c r="HK219" s="163"/>
      <c r="HL219" s="163"/>
      <c r="HM219" s="163"/>
      <c r="HN219" s="163"/>
      <c r="HO219" s="163"/>
      <c r="HP219" s="163"/>
      <c r="HQ219" s="163"/>
      <c r="HR219" s="163"/>
      <c r="HS219" s="163"/>
      <c r="HT219" s="163"/>
      <c r="HU219" s="163"/>
      <c r="HV219" s="163"/>
      <c r="HW219" s="163"/>
      <c r="HX219" s="163"/>
      <c r="HY219" s="163"/>
      <c r="HZ219" s="163"/>
      <c r="IA219" s="163"/>
      <c r="IB219" s="163"/>
      <c r="IC219" s="163"/>
      <c r="ID219" s="163"/>
      <c r="IE219" s="163"/>
      <c r="IF219" s="163"/>
      <c r="IG219" s="163"/>
      <c r="IH219" s="163"/>
      <c r="II219" s="163"/>
      <c r="IJ219" s="163"/>
      <c r="IK219" s="163"/>
      <c r="IL219" s="163"/>
      <c r="IM219" s="163"/>
      <c r="IN219" s="163"/>
      <c r="IO219" s="163"/>
      <c r="IP219" s="163"/>
      <c r="IQ219" s="163"/>
      <c r="IR219" s="163"/>
      <c r="IS219" s="163"/>
      <c r="IT219" s="163"/>
      <c r="IU219" s="163"/>
      <c r="IV219" s="163"/>
    </row>
    <row r="220" spans="1:256" hidden="1">
      <c r="A220" s="843"/>
      <c r="B220" s="861"/>
      <c r="C220" s="178" t="s">
        <v>2</v>
      </c>
      <c r="D220" s="170">
        <f>D218+D219</f>
        <v>4311525</v>
      </c>
      <c r="E220" s="171">
        <f t="shared" ref="E220:P220" si="93">E218+E219</f>
        <v>4234035</v>
      </c>
      <c r="F220" s="171">
        <f t="shared" si="93"/>
        <v>4232035</v>
      </c>
      <c r="G220" s="171">
        <f t="shared" si="93"/>
        <v>3847762</v>
      </c>
      <c r="H220" s="171">
        <f t="shared" si="93"/>
        <v>384273</v>
      </c>
      <c r="I220" s="171">
        <f t="shared" si="93"/>
        <v>0</v>
      </c>
      <c r="J220" s="171">
        <f t="shared" si="93"/>
        <v>2000</v>
      </c>
      <c r="K220" s="171">
        <f t="shared" si="93"/>
        <v>0</v>
      </c>
      <c r="L220" s="171">
        <f t="shared" si="93"/>
        <v>0</v>
      </c>
      <c r="M220" s="171">
        <f t="shared" si="93"/>
        <v>77490</v>
      </c>
      <c r="N220" s="171">
        <f t="shared" si="93"/>
        <v>77490</v>
      </c>
      <c r="O220" s="171">
        <f t="shared" si="93"/>
        <v>0</v>
      </c>
      <c r="P220" s="171">
        <f t="shared" si="93"/>
        <v>0</v>
      </c>
      <c r="Q220" s="172"/>
      <c r="R220" s="172"/>
      <c r="S220" s="172"/>
      <c r="T220" s="172"/>
      <c r="U220" s="17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  <c r="IC220" s="163"/>
      <c r="ID220" s="163"/>
      <c r="IE220" s="163"/>
      <c r="IF220" s="163"/>
      <c r="IG220" s="163"/>
      <c r="IH220" s="163"/>
      <c r="II220" s="163"/>
      <c r="IJ220" s="163"/>
      <c r="IK220" s="163"/>
      <c r="IL220" s="163"/>
      <c r="IM220" s="163"/>
      <c r="IN220" s="163"/>
      <c r="IO220" s="163"/>
      <c r="IP220" s="163"/>
      <c r="IQ220" s="163"/>
      <c r="IR220" s="163"/>
      <c r="IS220" s="163"/>
      <c r="IT220" s="163"/>
      <c r="IU220" s="163"/>
      <c r="IV220" s="163"/>
    </row>
    <row r="221" spans="1:256">
      <c r="A221" s="841" t="s">
        <v>269</v>
      </c>
      <c r="B221" s="844" t="s">
        <v>270</v>
      </c>
      <c r="C221" s="178" t="s">
        <v>0</v>
      </c>
      <c r="D221" s="180">
        <f t="shared" si="81"/>
        <v>17235665</v>
      </c>
      <c r="E221" s="181">
        <f t="shared" si="82"/>
        <v>15235665</v>
      </c>
      <c r="F221" s="181">
        <f t="shared" si="83"/>
        <v>15225165</v>
      </c>
      <c r="G221" s="181">
        <v>12705609</v>
      </c>
      <c r="H221" s="181">
        <v>2519556</v>
      </c>
      <c r="I221" s="181">
        <v>0</v>
      </c>
      <c r="J221" s="181">
        <v>10500</v>
      </c>
      <c r="K221" s="181">
        <v>0</v>
      </c>
      <c r="L221" s="181">
        <v>0</v>
      </c>
      <c r="M221" s="181">
        <f t="shared" si="84"/>
        <v>2000000</v>
      </c>
      <c r="N221" s="181">
        <v>2000000</v>
      </c>
      <c r="O221" s="181">
        <v>0</v>
      </c>
      <c r="P221" s="181">
        <v>0</v>
      </c>
      <c r="Q221" s="182"/>
      <c r="R221" s="182"/>
      <c r="S221" s="182"/>
      <c r="T221" s="182"/>
      <c r="U221" s="182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  <c r="GR221" s="148"/>
      <c r="GS221" s="148"/>
      <c r="GT221" s="148"/>
      <c r="GU221" s="148"/>
      <c r="GV221" s="148"/>
      <c r="GW221" s="148"/>
      <c r="GX221" s="148"/>
      <c r="GY221" s="148"/>
      <c r="GZ221" s="148"/>
      <c r="HA221" s="148"/>
      <c r="HB221" s="148"/>
      <c r="HC221" s="148"/>
      <c r="HD221" s="148"/>
      <c r="HE221" s="148"/>
      <c r="HF221" s="148"/>
      <c r="HG221" s="148"/>
      <c r="HH221" s="148"/>
      <c r="HI221" s="148"/>
      <c r="HJ221" s="148"/>
      <c r="HK221" s="148"/>
      <c r="HL221" s="148"/>
      <c r="HM221" s="148"/>
      <c r="HN221" s="148"/>
      <c r="HO221" s="148"/>
      <c r="HP221" s="148"/>
      <c r="HQ221" s="148"/>
      <c r="HR221" s="148"/>
      <c r="HS221" s="148"/>
      <c r="HT221" s="148"/>
      <c r="HU221" s="148"/>
      <c r="HV221" s="148"/>
      <c r="HW221" s="148"/>
      <c r="HX221" s="148"/>
      <c r="HY221" s="148"/>
      <c r="HZ221" s="148"/>
      <c r="IA221" s="148"/>
      <c r="IB221" s="148"/>
      <c r="IC221" s="148"/>
      <c r="ID221" s="148"/>
      <c r="IE221" s="148"/>
      <c r="IF221" s="148"/>
      <c r="IG221" s="148"/>
      <c r="IH221" s="148"/>
      <c r="II221" s="148"/>
      <c r="IJ221" s="148"/>
      <c r="IK221" s="148"/>
      <c r="IL221" s="148"/>
      <c r="IM221" s="148"/>
      <c r="IN221" s="148"/>
      <c r="IO221" s="148"/>
      <c r="IP221" s="148"/>
      <c r="IQ221" s="148"/>
      <c r="IR221" s="148"/>
      <c r="IS221" s="148"/>
      <c r="IT221" s="148"/>
      <c r="IU221" s="148"/>
      <c r="IV221" s="148"/>
    </row>
    <row r="222" spans="1:256">
      <c r="A222" s="842"/>
      <c r="B222" s="845"/>
      <c r="C222" s="178" t="s">
        <v>1</v>
      </c>
      <c r="D222" s="180">
        <f t="shared" si="81"/>
        <v>122046</v>
      </c>
      <c r="E222" s="181">
        <f t="shared" si="82"/>
        <v>97046</v>
      </c>
      <c r="F222" s="181">
        <f t="shared" si="83"/>
        <v>97046</v>
      </c>
      <c r="G222" s="181"/>
      <c r="H222" s="181">
        <f>38124+28922+30000</f>
        <v>97046</v>
      </c>
      <c r="I222" s="181"/>
      <c r="J222" s="181"/>
      <c r="K222" s="181"/>
      <c r="L222" s="181"/>
      <c r="M222" s="181">
        <f t="shared" si="84"/>
        <v>25000</v>
      </c>
      <c r="N222" s="181">
        <v>25000</v>
      </c>
      <c r="O222" s="181"/>
      <c r="P222" s="181"/>
      <c r="Q222" s="182"/>
      <c r="R222" s="182"/>
      <c r="S222" s="182"/>
      <c r="T222" s="182"/>
      <c r="U222" s="182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  <c r="GR222" s="148"/>
      <c r="GS222" s="148"/>
      <c r="GT222" s="148"/>
      <c r="GU222" s="148"/>
      <c r="GV222" s="148"/>
      <c r="GW222" s="148"/>
      <c r="GX222" s="148"/>
      <c r="GY222" s="148"/>
      <c r="GZ222" s="148"/>
      <c r="HA222" s="148"/>
      <c r="HB222" s="148"/>
      <c r="HC222" s="148"/>
      <c r="HD222" s="148"/>
      <c r="HE222" s="148"/>
      <c r="HF222" s="148"/>
      <c r="HG222" s="148"/>
      <c r="HH222" s="148"/>
      <c r="HI222" s="148"/>
      <c r="HJ222" s="148"/>
      <c r="HK222" s="148"/>
      <c r="HL222" s="148"/>
      <c r="HM222" s="148"/>
      <c r="HN222" s="148"/>
      <c r="HO222" s="148"/>
      <c r="HP222" s="148"/>
      <c r="HQ222" s="148"/>
      <c r="HR222" s="148"/>
      <c r="HS222" s="148"/>
      <c r="HT222" s="148"/>
      <c r="HU222" s="148"/>
      <c r="HV222" s="148"/>
      <c r="HW222" s="148"/>
      <c r="HX222" s="148"/>
      <c r="HY222" s="148"/>
      <c r="HZ222" s="148"/>
      <c r="IA222" s="148"/>
      <c r="IB222" s="148"/>
      <c r="IC222" s="148"/>
      <c r="ID222" s="148"/>
      <c r="IE222" s="148"/>
      <c r="IF222" s="148"/>
      <c r="IG222" s="148"/>
      <c r="IH222" s="148"/>
      <c r="II222" s="148"/>
      <c r="IJ222" s="148"/>
      <c r="IK222" s="148"/>
      <c r="IL222" s="148"/>
      <c r="IM222" s="148"/>
      <c r="IN222" s="148"/>
      <c r="IO222" s="148"/>
      <c r="IP222" s="148"/>
      <c r="IQ222" s="148"/>
      <c r="IR222" s="148"/>
      <c r="IS222" s="148"/>
      <c r="IT222" s="148"/>
      <c r="IU222" s="148"/>
      <c r="IV222" s="148"/>
    </row>
    <row r="223" spans="1:256">
      <c r="A223" s="843"/>
      <c r="B223" s="846"/>
      <c r="C223" s="178" t="s">
        <v>2</v>
      </c>
      <c r="D223" s="180">
        <f>D221+D222</f>
        <v>17357711</v>
      </c>
      <c r="E223" s="181">
        <f t="shared" ref="E223:P223" si="94">E221+E222</f>
        <v>15332711</v>
      </c>
      <c r="F223" s="181">
        <f t="shared" si="94"/>
        <v>15322211</v>
      </c>
      <c r="G223" s="181">
        <f t="shared" si="94"/>
        <v>12705609</v>
      </c>
      <c r="H223" s="181">
        <f t="shared" si="94"/>
        <v>2616602</v>
      </c>
      <c r="I223" s="181">
        <f t="shared" si="94"/>
        <v>0</v>
      </c>
      <c r="J223" s="181">
        <f t="shared" si="94"/>
        <v>10500</v>
      </c>
      <c r="K223" s="181">
        <f t="shared" si="94"/>
        <v>0</v>
      </c>
      <c r="L223" s="181">
        <f t="shared" si="94"/>
        <v>0</v>
      </c>
      <c r="M223" s="181">
        <f t="shared" si="94"/>
        <v>2025000</v>
      </c>
      <c r="N223" s="181">
        <f t="shared" si="94"/>
        <v>2025000</v>
      </c>
      <c r="O223" s="181">
        <f t="shared" si="94"/>
        <v>0</v>
      </c>
      <c r="P223" s="181">
        <f t="shared" si="94"/>
        <v>0</v>
      </c>
      <c r="Q223" s="182"/>
      <c r="R223" s="182"/>
      <c r="S223" s="182"/>
      <c r="T223" s="182"/>
      <c r="U223" s="182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  <c r="GR223" s="148"/>
      <c r="GS223" s="148"/>
      <c r="GT223" s="148"/>
      <c r="GU223" s="148"/>
      <c r="GV223" s="148"/>
      <c r="GW223" s="148"/>
      <c r="GX223" s="148"/>
      <c r="GY223" s="148"/>
      <c r="GZ223" s="148"/>
      <c r="HA223" s="148"/>
      <c r="HB223" s="148"/>
      <c r="HC223" s="148"/>
      <c r="HD223" s="148"/>
      <c r="HE223" s="148"/>
      <c r="HF223" s="148"/>
      <c r="HG223" s="148"/>
      <c r="HH223" s="148"/>
      <c r="HI223" s="148"/>
      <c r="HJ223" s="148"/>
      <c r="HK223" s="148"/>
      <c r="HL223" s="148"/>
      <c r="HM223" s="148"/>
      <c r="HN223" s="148"/>
      <c r="HO223" s="148"/>
      <c r="HP223" s="148"/>
      <c r="HQ223" s="148"/>
      <c r="HR223" s="148"/>
      <c r="HS223" s="148"/>
      <c r="HT223" s="148"/>
      <c r="HU223" s="148"/>
      <c r="HV223" s="148"/>
      <c r="HW223" s="148"/>
      <c r="HX223" s="148"/>
      <c r="HY223" s="148"/>
      <c r="HZ223" s="148"/>
      <c r="IA223" s="148"/>
      <c r="IB223" s="148"/>
      <c r="IC223" s="148"/>
      <c r="ID223" s="148"/>
      <c r="IE223" s="148"/>
      <c r="IF223" s="148"/>
      <c r="IG223" s="148"/>
      <c r="IH223" s="148"/>
      <c r="II223" s="148"/>
      <c r="IJ223" s="148"/>
      <c r="IK223" s="148"/>
      <c r="IL223" s="148"/>
      <c r="IM223" s="148"/>
      <c r="IN223" s="148"/>
      <c r="IO223" s="148"/>
      <c r="IP223" s="148"/>
      <c r="IQ223" s="148"/>
      <c r="IR223" s="148"/>
      <c r="IS223" s="148"/>
      <c r="IT223" s="148"/>
      <c r="IU223" s="148"/>
      <c r="IV223" s="148"/>
    </row>
    <row r="224" spans="1:256" hidden="1">
      <c r="A224" s="841" t="s">
        <v>271</v>
      </c>
      <c r="B224" s="844" t="s">
        <v>272</v>
      </c>
      <c r="C224" s="178" t="s">
        <v>0</v>
      </c>
      <c r="D224" s="180">
        <f t="shared" si="81"/>
        <v>11976895</v>
      </c>
      <c r="E224" s="181">
        <f t="shared" si="82"/>
        <v>11933895</v>
      </c>
      <c r="F224" s="181">
        <f t="shared" si="83"/>
        <v>11925545</v>
      </c>
      <c r="G224" s="181">
        <v>9397415</v>
      </c>
      <c r="H224" s="181">
        <v>2528130</v>
      </c>
      <c r="I224" s="181">
        <v>0</v>
      </c>
      <c r="J224" s="181">
        <v>8350</v>
      </c>
      <c r="K224" s="181">
        <v>0</v>
      </c>
      <c r="L224" s="181">
        <v>0</v>
      </c>
      <c r="M224" s="181">
        <f t="shared" si="84"/>
        <v>43000</v>
      </c>
      <c r="N224" s="181">
        <v>43000</v>
      </c>
      <c r="O224" s="181">
        <v>0</v>
      </c>
      <c r="P224" s="181">
        <v>0</v>
      </c>
      <c r="Q224" s="182"/>
      <c r="R224" s="182"/>
      <c r="S224" s="182"/>
      <c r="T224" s="182"/>
      <c r="U224" s="182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  <row r="225" spans="1:256" hidden="1">
      <c r="A225" s="842"/>
      <c r="B225" s="845"/>
      <c r="C225" s="178" t="s">
        <v>1</v>
      </c>
      <c r="D225" s="180">
        <f t="shared" si="81"/>
        <v>0</v>
      </c>
      <c r="E225" s="181">
        <f t="shared" si="82"/>
        <v>0</v>
      </c>
      <c r="F225" s="181">
        <f t="shared" si="83"/>
        <v>0</v>
      </c>
      <c r="G225" s="181"/>
      <c r="H225" s="181"/>
      <c r="I225" s="181"/>
      <c r="J225" s="181"/>
      <c r="K225" s="181"/>
      <c r="L225" s="181"/>
      <c r="M225" s="181">
        <f t="shared" si="84"/>
        <v>0</v>
      </c>
      <c r="N225" s="181"/>
      <c r="O225" s="181"/>
      <c r="P225" s="181"/>
      <c r="Q225" s="182"/>
      <c r="R225" s="182"/>
      <c r="S225" s="182"/>
      <c r="T225" s="182"/>
      <c r="U225" s="182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  <c r="GB225" s="148"/>
      <c r="GC225" s="148"/>
      <c r="GD225" s="148"/>
      <c r="GE225" s="148"/>
      <c r="GF225" s="148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  <c r="GR225" s="148"/>
      <c r="GS225" s="148"/>
      <c r="GT225" s="148"/>
      <c r="GU225" s="148"/>
      <c r="GV225" s="148"/>
      <c r="GW225" s="148"/>
      <c r="GX225" s="148"/>
      <c r="GY225" s="148"/>
      <c r="GZ225" s="148"/>
      <c r="HA225" s="148"/>
      <c r="HB225" s="148"/>
      <c r="HC225" s="148"/>
      <c r="HD225" s="148"/>
      <c r="HE225" s="148"/>
      <c r="HF225" s="148"/>
      <c r="HG225" s="148"/>
      <c r="HH225" s="148"/>
      <c r="HI225" s="148"/>
      <c r="HJ225" s="148"/>
      <c r="HK225" s="148"/>
      <c r="HL225" s="148"/>
      <c r="HM225" s="148"/>
      <c r="HN225" s="148"/>
      <c r="HO225" s="148"/>
      <c r="HP225" s="148"/>
      <c r="HQ225" s="148"/>
      <c r="HR225" s="148"/>
      <c r="HS225" s="148"/>
      <c r="HT225" s="148"/>
      <c r="HU225" s="148"/>
      <c r="HV225" s="148"/>
      <c r="HW225" s="148"/>
      <c r="HX225" s="148"/>
      <c r="HY225" s="148"/>
      <c r="HZ225" s="148"/>
      <c r="IA225" s="148"/>
      <c r="IB225" s="148"/>
      <c r="IC225" s="148"/>
      <c r="ID225" s="148"/>
      <c r="IE225" s="148"/>
      <c r="IF225" s="148"/>
      <c r="IG225" s="148"/>
      <c r="IH225" s="148"/>
      <c r="II225" s="148"/>
      <c r="IJ225" s="148"/>
      <c r="IK225" s="148"/>
      <c r="IL225" s="148"/>
      <c r="IM225" s="148"/>
      <c r="IN225" s="148"/>
      <c r="IO225" s="148"/>
      <c r="IP225" s="148"/>
      <c r="IQ225" s="148"/>
      <c r="IR225" s="148"/>
      <c r="IS225" s="148"/>
      <c r="IT225" s="148"/>
      <c r="IU225" s="148"/>
      <c r="IV225" s="148"/>
    </row>
    <row r="226" spans="1:256" hidden="1">
      <c r="A226" s="843"/>
      <c r="B226" s="846"/>
      <c r="C226" s="178" t="s">
        <v>2</v>
      </c>
      <c r="D226" s="180">
        <f>D224+D225</f>
        <v>11976895</v>
      </c>
      <c r="E226" s="181">
        <f t="shared" ref="E226:P226" si="95">E224+E225</f>
        <v>11933895</v>
      </c>
      <c r="F226" s="181">
        <f t="shared" si="95"/>
        <v>11925545</v>
      </c>
      <c r="G226" s="181">
        <f t="shared" si="95"/>
        <v>9397415</v>
      </c>
      <c r="H226" s="181">
        <f t="shared" si="95"/>
        <v>2528130</v>
      </c>
      <c r="I226" s="181">
        <f t="shared" si="95"/>
        <v>0</v>
      </c>
      <c r="J226" s="181">
        <f t="shared" si="95"/>
        <v>8350</v>
      </c>
      <c r="K226" s="181">
        <f t="shared" si="95"/>
        <v>0</v>
      </c>
      <c r="L226" s="181">
        <f t="shared" si="95"/>
        <v>0</v>
      </c>
      <c r="M226" s="181">
        <f t="shared" si="95"/>
        <v>43000</v>
      </c>
      <c r="N226" s="181">
        <f t="shared" si="95"/>
        <v>43000</v>
      </c>
      <c r="O226" s="181">
        <f t="shared" si="95"/>
        <v>0</v>
      </c>
      <c r="P226" s="181">
        <f t="shared" si="95"/>
        <v>0</v>
      </c>
      <c r="Q226" s="182"/>
      <c r="R226" s="182"/>
      <c r="S226" s="182"/>
      <c r="T226" s="182"/>
      <c r="U226" s="182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  <c r="HQ226" s="148"/>
      <c r="HR226" s="148"/>
      <c r="HS226" s="148"/>
      <c r="HT226" s="148"/>
      <c r="HU226" s="148"/>
      <c r="HV226" s="148"/>
      <c r="HW226" s="148"/>
      <c r="HX226" s="148"/>
      <c r="HY226" s="148"/>
      <c r="HZ226" s="148"/>
      <c r="IA226" s="148"/>
      <c r="IB226" s="148"/>
      <c r="IC226" s="148"/>
      <c r="ID226" s="148"/>
      <c r="IE226" s="148"/>
      <c r="IF226" s="148"/>
      <c r="IG226" s="148"/>
      <c r="IH226" s="148"/>
      <c r="II226" s="148"/>
      <c r="IJ226" s="148"/>
      <c r="IK226" s="148"/>
      <c r="IL226" s="148"/>
      <c r="IM226" s="148"/>
      <c r="IN226" s="148"/>
      <c r="IO226" s="148"/>
      <c r="IP226" s="148"/>
      <c r="IQ226" s="148"/>
      <c r="IR226" s="148"/>
      <c r="IS226" s="148"/>
      <c r="IT226" s="148"/>
      <c r="IU226" s="148"/>
      <c r="IV226" s="148"/>
    </row>
    <row r="227" spans="1:256" ht="21.75" customHeight="1">
      <c r="A227" s="841" t="s">
        <v>273</v>
      </c>
      <c r="B227" s="844" t="s">
        <v>274</v>
      </c>
      <c r="C227" s="178" t="s">
        <v>0</v>
      </c>
      <c r="D227" s="170">
        <f t="shared" si="81"/>
        <v>4678305</v>
      </c>
      <c r="E227" s="171">
        <f t="shared" si="82"/>
        <v>4666305</v>
      </c>
      <c r="F227" s="171">
        <f t="shared" si="83"/>
        <v>4666305</v>
      </c>
      <c r="G227" s="171">
        <v>4328885</v>
      </c>
      <c r="H227" s="171">
        <v>337420</v>
      </c>
      <c r="I227" s="171">
        <v>0</v>
      </c>
      <c r="J227" s="171">
        <v>0</v>
      </c>
      <c r="K227" s="171">
        <v>0</v>
      </c>
      <c r="L227" s="171">
        <v>0</v>
      </c>
      <c r="M227" s="171">
        <f t="shared" si="84"/>
        <v>12000</v>
      </c>
      <c r="N227" s="171">
        <v>12000</v>
      </c>
      <c r="O227" s="171">
        <v>0</v>
      </c>
      <c r="P227" s="171">
        <v>0</v>
      </c>
      <c r="Q227" s="172"/>
      <c r="R227" s="172"/>
      <c r="S227" s="172"/>
      <c r="T227" s="172"/>
      <c r="U227" s="172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3"/>
      <c r="CG227" s="163"/>
      <c r="CH227" s="163"/>
      <c r="CI227" s="163"/>
      <c r="CJ227" s="163"/>
      <c r="CK227" s="163"/>
      <c r="CL227" s="163"/>
      <c r="CM227" s="163"/>
      <c r="CN227" s="163"/>
      <c r="CO227" s="163"/>
      <c r="CP227" s="163"/>
      <c r="CQ227" s="163"/>
      <c r="CR227" s="163"/>
      <c r="CS227" s="163"/>
      <c r="CT227" s="163"/>
      <c r="CU227" s="163"/>
      <c r="CV227" s="163"/>
      <c r="CW227" s="163"/>
      <c r="CX227" s="163"/>
      <c r="CY227" s="163"/>
      <c r="CZ227" s="163"/>
      <c r="DA227" s="163"/>
      <c r="DB227" s="163"/>
      <c r="DC227" s="163"/>
      <c r="DD227" s="163"/>
      <c r="DE227" s="163"/>
      <c r="DF227" s="163"/>
      <c r="DG227" s="163"/>
      <c r="DH227" s="163"/>
      <c r="DI227" s="163"/>
      <c r="DJ227" s="163"/>
      <c r="DK227" s="163"/>
      <c r="DL227" s="163"/>
      <c r="DM227" s="163"/>
      <c r="DN227" s="163"/>
      <c r="DO227" s="163"/>
      <c r="DP227" s="163"/>
      <c r="DQ227" s="163"/>
      <c r="DR227" s="163"/>
      <c r="DS227" s="163"/>
      <c r="DT227" s="163"/>
      <c r="DU227" s="163"/>
      <c r="DV227" s="163"/>
      <c r="DW227" s="163"/>
      <c r="DX227" s="163"/>
      <c r="DY227" s="163"/>
      <c r="DZ227" s="163"/>
      <c r="EA227" s="163"/>
      <c r="EB227" s="163"/>
      <c r="EC227" s="163"/>
      <c r="ED227" s="163"/>
      <c r="EE227" s="163"/>
      <c r="EF227" s="163"/>
      <c r="EG227" s="163"/>
      <c r="EH227" s="163"/>
      <c r="EI227" s="163"/>
      <c r="EJ227" s="163"/>
      <c r="EK227" s="163"/>
      <c r="EL227" s="163"/>
      <c r="EM227" s="163"/>
      <c r="EN227" s="163"/>
      <c r="EO227" s="163"/>
      <c r="EP227" s="163"/>
      <c r="EQ227" s="163"/>
      <c r="ER227" s="163"/>
      <c r="ES227" s="163"/>
      <c r="ET227" s="163"/>
      <c r="EU227" s="163"/>
      <c r="EV227" s="163"/>
      <c r="EW227" s="163"/>
      <c r="EX227" s="163"/>
      <c r="EY227" s="163"/>
      <c r="EZ227" s="163"/>
      <c r="FA227" s="163"/>
      <c r="FB227" s="163"/>
      <c r="FC227" s="163"/>
      <c r="FD227" s="163"/>
      <c r="FE227" s="163"/>
      <c r="FF227" s="163"/>
      <c r="FG227" s="163"/>
      <c r="FH227" s="163"/>
      <c r="FI227" s="163"/>
      <c r="FJ227" s="163"/>
      <c r="FK227" s="163"/>
      <c r="FL227" s="163"/>
      <c r="FM227" s="163"/>
      <c r="FN227" s="163"/>
      <c r="FO227" s="163"/>
      <c r="FP227" s="163"/>
      <c r="FQ227" s="163"/>
      <c r="FR227" s="163"/>
      <c r="FS227" s="163"/>
      <c r="FT227" s="163"/>
      <c r="FU227" s="163"/>
      <c r="FV227" s="163"/>
      <c r="FW227" s="163"/>
      <c r="FX227" s="163"/>
      <c r="FY227" s="163"/>
      <c r="FZ227" s="163"/>
      <c r="GA227" s="163"/>
      <c r="GB227" s="163"/>
      <c r="GC227" s="163"/>
      <c r="GD227" s="163"/>
      <c r="GE227" s="163"/>
      <c r="GF227" s="163"/>
      <c r="GG227" s="163"/>
      <c r="GH227" s="163"/>
      <c r="GI227" s="163"/>
      <c r="GJ227" s="163"/>
      <c r="GK227" s="163"/>
      <c r="GL227" s="163"/>
      <c r="GM227" s="163"/>
      <c r="GN227" s="163"/>
      <c r="GO227" s="163"/>
      <c r="GP227" s="163"/>
      <c r="GQ227" s="163"/>
      <c r="GR227" s="163"/>
      <c r="GS227" s="163"/>
      <c r="GT227" s="163"/>
      <c r="GU227" s="163"/>
      <c r="GV227" s="163"/>
      <c r="GW227" s="163"/>
      <c r="GX227" s="163"/>
      <c r="GY227" s="163"/>
      <c r="GZ227" s="163"/>
      <c r="HA227" s="163"/>
      <c r="HB227" s="163"/>
      <c r="HC227" s="163"/>
      <c r="HD227" s="163"/>
      <c r="HE227" s="163"/>
      <c r="HF227" s="163"/>
      <c r="HG227" s="163"/>
      <c r="HH227" s="163"/>
      <c r="HI227" s="163"/>
      <c r="HJ227" s="163"/>
      <c r="HK227" s="163"/>
      <c r="HL227" s="163"/>
      <c r="HM227" s="163"/>
      <c r="HN227" s="163"/>
      <c r="HO227" s="163"/>
      <c r="HP227" s="163"/>
      <c r="HQ227" s="163"/>
      <c r="HR227" s="163"/>
      <c r="HS227" s="163"/>
      <c r="HT227" s="163"/>
      <c r="HU227" s="163"/>
      <c r="HV227" s="163"/>
      <c r="HW227" s="163"/>
      <c r="HX227" s="163"/>
      <c r="HY227" s="163"/>
      <c r="HZ227" s="163"/>
      <c r="IA227" s="163"/>
      <c r="IB227" s="163"/>
      <c r="IC227" s="163"/>
      <c r="ID227" s="163"/>
      <c r="IE227" s="163"/>
      <c r="IF227" s="163"/>
      <c r="IG227" s="163"/>
      <c r="IH227" s="163"/>
      <c r="II227" s="163"/>
      <c r="IJ227" s="163"/>
      <c r="IK227" s="163"/>
      <c r="IL227" s="163"/>
      <c r="IM227" s="163"/>
      <c r="IN227" s="163"/>
      <c r="IO227" s="163"/>
      <c r="IP227" s="163"/>
      <c r="IQ227" s="163"/>
      <c r="IR227" s="163"/>
      <c r="IS227" s="163"/>
      <c r="IT227" s="163"/>
      <c r="IU227" s="163"/>
      <c r="IV227" s="163"/>
    </row>
    <row r="228" spans="1:256" ht="21.75" customHeight="1">
      <c r="A228" s="842"/>
      <c r="B228" s="845"/>
      <c r="C228" s="178" t="s">
        <v>1</v>
      </c>
      <c r="D228" s="170">
        <f t="shared" si="81"/>
        <v>30000</v>
      </c>
      <c r="E228" s="171">
        <f t="shared" si="82"/>
        <v>30000</v>
      </c>
      <c r="F228" s="171">
        <f t="shared" si="83"/>
        <v>30000</v>
      </c>
      <c r="G228" s="171"/>
      <c r="H228" s="171">
        <v>30000</v>
      </c>
      <c r="I228" s="171"/>
      <c r="J228" s="171"/>
      <c r="K228" s="171"/>
      <c r="L228" s="171"/>
      <c r="M228" s="171">
        <f t="shared" si="84"/>
        <v>0</v>
      </c>
      <c r="N228" s="171"/>
      <c r="O228" s="171"/>
      <c r="P228" s="171"/>
      <c r="Q228" s="172"/>
      <c r="R228" s="172"/>
      <c r="S228" s="172"/>
      <c r="T228" s="172"/>
      <c r="U228" s="172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3"/>
      <c r="CG228" s="163"/>
      <c r="CH228" s="163"/>
      <c r="CI228" s="163"/>
      <c r="CJ228" s="163"/>
      <c r="CK228" s="163"/>
      <c r="CL228" s="163"/>
      <c r="CM228" s="163"/>
      <c r="CN228" s="163"/>
      <c r="CO228" s="163"/>
      <c r="CP228" s="163"/>
      <c r="CQ228" s="163"/>
      <c r="CR228" s="163"/>
      <c r="CS228" s="163"/>
      <c r="CT228" s="163"/>
      <c r="CU228" s="163"/>
      <c r="CV228" s="163"/>
      <c r="CW228" s="163"/>
      <c r="CX228" s="163"/>
      <c r="CY228" s="163"/>
      <c r="CZ228" s="163"/>
      <c r="DA228" s="163"/>
      <c r="DB228" s="163"/>
      <c r="DC228" s="163"/>
      <c r="DD228" s="163"/>
      <c r="DE228" s="163"/>
      <c r="DF228" s="163"/>
      <c r="DG228" s="163"/>
      <c r="DH228" s="163"/>
      <c r="DI228" s="163"/>
      <c r="DJ228" s="163"/>
      <c r="DK228" s="163"/>
      <c r="DL228" s="163"/>
      <c r="DM228" s="163"/>
      <c r="DN228" s="163"/>
      <c r="DO228" s="163"/>
      <c r="DP228" s="163"/>
      <c r="DQ228" s="163"/>
      <c r="DR228" s="163"/>
      <c r="DS228" s="163"/>
      <c r="DT228" s="163"/>
      <c r="DU228" s="163"/>
      <c r="DV228" s="163"/>
      <c r="DW228" s="163"/>
      <c r="DX228" s="163"/>
      <c r="DY228" s="163"/>
      <c r="DZ228" s="163"/>
      <c r="EA228" s="163"/>
      <c r="EB228" s="163"/>
      <c r="EC228" s="163"/>
      <c r="ED228" s="163"/>
      <c r="EE228" s="163"/>
      <c r="EF228" s="163"/>
      <c r="EG228" s="163"/>
      <c r="EH228" s="163"/>
      <c r="EI228" s="163"/>
      <c r="EJ228" s="163"/>
      <c r="EK228" s="163"/>
      <c r="EL228" s="163"/>
      <c r="EM228" s="163"/>
      <c r="EN228" s="163"/>
      <c r="EO228" s="163"/>
      <c r="EP228" s="163"/>
      <c r="EQ228" s="163"/>
      <c r="ER228" s="163"/>
      <c r="ES228" s="163"/>
      <c r="ET228" s="163"/>
      <c r="EU228" s="163"/>
      <c r="EV228" s="163"/>
      <c r="EW228" s="163"/>
      <c r="EX228" s="163"/>
      <c r="EY228" s="163"/>
      <c r="EZ228" s="163"/>
      <c r="FA228" s="163"/>
      <c r="FB228" s="163"/>
      <c r="FC228" s="163"/>
      <c r="FD228" s="163"/>
      <c r="FE228" s="163"/>
      <c r="FF228" s="163"/>
      <c r="FG228" s="163"/>
      <c r="FH228" s="163"/>
      <c r="FI228" s="163"/>
      <c r="FJ228" s="163"/>
      <c r="FK228" s="163"/>
      <c r="FL228" s="163"/>
      <c r="FM228" s="163"/>
      <c r="FN228" s="163"/>
      <c r="FO228" s="163"/>
      <c r="FP228" s="163"/>
      <c r="FQ228" s="163"/>
      <c r="FR228" s="163"/>
      <c r="FS228" s="163"/>
      <c r="FT228" s="163"/>
      <c r="FU228" s="163"/>
      <c r="FV228" s="163"/>
      <c r="FW228" s="163"/>
      <c r="FX228" s="163"/>
      <c r="FY228" s="163"/>
      <c r="FZ228" s="163"/>
      <c r="GA228" s="163"/>
      <c r="GB228" s="163"/>
      <c r="GC228" s="163"/>
      <c r="GD228" s="163"/>
      <c r="GE228" s="163"/>
      <c r="GF228" s="163"/>
      <c r="GG228" s="163"/>
      <c r="GH228" s="163"/>
      <c r="GI228" s="163"/>
      <c r="GJ228" s="163"/>
      <c r="GK228" s="163"/>
      <c r="GL228" s="163"/>
      <c r="GM228" s="163"/>
      <c r="GN228" s="163"/>
      <c r="GO228" s="163"/>
      <c r="GP228" s="163"/>
      <c r="GQ228" s="163"/>
      <c r="GR228" s="163"/>
      <c r="GS228" s="163"/>
      <c r="GT228" s="163"/>
      <c r="GU228" s="163"/>
      <c r="GV228" s="163"/>
      <c r="GW228" s="163"/>
      <c r="GX228" s="163"/>
      <c r="GY228" s="163"/>
      <c r="GZ228" s="163"/>
      <c r="HA228" s="163"/>
      <c r="HB228" s="163"/>
      <c r="HC228" s="163"/>
      <c r="HD228" s="163"/>
      <c r="HE228" s="163"/>
      <c r="HF228" s="163"/>
      <c r="HG228" s="163"/>
      <c r="HH228" s="163"/>
      <c r="HI228" s="163"/>
      <c r="HJ228" s="163"/>
      <c r="HK228" s="163"/>
      <c r="HL228" s="163"/>
      <c r="HM228" s="163"/>
      <c r="HN228" s="163"/>
      <c r="HO228" s="163"/>
      <c r="HP228" s="163"/>
      <c r="HQ228" s="163"/>
      <c r="HR228" s="163"/>
      <c r="HS228" s="163"/>
      <c r="HT228" s="163"/>
      <c r="HU228" s="163"/>
      <c r="HV228" s="163"/>
      <c r="HW228" s="163"/>
      <c r="HX228" s="163"/>
      <c r="HY228" s="163"/>
      <c r="HZ228" s="163"/>
      <c r="IA228" s="163"/>
      <c r="IB228" s="163"/>
      <c r="IC228" s="163"/>
      <c r="ID228" s="163"/>
      <c r="IE228" s="163"/>
      <c r="IF228" s="163"/>
      <c r="IG228" s="163"/>
      <c r="IH228" s="163"/>
      <c r="II228" s="163"/>
      <c r="IJ228" s="163"/>
      <c r="IK228" s="163"/>
      <c r="IL228" s="163"/>
      <c r="IM228" s="163"/>
      <c r="IN228" s="163"/>
      <c r="IO228" s="163"/>
      <c r="IP228" s="163"/>
      <c r="IQ228" s="163"/>
      <c r="IR228" s="163"/>
      <c r="IS228" s="163"/>
      <c r="IT228" s="163"/>
      <c r="IU228" s="163"/>
      <c r="IV228" s="163"/>
    </row>
    <row r="229" spans="1:256" ht="21.75" customHeight="1">
      <c r="A229" s="843"/>
      <c r="B229" s="846"/>
      <c r="C229" s="178" t="s">
        <v>2</v>
      </c>
      <c r="D229" s="170">
        <f>D227+D228</f>
        <v>4708305</v>
      </c>
      <c r="E229" s="171">
        <f t="shared" ref="E229:P229" si="96">E227+E228</f>
        <v>4696305</v>
      </c>
      <c r="F229" s="171">
        <f t="shared" si="96"/>
        <v>4696305</v>
      </c>
      <c r="G229" s="171">
        <f t="shared" si="96"/>
        <v>4328885</v>
      </c>
      <c r="H229" s="171">
        <f t="shared" si="96"/>
        <v>367420</v>
      </c>
      <c r="I229" s="171">
        <f t="shared" si="96"/>
        <v>0</v>
      </c>
      <c r="J229" s="171">
        <f t="shared" si="96"/>
        <v>0</v>
      </c>
      <c r="K229" s="171">
        <f t="shared" si="96"/>
        <v>0</v>
      </c>
      <c r="L229" s="171">
        <f t="shared" si="96"/>
        <v>0</v>
      </c>
      <c r="M229" s="171">
        <f t="shared" si="96"/>
        <v>12000</v>
      </c>
      <c r="N229" s="171">
        <f t="shared" si="96"/>
        <v>12000</v>
      </c>
      <c r="O229" s="171">
        <f t="shared" si="96"/>
        <v>0</v>
      </c>
      <c r="P229" s="171">
        <f t="shared" si="96"/>
        <v>0</v>
      </c>
      <c r="Q229" s="172"/>
      <c r="R229" s="172"/>
      <c r="S229" s="172"/>
      <c r="T229" s="172"/>
      <c r="U229" s="172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  <c r="CL229" s="163"/>
      <c r="CM229" s="163"/>
      <c r="CN229" s="163"/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  <c r="DH229" s="163"/>
      <c r="DI229" s="163"/>
      <c r="DJ229" s="163"/>
      <c r="DK229" s="163"/>
      <c r="DL229" s="163"/>
      <c r="DM229" s="163"/>
      <c r="DN229" s="163"/>
      <c r="DO229" s="163"/>
      <c r="DP229" s="163"/>
      <c r="DQ229" s="163"/>
      <c r="DR229" s="163"/>
      <c r="DS229" s="163"/>
      <c r="DT229" s="163"/>
      <c r="DU229" s="163"/>
      <c r="DV229" s="163"/>
      <c r="DW229" s="163"/>
      <c r="DX229" s="163"/>
      <c r="DY229" s="163"/>
      <c r="DZ229" s="163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  <c r="EK229" s="163"/>
      <c r="EL229" s="163"/>
      <c r="EM229" s="163"/>
      <c r="EN229" s="163"/>
      <c r="EO229" s="163"/>
      <c r="EP229" s="163"/>
      <c r="EQ229" s="163"/>
      <c r="ER229" s="163"/>
      <c r="ES229" s="163"/>
      <c r="ET229" s="163"/>
      <c r="EU229" s="163"/>
      <c r="EV229" s="163"/>
      <c r="EW229" s="163"/>
      <c r="EX229" s="163"/>
      <c r="EY229" s="163"/>
      <c r="EZ229" s="163"/>
      <c r="FA229" s="163"/>
      <c r="FB229" s="163"/>
      <c r="FC229" s="163"/>
      <c r="FD229" s="163"/>
      <c r="FE229" s="163"/>
      <c r="FF229" s="163"/>
      <c r="FG229" s="163"/>
      <c r="FH229" s="163"/>
      <c r="FI229" s="163"/>
      <c r="FJ229" s="163"/>
      <c r="FK229" s="163"/>
      <c r="FL229" s="163"/>
      <c r="FM229" s="163"/>
      <c r="FN229" s="163"/>
      <c r="FO229" s="163"/>
      <c r="FP229" s="163"/>
      <c r="FQ229" s="163"/>
      <c r="FR229" s="163"/>
      <c r="FS229" s="163"/>
      <c r="FT229" s="163"/>
      <c r="FU229" s="163"/>
      <c r="FV229" s="163"/>
      <c r="FW229" s="163"/>
      <c r="FX229" s="163"/>
      <c r="FY229" s="163"/>
      <c r="FZ229" s="163"/>
      <c r="GA229" s="163"/>
      <c r="GB229" s="163"/>
      <c r="GC229" s="163"/>
      <c r="GD229" s="163"/>
      <c r="GE229" s="163"/>
      <c r="GF229" s="163"/>
      <c r="GG229" s="163"/>
      <c r="GH229" s="163"/>
      <c r="GI229" s="163"/>
      <c r="GJ229" s="163"/>
      <c r="GK229" s="163"/>
      <c r="GL229" s="163"/>
      <c r="GM229" s="163"/>
      <c r="GN229" s="163"/>
      <c r="GO229" s="163"/>
      <c r="GP229" s="163"/>
      <c r="GQ229" s="163"/>
      <c r="GR229" s="163"/>
      <c r="GS229" s="163"/>
      <c r="GT229" s="163"/>
      <c r="GU229" s="163"/>
      <c r="GV229" s="163"/>
      <c r="GW229" s="163"/>
      <c r="GX229" s="163"/>
      <c r="GY229" s="163"/>
      <c r="GZ229" s="163"/>
      <c r="HA229" s="163"/>
      <c r="HB229" s="163"/>
      <c r="HC229" s="163"/>
      <c r="HD229" s="163"/>
      <c r="HE229" s="163"/>
      <c r="HF229" s="163"/>
      <c r="HG229" s="163"/>
      <c r="HH229" s="163"/>
      <c r="HI229" s="163"/>
      <c r="HJ229" s="163"/>
      <c r="HK229" s="163"/>
      <c r="HL229" s="163"/>
      <c r="HM229" s="163"/>
      <c r="HN229" s="163"/>
      <c r="HO229" s="163"/>
      <c r="HP229" s="163"/>
      <c r="HQ229" s="163"/>
      <c r="HR229" s="163"/>
      <c r="HS229" s="163"/>
      <c r="HT229" s="163"/>
      <c r="HU229" s="163"/>
      <c r="HV229" s="163"/>
      <c r="HW229" s="163"/>
      <c r="HX229" s="163"/>
      <c r="HY229" s="163"/>
      <c r="HZ229" s="163"/>
      <c r="IA229" s="163"/>
      <c r="IB229" s="163"/>
      <c r="IC229" s="163"/>
      <c r="ID229" s="163"/>
      <c r="IE229" s="163"/>
      <c r="IF229" s="163"/>
      <c r="IG229" s="163"/>
      <c r="IH229" s="163"/>
      <c r="II229" s="163"/>
      <c r="IJ229" s="163"/>
      <c r="IK229" s="163"/>
      <c r="IL229" s="163"/>
      <c r="IM229" s="163"/>
      <c r="IN229" s="163"/>
      <c r="IO229" s="163"/>
      <c r="IP229" s="163"/>
      <c r="IQ229" s="163"/>
      <c r="IR229" s="163"/>
      <c r="IS229" s="163"/>
      <c r="IT229" s="163"/>
      <c r="IU229" s="163"/>
      <c r="IV229" s="163"/>
    </row>
    <row r="230" spans="1:256" hidden="1">
      <c r="A230" s="841" t="s">
        <v>275</v>
      </c>
      <c r="B230" s="844" t="s">
        <v>276</v>
      </c>
      <c r="C230" s="178" t="s">
        <v>0</v>
      </c>
      <c r="D230" s="180">
        <f>E230+M230</f>
        <v>497</v>
      </c>
      <c r="E230" s="181">
        <f>F230+I230+J230+K230+L230</f>
        <v>497</v>
      </c>
      <c r="F230" s="181">
        <f>G230+H230</f>
        <v>497</v>
      </c>
      <c r="G230" s="181">
        <v>0</v>
      </c>
      <c r="H230" s="181">
        <v>497</v>
      </c>
      <c r="I230" s="181">
        <v>0</v>
      </c>
      <c r="J230" s="181">
        <v>0</v>
      </c>
      <c r="K230" s="181">
        <v>0</v>
      </c>
      <c r="L230" s="181">
        <v>0</v>
      </c>
      <c r="M230" s="181">
        <f>N230+P230</f>
        <v>0</v>
      </c>
      <c r="N230" s="181">
        <v>0</v>
      </c>
      <c r="O230" s="181">
        <v>0</v>
      </c>
      <c r="P230" s="181">
        <v>0</v>
      </c>
      <c r="Q230" s="182"/>
      <c r="R230" s="182"/>
      <c r="S230" s="182"/>
      <c r="T230" s="182"/>
      <c r="U230" s="182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  <c r="GB230" s="148"/>
      <c r="GC230" s="148"/>
      <c r="GD230" s="148"/>
      <c r="GE230" s="148"/>
      <c r="GF230" s="148"/>
      <c r="GG230" s="148"/>
      <c r="GH230" s="148"/>
      <c r="GI230" s="148"/>
      <c r="GJ230" s="148"/>
      <c r="GK230" s="148"/>
      <c r="GL230" s="148"/>
      <c r="GM230" s="148"/>
      <c r="GN230" s="148"/>
      <c r="GO230" s="148"/>
      <c r="GP230" s="148"/>
      <c r="GQ230" s="148"/>
      <c r="GR230" s="148"/>
      <c r="GS230" s="148"/>
      <c r="GT230" s="148"/>
      <c r="GU230" s="148"/>
      <c r="GV230" s="148"/>
      <c r="GW230" s="148"/>
      <c r="GX230" s="148"/>
      <c r="GY230" s="148"/>
      <c r="GZ230" s="148"/>
      <c r="HA230" s="148"/>
      <c r="HB230" s="148"/>
      <c r="HC230" s="148"/>
      <c r="HD230" s="148"/>
      <c r="HE230" s="148"/>
      <c r="HF230" s="148"/>
      <c r="HG230" s="148"/>
      <c r="HH230" s="148"/>
      <c r="HI230" s="148"/>
      <c r="HJ230" s="148"/>
      <c r="HK230" s="148"/>
      <c r="HL230" s="148"/>
      <c r="HM230" s="148"/>
      <c r="HN230" s="148"/>
      <c r="HO230" s="148"/>
      <c r="HP230" s="148"/>
      <c r="HQ230" s="148"/>
      <c r="HR230" s="148"/>
      <c r="HS230" s="148"/>
      <c r="HT230" s="148"/>
      <c r="HU230" s="148"/>
      <c r="HV230" s="148"/>
      <c r="HW230" s="148"/>
      <c r="HX230" s="148"/>
      <c r="HY230" s="148"/>
      <c r="HZ230" s="148"/>
      <c r="IA230" s="148"/>
      <c r="IB230" s="148"/>
      <c r="IC230" s="148"/>
      <c r="ID230" s="148"/>
      <c r="IE230" s="148"/>
      <c r="IF230" s="148"/>
      <c r="IG230" s="148"/>
      <c r="IH230" s="148"/>
      <c r="II230" s="148"/>
      <c r="IJ230" s="148"/>
      <c r="IK230" s="148"/>
      <c r="IL230" s="148"/>
      <c r="IM230" s="148"/>
      <c r="IN230" s="148"/>
      <c r="IO230" s="148"/>
      <c r="IP230" s="148"/>
      <c r="IQ230" s="148"/>
      <c r="IR230" s="148"/>
      <c r="IS230" s="148"/>
      <c r="IT230" s="148"/>
      <c r="IU230" s="148"/>
      <c r="IV230" s="148"/>
    </row>
    <row r="231" spans="1:256" hidden="1">
      <c r="A231" s="842"/>
      <c r="B231" s="845"/>
      <c r="C231" s="178" t="s">
        <v>1</v>
      </c>
      <c r="D231" s="180">
        <f>E231+M231</f>
        <v>0</v>
      </c>
      <c r="E231" s="181">
        <f>F231+I231+J231+K231+L231</f>
        <v>0</v>
      </c>
      <c r="F231" s="181">
        <f>G231+H231</f>
        <v>0</v>
      </c>
      <c r="G231" s="181"/>
      <c r="H231" s="181"/>
      <c r="I231" s="181"/>
      <c r="J231" s="181"/>
      <c r="K231" s="181"/>
      <c r="L231" s="181"/>
      <c r="M231" s="181">
        <f>N231+P231</f>
        <v>0</v>
      </c>
      <c r="N231" s="181"/>
      <c r="O231" s="181"/>
      <c r="P231" s="181"/>
      <c r="Q231" s="182"/>
      <c r="R231" s="182"/>
      <c r="S231" s="182"/>
      <c r="T231" s="182"/>
      <c r="U231" s="182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  <c r="GB231" s="148"/>
      <c r="GC231" s="148"/>
      <c r="GD231" s="148"/>
      <c r="GE231" s="148"/>
      <c r="GF231" s="148"/>
      <c r="GG231" s="148"/>
      <c r="GH231" s="148"/>
      <c r="GI231" s="148"/>
      <c r="GJ231" s="148"/>
      <c r="GK231" s="148"/>
      <c r="GL231" s="148"/>
      <c r="GM231" s="148"/>
      <c r="GN231" s="148"/>
      <c r="GO231" s="148"/>
      <c r="GP231" s="148"/>
      <c r="GQ231" s="148"/>
      <c r="GR231" s="148"/>
      <c r="GS231" s="148"/>
      <c r="GT231" s="148"/>
      <c r="GU231" s="148"/>
      <c r="GV231" s="148"/>
      <c r="GW231" s="148"/>
      <c r="GX231" s="148"/>
      <c r="GY231" s="148"/>
      <c r="GZ231" s="148"/>
      <c r="HA231" s="148"/>
      <c r="HB231" s="148"/>
      <c r="HC231" s="148"/>
      <c r="HD231" s="148"/>
      <c r="HE231" s="148"/>
      <c r="HF231" s="148"/>
      <c r="HG231" s="148"/>
      <c r="HH231" s="148"/>
      <c r="HI231" s="148"/>
      <c r="HJ231" s="148"/>
      <c r="HK231" s="148"/>
      <c r="HL231" s="148"/>
      <c r="HM231" s="148"/>
      <c r="HN231" s="148"/>
      <c r="HO231" s="148"/>
      <c r="HP231" s="148"/>
      <c r="HQ231" s="148"/>
      <c r="HR231" s="148"/>
      <c r="HS231" s="148"/>
      <c r="HT231" s="148"/>
      <c r="HU231" s="148"/>
      <c r="HV231" s="148"/>
      <c r="HW231" s="148"/>
      <c r="HX231" s="148"/>
      <c r="HY231" s="148"/>
      <c r="HZ231" s="148"/>
      <c r="IA231" s="148"/>
      <c r="IB231" s="148"/>
      <c r="IC231" s="148"/>
      <c r="ID231" s="148"/>
      <c r="IE231" s="148"/>
      <c r="IF231" s="148"/>
      <c r="IG231" s="148"/>
      <c r="IH231" s="148"/>
      <c r="II231" s="148"/>
      <c r="IJ231" s="148"/>
      <c r="IK231" s="148"/>
      <c r="IL231" s="148"/>
      <c r="IM231" s="148"/>
      <c r="IN231" s="148"/>
      <c r="IO231" s="148"/>
      <c r="IP231" s="148"/>
      <c r="IQ231" s="148"/>
      <c r="IR231" s="148"/>
      <c r="IS231" s="148"/>
      <c r="IT231" s="148"/>
      <c r="IU231" s="148"/>
      <c r="IV231" s="148"/>
    </row>
    <row r="232" spans="1:256" hidden="1">
      <c r="A232" s="843"/>
      <c r="B232" s="846"/>
      <c r="C232" s="178" t="s">
        <v>2</v>
      </c>
      <c r="D232" s="180">
        <f>D230+D231</f>
        <v>497</v>
      </c>
      <c r="E232" s="181">
        <f t="shared" ref="E232:P232" si="97">E230+E231</f>
        <v>497</v>
      </c>
      <c r="F232" s="181">
        <f t="shared" si="97"/>
        <v>497</v>
      </c>
      <c r="G232" s="181">
        <f t="shared" si="97"/>
        <v>0</v>
      </c>
      <c r="H232" s="181">
        <f t="shared" si="97"/>
        <v>497</v>
      </c>
      <c r="I232" s="181">
        <f t="shared" si="97"/>
        <v>0</v>
      </c>
      <c r="J232" s="181">
        <f t="shared" si="97"/>
        <v>0</v>
      </c>
      <c r="K232" s="181">
        <f t="shared" si="97"/>
        <v>0</v>
      </c>
      <c r="L232" s="181">
        <f t="shared" si="97"/>
        <v>0</v>
      </c>
      <c r="M232" s="181">
        <f t="shared" si="97"/>
        <v>0</v>
      </c>
      <c r="N232" s="181">
        <f t="shared" si="97"/>
        <v>0</v>
      </c>
      <c r="O232" s="181">
        <f t="shared" si="97"/>
        <v>0</v>
      </c>
      <c r="P232" s="181">
        <f t="shared" si="97"/>
        <v>0</v>
      </c>
      <c r="Q232" s="182"/>
      <c r="R232" s="182"/>
      <c r="S232" s="182"/>
      <c r="T232" s="182"/>
      <c r="U232" s="182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  <c r="GB232" s="148"/>
      <c r="GC232" s="148"/>
      <c r="GD232" s="148"/>
      <c r="GE232" s="148"/>
      <c r="GF232" s="148"/>
      <c r="GG232" s="148"/>
      <c r="GH232" s="148"/>
      <c r="GI232" s="148"/>
      <c r="GJ232" s="148"/>
      <c r="GK232" s="148"/>
      <c r="GL232" s="148"/>
      <c r="GM232" s="148"/>
      <c r="GN232" s="148"/>
      <c r="GO232" s="148"/>
      <c r="GP232" s="148"/>
      <c r="GQ232" s="148"/>
      <c r="GR232" s="148"/>
      <c r="GS232" s="148"/>
      <c r="GT232" s="148"/>
      <c r="GU232" s="148"/>
      <c r="GV232" s="148"/>
      <c r="GW232" s="148"/>
      <c r="GX232" s="148"/>
      <c r="GY232" s="148"/>
      <c r="GZ232" s="148"/>
      <c r="HA232" s="148"/>
      <c r="HB232" s="148"/>
      <c r="HC232" s="148"/>
      <c r="HD232" s="148"/>
      <c r="HE232" s="148"/>
      <c r="HF232" s="148"/>
      <c r="HG232" s="148"/>
      <c r="HH232" s="148"/>
      <c r="HI232" s="148"/>
      <c r="HJ232" s="148"/>
      <c r="HK232" s="148"/>
      <c r="HL232" s="148"/>
      <c r="HM232" s="148"/>
      <c r="HN232" s="148"/>
      <c r="HO232" s="148"/>
      <c r="HP232" s="148"/>
      <c r="HQ232" s="148"/>
      <c r="HR232" s="148"/>
      <c r="HS232" s="148"/>
      <c r="HT232" s="148"/>
      <c r="HU232" s="148"/>
      <c r="HV232" s="148"/>
      <c r="HW232" s="148"/>
      <c r="HX232" s="148"/>
      <c r="HY232" s="148"/>
      <c r="HZ232" s="148"/>
      <c r="IA232" s="148"/>
      <c r="IB232" s="148"/>
      <c r="IC232" s="148"/>
      <c r="ID232" s="148"/>
      <c r="IE232" s="148"/>
      <c r="IF232" s="148"/>
      <c r="IG232" s="148"/>
      <c r="IH232" s="148"/>
      <c r="II232" s="148"/>
      <c r="IJ232" s="148"/>
      <c r="IK232" s="148"/>
      <c r="IL232" s="148"/>
      <c r="IM232" s="148"/>
      <c r="IN232" s="148"/>
      <c r="IO232" s="148"/>
      <c r="IP232" s="148"/>
      <c r="IQ232" s="148"/>
      <c r="IR232" s="148"/>
      <c r="IS232" s="148"/>
      <c r="IT232" s="148"/>
      <c r="IU232" s="148"/>
      <c r="IV232" s="148"/>
    </row>
    <row r="233" spans="1:256">
      <c r="A233" s="841" t="s">
        <v>277</v>
      </c>
      <c r="B233" s="844" t="s">
        <v>108</v>
      </c>
      <c r="C233" s="178" t="s">
        <v>0</v>
      </c>
      <c r="D233" s="180">
        <f>E233+M233</f>
        <v>13655491</v>
      </c>
      <c r="E233" s="181">
        <f t="shared" si="82"/>
        <v>12973043</v>
      </c>
      <c r="F233" s="181">
        <f t="shared" si="83"/>
        <v>12478801</v>
      </c>
      <c r="G233" s="181">
        <v>1067034</v>
      </c>
      <c r="H233" s="181">
        <v>11411767</v>
      </c>
      <c r="I233" s="181">
        <v>0</v>
      </c>
      <c r="J233" s="181">
        <v>100000</v>
      </c>
      <c r="K233" s="181">
        <v>394242</v>
      </c>
      <c r="L233" s="181">
        <v>0</v>
      </c>
      <c r="M233" s="181">
        <f t="shared" si="84"/>
        <v>682448</v>
      </c>
      <c r="N233" s="181">
        <v>682448</v>
      </c>
      <c r="O233" s="181">
        <v>608831</v>
      </c>
      <c r="P233" s="181">
        <v>0</v>
      </c>
      <c r="Q233" s="182"/>
      <c r="R233" s="182"/>
      <c r="S233" s="182"/>
      <c r="T233" s="182"/>
      <c r="U233" s="182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  <c r="GB233" s="148"/>
      <c r="GC233" s="148"/>
      <c r="GD233" s="148"/>
      <c r="GE233" s="148"/>
      <c r="GF233" s="148"/>
      <c r="GG233" s="148"/>
      <c r="GH233" s="148"/>
      <c r="GI233" s="148"/>
      <c r="GJ233" s="148"/>
      <c r="GK233" s="148"/>
      <c r="GL233" s="148"/>
      <c r="GM233" s="148"/>
      <c r="GN233" s="148"/>
      <c r="GO233" s="148"/>
      <c r="GP233" s="148"/>
      <c r="GQ233" s="148"/>
      <c r="GR233" s="148"/>
      <c r="GS233" s="148"/>
      <c r="GT233" s="148"/>
      <c r="GU233" s="148"/>
      <c r="GV233" s="148"/>
      <c r="GW233" s="148"/>
      <c r="GX233" s="148"/>
      <c r="GY233" s="148"/>
      <c r="GZ233" s="148"/>
      <c r="HA233" s="148"/>
      <c r="HB233" s="148"/>
      <c r="HC233" s="148"/>
      <c r="HD233" s="148"/>
      <c r="HE233" s="148"/>
      <c r="HF233" s="148"/>
      <c r="HG233" s="148"/>
      <c r="HH233" s="148"/>
      <c r="HI233" s="148"/>
      <c r="HJ233" s="148"/>
      <c r="HK233" s="148"/>
      <c r="HL233" s="148"/>
      <c r="HM233" s="148"/>
      <c r="HN233" s="148"/>
      <c r="HO233" s="148"/>
      <c r="HP233" s="148"/>
      <c r="HQ233" s="148"/>
      <c r="HR233" s="148"/>
      <c r="HS233" s="148"/>
      <c r="HT233" s="148"/>
      <c r="HU233" s="148"/>
      <c r="HV233" s="148"/>
      <c r="HW233" s="148"/>
      <c r="HX233" s="148"/>
      <c r="HY233" s="148"/>
      <c r="HZ233" s="148"/>
      <c r="IA233" s="148"/>
      <c r="IB233" s="148"/>
      <c r="IC233" s="148"/>
      <c r="ID233" s="148"/>
      <c r="IE233" s="148"/>
      <c r="IF233" s="148"/>
      <c r="IG233" s="148"/>
      <c r="IH233" s="148"/>
      <c r="II233" s="148"/>
      <c r="IJ233" s="148"/>
      <c r="IK233" s="148"/>
      <c r="IL233" s="148"/>
      <c r="IM233" s="148"/>
      <c r="IN233" s="148"/>
      <c r="IO233" s="148"/>
      <c r="IP233" s="148"/>
      <c r="IQ233" s="148"/>
      <c r="IR233" s="148"/>
      <c r="IS233" s="148"/>
      <c r="IT233" s="148"/>
      <c r="IU233" s="148"/>
      <c r="IV233" s="148"/>
    </row>
    <row r="234" spans="1:256">
      <c r="A234" s="842"/>
      <c r="B234" s="845"/>
      <c r="C234" s="178" t="s">
        <v>1</v>
      </c>
      <c r="D234" s="180">
        <f>E234+M234</f>
        <v>-2958152</v>
      </c>
      <c r="E234" s="181">
        <f t="shared" si="82"/>
        <v>-3021100</v>
      </c>
      <c r="F234" s="181">
        <f t="shared" si="83"/>
        <v>-3911961</v>
      </c>
      <c r="G234" s="181">
        <f>-376440-65573-9224+27000-5647</f>
        <v>-429884</v>
      </c>
      <c r="H234" s="181">
        <f>10000+36809+2699853-6198739+30000-60000</f>
        <v>-3482077</v>
      </c>
      <c r="I234" s="181"/>
      <c r="J234" s="181"/>
      <c r="K234" s="181">
        <f>921594-30733</f>
        <v>890861</v>
      </c>
      <c r="L234" s="181"/>
      <c r="M234" s="181">
        <f t="shared" si="84"/>
        <v>62948</v>
      </c>
      <c r="N234" s="181">
        <f>-36808+161022-61266</f>
        <v>62948</v>
      </c>
      <c r="O234" s="181">
        <f>161022-61266</f>
        <v>99756</v>
      </c>
      <c r="P234" s="181"/>
      <c r="Q234" s="182"/>
      <c r="R234" s="182"/>
      <c r="S234" s="182"/>
      <c r="T234" s="182"/>
      <c r="U234" s="182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  <c r="GB234" s="148"/>
      <c r="GC234" s="148"/>
      <c r="GD234" s="148"/>
      <c r="GE234" s="148"/>
      <c r="GF234" s="148"/>
      <c r="GG234" s="148"/>
      <c r="GH234" s="148"/>
      <c r="GI234" s="148"/>
      <c r="GJ234" s="148"/>
      <c r="GK234" s="148"/>
      <c r="GL234" s="148"/>
      <c r="GM234" s="148"/>
      <c r="GN234" s="148"/>
      <c r="GO234" s="148"/>
      <c r="GP234" s="148"/>
      <c r="GQ234" s="148"/>
      <c r="GR234" s="148"/>
      <c r="GS234" s="148"/>
      <c r="GT234" s="148"/>
      <c r="GU234" s="148"/>
      <c r="GV234" s="148"/>
      <c r="GW234" s="148"/>
      <c r="GX234" s="148"/>
      <c r="GY234" s="148"/>
      <c r="GZ234" s="148"/>
      <c r="HA234" s="148"/>
      <c r="HB234" s="148"/>
      <c r="HC234" s="148"/>
      <c r="HD234" s="148"/>
      <c r="HE234" s="148"/>
      <c r="HF234" s="148"/>
      <c r="HG234" s="148"/>
      <c r="HH234" s="148"/>
      <c r="HI234" s="148"/>
      <c r="HJ234" s="148"/>
      <c r="HK234" s="148"/>
      <c r="HL234" s="148"/>
      <c r="HM234" s="148"/>
      <c r="HN234" s="148"/>
      <c r="HO234" s="148"/>
      <c r="HP234" s="148"/>
      <c r="HQ234" s="148"/>
      <c r="HR234" s="148"/>
      <c r="HS234" s="148"/>
      <c r="HT234" s="148"/>
      <c r="HU234" s="148"/>
      <c r="HV234" s="148"/>
      <c r="HW234" s="148"/>
      <c r="HX234" s="148"/>
      <c r="HY234" s="148"/>
      <c r="HZ234" s="148"/>
      <c r="IA234" s="148"/>
      <c r="IB234" s="148"/>
      <c r="IC234" s="148"/>
      <c r="ID234" s="148"/>
      <c r="IE234" s="148"/>
      <c r="IF234" s="148"/>
      <c r="IG234" s="148"/>
      <c r="IH234" s="148"/>
      <c r="II234" s="148"/>
      <c r="IJ234" s="148"/>
      <c r="IK234" s="148"/>
      <c r="IL234" s="148"/>
      <c r="IM234" s="148"/>
      <c r="IN234" s="148"/>
      <c r="IO234" s="148"/>
      <c r="IP234" s="148"/>
      <c r="IQ234" s="148"/>
      <c r="IR234" s="148"/>
      <c r="IS234" s="148"/>
      <c r="IT234" s="148"/>
      <c r="IU234" s="148"/>
      <c r="IV234" s="148"/>
    </row>
    <row r="235" spans="1:256">
      <c r="A235" s="843"/>
      <c r="B235" s="846"/>
      <c r="C235" s="178" t="s">
        <v>2</v>
      </c>
      <c r="D235" s="180">
        <f>D233+D234</f>
        <v>10697339</v>
      </c>
      <c r="E235" s="181">
        <f t="shared" ref="E235:P235" si="98">E233+E234</f>
        <v>9951943</v>
      </c>
      <c r="F235" s="181">
        <f t="shared" si="98"/>
        <v>8566840</v>
      </c>
      <c r="G235" s="181">
        <f t="shared" si="98"/>
        <v>637150</v>
      </c>
      <c r="H235" s="181">
        <f t="shared" si="98"/>
        <v>7929690</v>
      </c>
      <c r="I235" s="181">
        <f t="shared" si="98"/>
        <v>0</v>
      </c>
      <c r="J235" s="181">
        <f t="shared" si="98"/>
        <v>100000</v>
      </c>
      <c r="K235" s="181">
        <f t="shared" si="98"/>
        <v>1285103</v>
      </c>
      <c r="L235" s="181">
        <f t="shared" si="98"/>
        <v>0</v>
      </c>
      <c r="M235" s="181">
        <f t="shared" si="98"/>
        <v>745396</v>
      </c>
      <c r="N235" s="181">
        <f t="shared" si="98"/>
        <v>745396</v>
      </c>
      <c r="O235" s="181">
        <f t="shared" si="98"/>
        <v>708587</v>
      </c>
      <c r="P235" s="181">
        <f t="shared" si="98"/>
        <v>0</v>
      </c>
      <c r="Q235" s="182"/>
      <c r="R235" s="182"/>
      <c r="S235" s="182"/>
      <c r="T235" s="182"/>
      <c r="U235" s="182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  <c r="GB235" s="148"/>
      <c r="GC235" s="148"/>
      <c r="GD235" s="148"/>
      <c r="GE235" s="148"/>
      <c r="GF235" s="148"/>
      <c r="GG235" s="148"/>
      <c r="GH235" s="148"/>
      <c r="GI235" s="148"/>
      <c r="GJ235" s="148"/>
      <c r="GK235" s="148"/>
      <c r="GL235" s="148"/>
      <c r="GM235" s="148"/>
      <c r="GN235" s="148"/>
      <c r="GO235" s="148"/>
      <c r="GP235" s="148"/>
      <c r="GQ235" s="148"/>
      <c r="GR235" s="148"/>
      <c r="GS235" s="148"/>
      <c r="GT235" s="148"/>
      <c r="GU235" s="148"/>
      <c r="GV235" s="148"/>
      <c r="GW235" s="148"/>
      <c r="GX235" s="148"/>
      <c r="GY235" s="148"/>
      <c r="GZ235" s="148"/>
      <c r="HA235" s="148"/>
      <c r="HB235" s="148"/>
      <c r="HC235" s="148"/>
      <c r="HD235" s="148"/>
      <c r="HE235" s="148"/>
      <c r="HF235" s="148"/>
      <c r="HG235" s="148"/>
      <c r="HH235" s="148"/>
      <c r="HI235" s="148"/>
      <c r="HJ235" s="148"/>
      <c r="HK235" s="148"/>
      <c r="HL235" s="148"/>
      <c r="HM235" s="148"/>
      <c r="HN235" s="148"/>
      <c r="HO235" s="148"/>
      <c r="HP235" s="148"/>
      <c r="HQ235" s="148"/>
      <c r="HR235" s="148"/>
      <c r="HS235" s="148"/>
      <c r="HT235" s="148"/>
      <c r="HU235" s="148"/>
      <c r="HV235" s="148"/>
      <c r="HW235" s="148"/>
      <c r="HX235" s="148"/>
      <c r="HY235" s="148"/>
      <c r="HZ235" s="148"/>
      <c r="IA235" s="148"/>
      <c r="IB235" s="148"/>
      <c r="IC235" s="148"/>
      <c r="ID235" s="148"/>
      <c r="IE235" s="148"/>
      <c r="IF235" s="148"/>
      <c r="IG235" s="148"/>
      <c r="IH235" s="148"/>
      <c r="II235" s="148"/>
      <c r="IJ235" s="148"/>
      <c r="IK235" s="148"/>
      <c r="IL235" s="148"/>
      <c r="IM235" s="148"/>
      <c r="IN235" s="148"/>
      <c r="IO235" s="148"/>
      <c r="IP235" s="148"/>
      <c r="IQ235" s="148"/>
      <c r="IR235" s="148"/>
      <c r="IS235" s="148"/>
      <c r="IT235" s="148"/>
      <c r="IU235" s="148"/>
      <c r="IV235" s="148"/>
    </row>
    <row r="236" spans="1:256" ht="15">
      <c r="A236" s="835" t="s">
        <v>61</v>
      </c>
      <c r="B236" s="838" t="s">
        <v>62</v>
      </c>
      <c r="C236" s="183" t="s">
        <v>0</v>
      </c>
      <c r="D236" s="191">
        <f>D239+D251+D254+D257+D260+D269+D263+D245+D266+D242+D248</f>
        <v>109779919</v>
      </c>
      <c r="E236" s="175">
        <f>E239+E251+E254+E257+E260+E269+E263+E245+E266+E242+E248</f>
        <v>40648483</v>
      </c>
      <c r="F236" s="175">
        <f t="shared" ref="F236:P237" si="99">F239+F251+F254+F257+F260+F269+F263+F245+F266+F242+F248</f>
        <v>31734116</v>
      </c>
      <c r="G236" s="175">
        <f t="shared" si="99"/>
        <v>18000</v>
      </c>
      <c r="H236" s="175">
        <f t="shared" si="99"/>
        <v>31716116</v>
      </c>
      <c r="I236" s="175">
        <f t="shared" si="99"/>
        <v>4132975</v>
      </c>
      <c r="J236" s="175">
        <f t="shared" si="99"/>
        <v>0</v>
      </c>
      <c r="K236" s="175">
        <f t="shared" si="99"/>
        <v>4781392</v>
      </c>
      <c r="L236" s="175">
        <f t="shared" si="99"/>
        <v>0</v>
      </c>
      <c r="M236" s="175">
        <f t="shared" si="99"/>
        <v>69131436</v>
      </c>
      <c r="N236" s="175">
        <f t="shared" si="99"/>
        <v>33831436</v>
      </c>
      <c r="O236" s="175">
        <f t="shared" si="99"/>
        <v>2246004</v>
      </c>
      <c r="P236" s="175">
        <f t="shared" si="99"/>
        <v>35300000</v>
      </c>
      <c r="Q236" s="188"/>
      <c r="R236" s="188"/>
      <c r="S236" s="188"/>
      <c r="T236" s="188"/>
      <c r="U236" s="188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  <c r="FF236" s="189"/>
      <c r="FG236" s="189"/>
      <c r="FH236" s="189"/>
      <c r="FI236" s="189"/>
      <c r="FJ236" s="189"/>
      <c r="FK236" s="189"/>
      <c r="FL236" s="189"/>
      <c r="FM236" s="189"/>
      <c r="FN236" s="189"/>
      <c r="FO236" s="189"/>
      <c r="FP236" s="189"/>
      <c r="FQ236" s="189"/>
      <c r="FR236" s="189"/>
      <c r="FS236" s="189"/>
      <c r="FT236" s="189"/>
      <c r="FU236" s="189"/>
      <c r="FV236" s="189"/>
      <c r="FW236" s="189"/>
      <c r="FX236" s="189"/>
      <c r="FY236" s="189"/>
      <c r="FZ236" s="189"/>
      <c r="GA236" s="189"/>
      <c r="GB236" s="189"/>
      <c r="GC236" s="189"/>
      <c r="GD236" s="189"/>
      <c r="GE236" s="189"/>
      <c r="GF236" s="189"/>
      <c r="GG236" s="189"/>
      <c r="GH236" s="189"/>
      <c r="GI236" s="189"/>
      <c r="GJ236" s="189"/>
      <c r="GK236" s="189"/>
      <c r="GL236" s="189"/>
      <c r="GM236" s="189"/>
      <c r="GN236" s="189"/>
      <c r="GO236" s="189"/>
      <c r="GP236" s="189"/>
      <c r="GQ236" s="189"/>
      <c r="GR236" s="189"/>
      <c r="GS236" s="189"/>
      <c r="GT236" s="189"/>
      <c r="GU236" s="189"/>
      <c r="GV236" s="189"/>
      <c r="GW236" s="189"/>
      <c r="GX236" s="189"/>
      <c r="GY236" s="189"/>
      <c r="GZ236" s="189"/>
      <c r="HA236" s="189"/>
      <c r="HB236" s="189"/>
      <c r="HC236" s="189"/>
      <c r="HD236" s="189"/>
      <c r="HE236" s="189"/>
      <c r="HF236" s="189"/>
      <c r="HG236" s="189"/>
      <c r="HH236" s="189"/>
      <c r="HI236" s="189"/>
      <c r="HJ236" s="189"/>
      <c r="HK236" s="189"/>
      <c r="HL236" s="189"/>
      <c r="HM236" s="189"/>
      <c r="HN236" s="189"/>
      <c r="HO236" s="189"/>
      <c r="HP236" s="189"/>
      <c r="HQ236" s="189"/>
      <c r="HR236" s="189"/>
      <c r="HS236" s="189"/>
      <c r="HT236" s="189"/>
      <c r="HU236" s="189"/>
      <c r="HV236" s="189"/>
      <c r="HW236" s="189"/>
      <c r="HX236" s="189"/>
      <c r="HY236" s="189"/>
      <c r="HZ236" s="189"/>
      <c r="IA236" s="189"/>
      <c r="IB236" s="189"/>
      <c r="IC236" s="189"/>
      <c r="ID236" s="189"/>
      <c r="IE236" s="189"/>
      <c r="IF236" s="189"/>
      <c r="IG236" s="189"/>
      <c r="IH236" s="189"/>
      <c r="II236" s="189"/>
      <c r="IJ236" s="189"/>
      <c r="IK236" s="189"/>
      <c r="IL236" s="189"/>
      <c r="IM236" s="189"/>
      <c r="IN236" s="189"/>
      <c r="IO236" s="189"/>
      <c r="IP236" s="189"/>
      <c r="IQ236" s="189"/>
      <c r="IR236" s="189"/>
      <c r="IS236" s="189"/>
      <c r="IT236" s="189"/>
      <c r="IU236" s="189"/>
      <c r="IV236" s="189"/>
    </row>
    <row r="237" spans="1:256" ht="15">
      <c r="A237" s="836"/>
      <c r="B237" s="839"/>
      <c r="C237" s="183" t="s">
        <v>1</v>
      </c>
      <c r="D237" s="191">
        <f>D240+D252+D255+D258+D261+D270+D264+D246+D267+D243+D249</f>
        <v>7760759</v>
      </c>
      <c r="E237" s="175">
        <f>E240+E252+E255+E258+E261+E270+E264+E246+E267+E243+E249</f>
        <v>-680461</v>
      </c>
      <c r="F237" s="175">
        <f t="shared" si="99"/>
        <v>0</v>
      </c>
      <c r="G237" s="175">
        <f t="shared" si="99"/>
        <v>0</v>
      </c>
      <c r="H237" s="175">
        <f t="shared" si="99"/>
        <v>0</v>
      </c>
      <c r="I237" s="175">
        <f t="shared" si="99"/>
        <v>27060</v>
      </c>
      <c r="J237" s="175">
        <f t="shared" si="99"/>
        <v>0</v>
      </c>
      <c r="K237" s="175">
        <f t="shared" si="99"/>
        <v>-707521</v>
      </c>
      <c r="L237" s="175">
        <f t="shared" si="99"/>
        <v>0</v>
      </c>
      <c r="M237" s="175">
        <f t="shared" si="99"/>
        <v>8441220</v>
      </c>
      <c r="N237" s="175">
        <f t="shared" si="99"/>
        <v>2193220</v>
      </c>
      <c r="O237" s="175">
        <f t="shared" si="99"/>
        <v>4720695</v>
      </c>
      <c r="P237" s="175">
        <f t="shared" si="99"/>
        <v>6248000</v>
      </c>
      <c r="Q237" s="188"/>
      <c r="R237" s="188"/>
      <c r="S237" s="188"/>
      <c r="T237" s="188"/>
      <c r="U237" s="188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  <c r="FF237" s="189"/>
      <c r="FG237" s="189"/>
      <c r="FH237" s="189"/>
      <c r="FI237" s="189"/>
      <c r="FJ237" s="189"/>
      <c r="FK237" s="189"/>
      <c r="FL237" s="189"/>
      <c r="FM237" s="189"/>
      <c r="FN237" s="189"/>
      <c r="FO237" s="189"/>
      <c r="FP237" s="189"/>
      <c r="FQ237" s="189"/>
      <c r="FR237" s="189"/>
      <c r="FS237" s="189"/>
      <c r="FT237" s="189"/>
      <c r="FU237" s="189"/>
      <c r="FV237" s="189"/>
      <c r="FW237" s="189"/>
      <c r="FX237" s="189"/>
      <c r="FY237" s="189"/>
      <c r="FZ237" s="189"/>
      <c r="GA237" s="189"/>
      <c r="GB237" s="189"/>
      <c r="GC237" s="189"/>
      <c r="GD237" s="189"/>
      <c r="GE237" s="189"/>
      <c r="GF237" s="189"/>
      <c r="GG237" s="189"/>
      <c r="GH237" s="189"/>
      <c r="GI237" s="189"/>
      <c r="GJ237" s="189"/>
      <c r="GK237" s="189"/>
      <c r="GL237" s="189"/>
      <c r="GM237" s="189"/>
      <c r="GN237" s="189"/>
      <c r="GO237" s="189"/>
      <c r="GP237" s="189"/>
      <c r="GQ237" s="189"/>
      <c r="GR237" s="189"/>
      <c r="GS237" s="189"/>
      <c r="GT237" s="189"/>
      <c r="GU237" s="189"/>
      <c r="GV237" s="189"/>
      <c r="GW237" s="189"/>
      <c r="GX237" s="189"/>
      <c r="GY237" s="189"/>
      <c r="GZ237" s="189"/>
      <c r="HA237" s="189"/>
      <c r="HB237" s="189"/>
      <c r="HC237" s="189"/>
      <c r="HD237" s="189"/>
      <c r="HE237" s="189"/>
      <c r="HF237" s="189"/>
      <c r="HG237" s="189"/>
      <c r="HH237" s="189"/>
      <c r="HI237" s="189"/>
      <c r="HJ237" s="189"/>
      <c r="HK237" s="189"/>
      <c r="HL237" s="189"/>
      <c r="HM237" s="189"/>
      <c r="HN237" s="189"/>
      <c r="HO237" s="189"/>
      <c r="HP237" s="189"/>
      <c r="HQ237" s="189"/>
      <c r="HR237" s="189"/>
      <c r="HS237" s="189"/>
      <c r="HT237" s="189"/>
      <c r="HU237" s="189"/>
      <c r="HV237" s="189"/>
      <c r="HW237" s="189"/>
      <c r="HX237" s="189"/>
      <c r="HY237" s="189"/>
      <c r="HZ237" s="189"/>
      <c r="IA237" s="189"/>
      <c r="IB237" s="189"/>
      <c r="IC237" s="189"/>
      <c r="ID237" s="189"/>
      <c r="IE237" s="189"/>
      <c r="IF237" s="189"/>
      <c r="IG237" s="189"/>
      <c r="IH237" s="189"/>
      <c r="II237" s="189"/>
      <c r="IJ237" s="189"/>
      <c r="IK237" s="189"/>
      <c r="IL237" s="189"/>
      <c r="IM237" s="189"/>
      <c r="IN237" s="189"/>
      <c r="IO237" s="189"/>
      <c r="IP237" s="189"/>
      <c r="IQ237" s="189"/>
      <c r="IR237" s="189"/>
      <c r="IS237" s="189"/>
      <c r="IT237" s="189"/>
      <c r="IU237" s="189"/>
      <c r="IV237" s="189"/>
    </row>
    <row r="238" spans="1:256" ht="15">
      <c r="A238" s="837"/>
      <c r="B238" s="840"/>
      <c r="C238" s="183" t="s">
        <v>2</v>
      </c>
      <c r="D238" s="191">
        <f>D236+D237</f>
        <v>117540678</v>
      </c>
      <c r="E238" s="175">
        <f t="shared" ref="E238:P238" si="100">E236+E237</f>
        <v>39968022</v>
      </c>
      <c r="F238" s="175">
        <f t="shared" si="100"/>
        <v>31734116</v>
      </c>
      <c r="G238" s="175">
        <f t="shared" si="100"/>
        <v>18000</v>
      </c>
      <c r="H238" s="175">
        <f t="shared" si="100"/>
        <v>31716116</v>
      </c>
      <c r="I238" s="175">
        <f t="shared" si="100"/>
        <v>4160035</v>
      </c>
      <c r="J238" s="175">
        <f t="shared" si="100"/>
        <v>0</v>
      </c>
      <c r="K238" s="175">
        <f t="shared" si="100"/>
        <v>4073871</v>
      </c>
      <c r="L238" s="175">
        <f t="shared" si="100"/>
        <v>0</v>
      </c>
      <c r="M238" s="175">
        <f t="shared" si="100"/>
        <v>77572656</v>
      </c>
      <c r="N238" s="175">
        <f t="shared" si="100"/>
        <v>36024656</v>
      </c>
      <c r="O238" s="175">
        <f t="shared" si="100"/>
        <v>6966699</v>
      </c>
      <c r="P238" s="175">
        <f t="shared" si="100"/>
        <v>41548000</v>
      </c>
      <c r="Q238" s="188"/>
      <c r="R238" s="188"/>
      <c r="S238" s="188"/>
      <c r="T238" s="188"/>
      <c r="U238" s="188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  <c r="FF238" s="189"/>
      <c r="FG238" s="189"/>
      <c r="FH238" s="189"/>
      <c r="FI238" s="189"/>
      <c r="FJ238" s="189"/>
      <c r="FK238" s="189"/>
      <c r="FL238" s="189"/>
      <c r="FM238" s="189"/>
      <c r="FN238" s="189"/>
      <c r="FO238" s="189"/>
      <c r="FP238" s="189"/>
      <c r="FQ238" s="189"/>
      <c r="FR238" s="189"/>
      <c r="FS238" s="189"/>
      <c r="FT238" s="189"/>
      <c r="FU238" s="189"/>
      <c r="FV238" s="189"/>
      <c r="FW238" s="189"/>
      <c r="FX238" s="189"/>
      <c r="FY238" s="189"/>
      <c r="FZ238" s="189"/>
      <c r="GA238" s="189"/>
      <c r="GB238" s="189"/>
      <c r="GC238" s="189"/>
      <c r="GD238" s="189"/>
      <c r="GE238" s="189"/>
      <c r="GF238" s="189"/>
      <c r="GG238" s="189"/>
      <c r="GH238" s="189"/>
      <c r="GI238" s="189"/>
      <c r="GJ238" s="189"/>
      <c r="GK238" s="189"/>
      <c r="GL238" s="189"/>
      <c r="GM238" s="189"/>
      <c r="GN238" s="189"/>
      <c r="GO238" s="189"/>
      <c r="GP238" s="189"/>
      <c r="GQ238" s="189"/>
      <c r="GR238" s="189"/>
      <c r="GS238" s="189"/>
      <c r="GT238" s="189"/>
      <c r="GU238" s="189"/>
      <c r="GV238" s="189"/>
      <c r="GW238" s="189"/>
      <c r="GX238" s="189"/>
      <c r="GY238" s="189"/>
      <c r="GZ238" s="189"/>
      <c r="HA238" s="189"/>
      <c r="HB238" s="189"/>
      <c r="HC238" s="189"/>
      <c r="HD238" s="189"/>
      <c r="HE238" s="189"/>
      <c r="HF238" s="189"/>
      <c r="HG238" s="189"/>
      <c r="HH238" s="189"/>
      <c r="HI238" s="189"/>
      <c r="HJ238" s="189"/>
      <c r="HK238" s="189"/>
      <c r="HL238" s="189"/>
      <c r="HM238" s="189"/>
      <c r="HN238" s="189"/>
      <c r="HO238" s="189"/>
      <c r="HP238" s="189"/>
      <c r="HQ238" s="189"/>
      <c r="HR238" s="189"/>
      <c r="HS238" s="189"/>
      <c r="HT238" s="189"/>
      <c r="HU238" s="189"/>
      <c r="HV238" s="189"/>
      <c r="HW238" s="189"/>
      <c r="HX238" s="189"/>
      <c r="HY238" s="189"/>
      <c r="HZ238" s="189"/>
      <c r="IA238" s="189"/>
      <c r="IB238" s="189"/>
      <c r="IC238" s="189"/>
      <c r="ID238" s="189"/>
      <c r="IE238" s="189"/>
      <c r="IF238" s="189"/>
      <c r="IG238" s="189"/>
      <c r="IH238" s="189"/>
      <c r="II238" s="189"/>
      <c r="IJ238" s="189"/>
      <c r="IK238" s="189"/>
      <c r="IL238" s="189"/>
      <c r="IM238" s="189"/>
      <c r="IN238" s="189"/>
      <c r="IO238" s="189"/>
      <c r="IP238" s="189"/>
      <c r="IQ238" s="189"/>
      <c r="IR238" s="189"/>
      <c r="IS238" s="189"/>
      <c r="IT238" s="189"/>
      <c r="IU238" s="189"/>
      <c r="IV238" s="189"/>
    </row>
    <row r="239" spans="1:256">
      <c r="A239" s="841">
        <v>85111</v>
      </c>
      <c r="B239" s="844" t="s">
        <v>278</v>
      </c>
      <c r="C239" s="178" t="s">
        <v>0</v>
      </c>
      <c r="D239" s="180">
        <f>E239+M239</f>
        <v>33201856</v>
      </c>
      <c r="E239" s="181">
        <f>F239+I239+J239+K239+L239</f>
        <v>352737</v>
      </c>
      <c r="F239" s="181">
        <f>G239+H239</f>
        <v>0</v>
      </c>
      <c r="G239" s="181">
        <v>0</v>
      </c>
      <c r="H239" s="181">
        <v>0</v>
      </c>
      <c r="I239" s="181">
        <v>0</v>
      </c>
      <c r="J239" s="181">
        <v>0</v>
      </c>
      <c r="K239" s="181">
        <v>352737</v>
      </c>
      <c r="L239" s="181">
        <v>0</v>
      </c>
      <c r="M239" s="181">
        <f>N239+P239</f>
        <v>32849119</v>
      </c>
      <c r="N239" s="181">
        <v>32849119</v>
      </c>
      <c r="O239" s="181">
        <v>2227596</v>
      </c>
      <c r="P239" s="181">
        <v>0</v>
      </c>
      <c r="Q239" s="182"/>
      <c r="R239" s="182"/>
      <c r="S239" s="182"/>
      <c r="T239" s="182"/>
      <c r="U239" s="182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  <c r="GR239" s="148"/>
      <c r="GS239" s="148"/>
      <c r="GT239" s="148"/>
      <c r="GU239" s="148"/>
      <c r="GV239" s="148"/>
      <c r="GW239" s="148"/>
      <c r="GX239" s="148"/>
      <c r="GY239" s="148"/>
      <c r="GZ239" s="148"/>
      <c r="HA239" s="148"/>
      <c r="HB239" s="148"/>
      <c r="HC239" s="148"/>
      <c r="HD239" s="148"/>
      <c r="HE239" s="148"/>
      <c r="HF239" s="148"/>
      <c r="HG239" s="148"/>
      <c r="HH239" s="148"/>
      <c r="HI239" s="148"/>
      <c r="HJ239" s="148"/>
      <c r="HK239" s="148"/>
      <c r="HL239" s="148"/>
      <c r="HM239" s="148"/>
      <c r="HN239" s="148"/>
      <c r="HO239" s="148"/>
      <c r="HP239" s="148"/>
      <c r="HQ239" s="148"/>
      <c r="HR239" s="148"/>
      <c r="HS239" s="148"/>
      <c r="HT239" s="148"/>
      <c r="HU239" s="148"/>
      <c r="HV239" s="148"/>
      <c r="HW239" s="148"/>
      <c r="HX239" s="148"/>
      <c r="HY239" s="148"/>
      <c r="HZ239" s="148"/>
      <c r="IA239" s="148"/>
      <c r="IB239" s="148"/>
      <c r="IC239" s="148"/>
      <c r="ID239" s="148"/>
      <c r="IE239" s="148"/>
      <c r="IF239" s="148"/>
      <c r="IG239" s="148"/>
      <c r="IH239" s="148"/>
      <c r="II239" s="148"/>
      <c r="IJ239" s="148"/>
      <c r="IK239" s="148"/>
      <c r="IL239" s="148"/>
      <c r="IM239" s="148"/>
      <c r="IN239" s="148"/>
      <c r="IO239" s="148"/>
      <c r="IP239" s="148"/>
      <c r="IQ239" s="148"/>
      <c r="IR239" s="148"/>
      <c r="IS239" s="148"/>
      <c r="IT239" s="148"/>
      <c r="IU239" s="148"/>
      <c r="IV239" s="148"/>
    </row>
    <row r="240" spans="1:256">
      <c r="A240" s="842"/>
      <c r="B240" s="845"/>
      <c r="C240" s="178" t="s">
        <v>1</v>
      </c>
      <c r="D240" s="180">
        <f>E240+M240</f>
        <v>921841</v>
      </c>
      <c r="E240" s="181">
        <f>F240+I240+J240+K240+L240</f>
        <v>-249854</v>
      </c>
      <c r="F240" s="181">
        <f>G240+H240</f>
        <v>0</v>
      </c>
      <c r="G240" s="181"/>
      <c r="H240" s="181"/>
      <c r="I240" s="181"/>
      <c r="J240" s="181"/>
      <c r="K240" s="181">
        <v>-249854</v>
      </c>
      <c r="L240" s="181"/>
      <c r="M240" s="181">
        <f>N240+P240</f>
        <v>1171695</v>
      </c>
      <c r="N240" s="181">
        <f>4720695+451000-4000000</f>
        <v>1171695</v>
      </c>
      <c r="O240" s="181">
        <f>4720695</f>
        <v>4720695</v>
      </c>
      <c r="P240" s="181"/>
      <c r="Q240" s="182"/>
      <c r="R240" s="182"/>
      <c r="S240" s="182"/>
      <c r="T240" s="182"/>
      <c r="U240" s="182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  <c r="GB240" s="148"/>
      <c r="GC240" s="148"/>
      <c r="GD240" s="148"/>
      <c r="GE240" s="148"/>
      <c r="GF240" s="148"/>
      <c r="GG240" s="148"/>
      <c r="GH240" s="148"/>
      <c r="GI240" s="148"/>
      <c r="GJ240" s="148"/>
      <c r="GK240" s="148"/>
      <c r="GL240" s="148"/>
      <c r="GM240" s="148"/>
      <c r="GN240" s="148"/>
      <c r="GO240" s="148"/>
      <c r="GP240" s="148"/>
      <c r="GQ240" s="148"/>
      <c r="GR240" s="148"/>
      <c r="GS240" s="148"/>
      <c r="GT240" s="148"/>
      <c r="GU240" s="148"/>
      <c r="GV240" s="148"/>
      <c r="GW240" s="148"/>
      <c r="GX240" s="148"/>
      <c r="GY240" s="148"/>
      <c r="GZ240" s="148"/>
      <c r="HA240" s="148"/>
      <c r="HB240" s="148"/>
      <c r="HC240" s="148"/>
      <c r="HD240" s="148"/>
      <c r="HE240" s="148"/>
      <c r="HF240" s="148"/>
      <c r="HG240" s="148"/>
      <c r="HH240" s="148"/>
      <c r="HI240" s="148"/>
      <c r="HJ240" s="148"/>
      <c r="HK240" s="148"/>
      <c r="HL240" s="148"/>
      <c r="HM240" s="148"/>
      <c r="HN240" s="148"/>
      <c r="HO240" s="148"/>
      <c r="HP240" s="148"/>
      <c r="HQ240" s="148"/>
      <c r="HR240" s="148"/>
      <c r="HS240" s="148"/>
      <c r="HT240" s="148"/>
      <c r="HU240" s="148"/>
      <c r="HV240" s="148"/>
      <c r="HW240" s="148"/>
      <c r="HX240" s="148"/>
      <c r="HY240" s="148"/>
      <c r="HZ240" s="148"/>
      <c r="IA240" s="148"/>
      <c r="IB240" s="148"/>
      <c r="IC240" s="148"/>
      <c r="ID240" s="148"/>
      <c r="IE240" s="148"/>
      <c r="IF240" s="148"/>
      <c r="IG240" s="148"/>
      <c r="IH240" s="148"/>
      <c r="II240" s="148"/>
      <c r="IJ240" s="148"/>
      <c r="IK240" s="148"/>
      <c r="IL240" s="148"/>
      <c r="IM240" s="148"/>
      <c r="IN240" s="148"/>
      <c r="IO240" s="148"/>
      <c r="IP240" s="148"/>
      <c r="IQ240" s="148"/>
      <c r="IR240" s="148"/>
      <c r="IS240" s="148"/>
      <c r="IT240" s="148"/>
      <c r="IU240" s="148"/>
      <c r="IV240" s="148"/>
    </row>
    <row r="241" spans="1:256">
      <c r="A241" s="843"/>
      <c r="B241" s="846"/>
      <c r="C241" s="178" t="s">
        <v>2</v>
      </c>
      <c r="D241" s="180">
        <f>D239+D240</f>
        <v>34123697</v>
      </c>
      <c r="E241" s="181">
        <f t="shared" ref="E241:P241" si="101">E239+E240</f>
        <v>102883</v>
      </c>
      <c r="F241" s="181">
        <f t="shared" si="101"/>
        <v>0</v>
      </c>
      <c r="G241" s="181">
        <f t="shared" si="101"/>
        <v>0</v>
      </c>
      <c r="H241" s="181">
        <f t="shared" si="101"/>
        <v>0</v>
      </c>
      <c r="I241" s="181">
        <f t="shared" si="101"/>
        <v>0</v>
      </c>
      <c r="J241" s="181">
        <f t="shared" si="101"/>
        <v>0</v>
      </c>
      <c r="K241" s="181">
        <f t="shared" si="101"/>
        <v>102883</v>
      </c>
      <c r="L241" s="181">
        <f t="shared" si="101"/>
        <v>0</v>
      </c>
      <c r="M241" s="181">
        <f t="shared" si="101"/>
        <v>34020814</v>
      </c>
      <c r="N241" s="181">
        <f t="shared" si="101"/>
        <v>34020814</v>
      </c>
      <c r="O241" s="181">
        <f t="shared" si="101"/>
        <v>6948291</v>
      </c>
      <c r="P241" s="181">
        <f t="shared" si="101"/>
        <v>0</v>
      </c>
      <c r="Q241" s="182"/>
      <c r="R241" s="182"/>
      <c r="S241" s="182"/>
      <c r="T241" s="182"/>
      <c r="U241" s="182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  <c r="HN241" s="148"/>
      <c r="HO241" s="148"/>
      <c r="HP241" s="148"/>
      <c r="HQ241" s="148"/>
      <c r="HR241" s="148"/>
      <c r="HS241" s="148"/>
      <c r="HT241" s="148"/>
      <c r="HU241" s="148"/>
      <c r="HV241" s="148"/>
      <c r="HW241" s="148"/>
      <c r="HX241" s="148"/>
      <c r="HY241" s="148"/>
      <c r="HZ241" s="148"/>
      <c r="IA241" s="148"/>
      <c r="IB241" s="148"/>
      <c r="IC241" s="148"/>
      <c r="ID241" s="148"/>
      <c r="IE241" s="148"/>
      <c r="IF241" s="148"/>
      <c r="IG241" s="148"/>
      <c r="IH241" s="148"/>
      <c r="II241" s="148"/>
      <c r="IJ241" s="148"/>
      <c r="IK241" s="148"/>
      <c r="IL241" s="148"/>
      <c r="IM241" s="148"/>
      <c r="IN241" s="148"/>
      <c r="IO241" s="148"/>
      <c r="IP241" s="148"/>
      <c r="IQ241" s="148"/>
      <c r="IR241" s="148"/>
      <c r="IS241" s="148"/>
      <c r="IT241" s="148"/>
      <c r="IU241" s="148"/>
      <c r="IV241" s="148"/>
    </row>
    <row r="242" spans="1:256" hidden="1">
      <c r="A242" s="841" t="s">
        <v>279</v>
      </c>
      <c r="B242" s="844" t="s">
        <v>280</v>
      </c>
      <c r="C242" s="178" t="s">
        <v>0</v>
      </c>
      <c r="D242" s="180">
        <f>E242+M242</f>
        <v>18408</v>
      </c>
      <c r="E242" s="181">
        <f>F242+I242+J242+K242+L242</f>
        <v>0</v>
      </c>
      <c r="F242" s="181">
        <f>G242+H242</f>
        <v>0</v>
      </c>
      <c r="G242" s="181">
        <v>0</v>
      </c>
      <c r="H242" s="181">
        <v>0</v>
      </c>
      <c r="I242" s="181">
        <v>0</v>
      </c>
      <c r="J242" s="181">
        <v>0</v>
      </c>
      <c r="K242" s="181">
        <v>0</v>
      </c>
      <c r="L242" s="181">
        <v>0</v>
      </c>
      <c r="M242" s="181">
        <f>N242+P242</f>
        <v>18408</v>
      </c>
      <c r="N242" s="181">
        <v>18408</v>
      </c>
      <c r="O242" s="181">
        <v>18408</v>
      </c>
      <c r="P242" s="181">
        <v>0</v>
      </c>
      <c r="Q242" s="182"/>
      <c r="R242" s="182"/>
      <c r="S242" s="182"/>
      <c r="T242" s="182"/>
      <c r="U242" s="182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  <c r="GB242" s="148"/>
      <c r="GC242" s="148"/>
      <c r="GD242" s="148"/>
      <c r="GE242" s="148"/>
      <c r="GF242" s="148"/>
      <c r="GG242" s="148"/>
      <c r="GH242" s="148"/>
      <c r="GI242" s="148"/>
      <c r="GJ242" s="148"/>
      <c r="GK242" s="148"/>
      <c r="GL242" s="148"/>
      <c r="GM242" s="148"/>
      <c r="GN242" s="148"/>
      <c r="GO242" s="148"/>
      <c r="GP242" s="148"/>
      <c r="GQ242" s="148"/>
      <c r="GR242" s="148"/>
      <c r="GS242" s="148"/>
      <c r="GT242" s="148"/>
      <c r="GU242" s="148"/>
      <c r="GV242" s="148"/>
      <c r="GW242" s="148"/>
      <c r="GX242" s="148"/>
      <c r="GY242" s="148"/>
      <c r="GZ242" s="148"/>
      <c r="HA242" s="148"/>
      <c r="HB242" s="148"/>
      <c r="HC242" s="148"/>
      <c r="HD242" s="148"/>
      <c r="HE242" s="148"/>
      <c r="HF242" s="148"/>
      <c r="HG242" s="148"/>
      <c r="HH242" s="148"/>
      <c r="HI242" s="148"/>
      <c r="HJ242" s="148"/>
      <c r="HK242" s="148"/>
      <c r="HL242" s="148"/>
      <c r="HM242" s="148"/>
      <c r="HN242" s="148"/>
      <c r="HO242" s="148"/>
      <c r="HP242" s="148"/>
      <c r="HQ242" s="148"/>
      <c r="HR242" s="148"/>
      <c r="HS242" s="148"/>
      <c r="HT242" s="148"/>
      <c r="HU242" s="148"/>
      <c r="HV242" s="148"/>
      <c r="HW242" s="148"/>
      <c r="HX242" s="148"/>
      <c r="HY242" s="148"/>
      <c r="HZ242" s="148"/>
      <c r="IA242" s="148"/>
      <c r="IB242" s="148"/>
      <c r="IC242" s="148"/>
      <c r="ID242" s="148"/>
      <c r="IE242" s="148"/>
      <c r="IF242" s="148"/>
      <c r="IG242" s="148"/>
      <c r="IH242" s="148"/>
      <c r="II242" s="148"/>
      <c r="IJ242" s="148"/>
      <c r="IK242" s="148"/>
      <c r="IL242" s="148"/>
      <c r="IM242" s="148"/>
      <c r="IN242" s="148"/>
      <c r="IO242" s="148"/>
      <c r="IP242" s="148"/>
      <c r="IQ242" s="148"/>
      <c r="IR242" s="148"/>
      <c r="IS242" s="148"/>
      <c r="IT242" s="148"/>
      <c r="IU242" s="148"/>
      <c r="IV242" s="148"/>
    </row>
    <row r="243" spans="1:256" hidden="1">
      <c r="A243" s="842"/>
      <c r="B243" s="845"/>
      <c r="C243" s="178" t="s">
        <v>1</v>
      </c>
      <c r="D243" s="180">
        <f>E243+M243</f>
        <v>0</v>
      </c>
      <c r="E243" s="181">
        <f>F243+I243+J243+K243+L243</f>
        <v>0</v>
      </c>
      <c r="F243" s="181">
        <f>G243+H243</f>
        <v>0</v>
      </c>
      <c r="G243" s="181"/>
      <c r="H243" s="181"/>
      <c r="I243" s="181"/>
      <c r="J243" s="181"/>
      <c r="K243" s="181">
        <v>0</v>
      </c>
      <c r="L243" s="181"/>
      <c r="M243" s="181">
        <f>N243+P243</f>
        <v>0</v>
      </c>
      <c r="N243" s="181"/>
      <c r="O243" s="181"/>
      <c r="P243" s="181"/>
      <c r="Q243" s="182"/>
      <c r="R243" s="182"/>
      <c r="S243" s="182"/>
      <c r="T243" s="182"/>
      <c r="U243" s="182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  <c r="GB243" s="148"/>
      <c r="GC243" s="148"/>
      <c r="GD243" s="148"/>
      <c r="GE243" s="148"/>
      <c r="GF243" s="148"/>
      <c r="GG243" s="148"/>
      <c r="GH243" s="148"/>
      <c r="GI243" s="148"/>
      <c r="GJ243" s="148"/>
      <c r="GK243" s="148"/>
      <c r="GL243" s="148"/>
      <c r="GM243" s="148"/>
      <c r="GN243" s="148"/>
      <c r="GO243" s="148"/>
      <c r="GP243" s="148"/>
      <c r="GQ243" s="148"/>
      <c r="GR243" s="148"/>
      <c r="GS243" s="148"/>
      <c r="GT243" s="148"/>
      <c r="GU243" s="148"/>
      <c r="GV243" s="148"/>
      <c r="GW243" s="148"/>
      <c r="GX243" s="148"/>
      <c r="GY243" s="148"/>
      <c r="GZ243" s="148"/>
      <c r="HA243" s="148"/>
      <c r="HB243" s="148"/>
      <c r="HC243" s="148"/>
      <c r="HD243" s="148"/>
      <c r="HE243" s="148"/>
      <c r="HF243" s="148"/>
      <c r="HG243" s="148"/>
      <c r="HH243" s="148"/>
      <c r="HI243" s="148"/>
      <c r="HJ243" s="148"/>
      <c r="HK243" s="148"/>
      <c r="HL243" s="148"/>
      <c r="HM243" s="148"/>
      <c r="HN243" s="148"/>
      <c r="HO243" s="148"/>
      <c r="HP243" s="148"/>
      <c r="HQ243" s="148"/>
      <c r="HR243" s="148"/>
      <c r="HS243" s="148"/>
      <c r="HT243" s="148"/>
      <c r="HU243" s="148"/>
      <c r="HV243" s="148"/>
      <c r="HW243" s="148"/>
      <c r="HX243" s="148"/>
      <c r="HY243" s="148"/>
      <c r="HZ243" s="148"/>
      <c r="IA243" s="148"/>
      <c r="IB243" s="148"/>
      <c r="IC243" s="148"/>
      <c r="ID243" s="148"/>
      <c r="IE243" s="148"/>
      <c r="IF243" s="148"/>
      <c r="IG243" s="148"/>
      <c r="IH243" s="148"/>
      <c r="II243" s="148"/>
      <c r="IJ243" s="148"/>
      <c r="IK243" s="148"/>
      <c r="IL243" s="148"/>
      <c r="IM243" s="148"/>
      <c r="IN243" s="148"/>
      <c r="IO243" s="148"/>
      <c r="IP243" s="148"/>
      <c r="IQ243" s="148"/>
      <c r="IR243" s="148"/>
      <c r="IS243" s="148"/>
      <c r="IT243" s="148"/>
      <c r="IU243" s="148"/>
      <c r="IV243" s="148"/>
    </row>
    <row r="244" spans="1:256" hidden="1">
      <c r="A244" s="843"/>
      <c r="B244" s="846"/>
      <c r="C244" s="178" t="s">
        <v>2</v>
      </c>
      <c r="D244" s="180">
        <f>D242+D243</f>
        <v>18408</v>
      </c>
      <c r="E244" s="181">
        <f t="shared" ref="E244:P244" si="102">E242+E243</f>
        <v>0</v>
      </c>
      <c r="F244" s="181">
        <f t="shared" si="102"/>
        <v>0</v>
      </c>
      <c r="G244" s="181">
        <f t="shared" si="102"/>
        <v>0</v>
      </c>
      <c r="H244" s="181">
        <f t="shared" si="102"/>
        <v>0</v>
      </c>
      <c r="I244" s="181">
        <f t="shared" si="102"/>
        <v>0</v>
      </c>
      <c r="J244" s="181">
        <f t="shared" si="102"/>
        <v>0</v>
      </c>
      <c r="K244" s="181">
        <f t="shared" si="102"/>
        <v>0</v>
      </c>
      <c r="L244" s="181">
        <f t="shared" si="102"/>
        <v>0</v>
      </c>
      <c r="M244" s="181">
        <f t="shared" si="102"/>
        <v>18408</v>
      </c>
      <c r="N244" s="181">
        <f t="shared" si="102"/>
        <v>18408</v>
      </c>
      <c r="O244" s="181">
        <f t="shared" si="102"/>
        <v>18408</v>
      </c>
      <c r="P244" s="181">
        <f t="shared" si="102"/>
        <v>0</v>
      </c>
      <c r="Q244" s="182"/>
      <c r="R244" s="182"/>
      <c r="S244" s="182"/>
      <c r="T244" s="182"/>
      <c r="U244" s="182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  <c r="GB244" s="148"/>
      <c r="GC244" s="148"/>
      <c r="GD244" s="148"/>
      <c r="GE244" s="148"/>
      <c r="GF244" s="148"/>
      <c r="GG244" s="148"/>
      <c r="GH244" s="148"/>
      <c r="GI244" s="148"/>
      <c r="GJ244" s="148"/>
      <c r="GK244" s="148"/>
      <c r="GL244" s="148"/>
      <c r="GM244" s="148"/>
      <c r="GN244" s="148"/>
      <c r="GO244" s="148"/>
      <c r="GP244" s="148"/>
      <c r="GQ244" s="148"/>
      <c r="GR244" s="148"/>
      <c r="GS244" s="148"/>
      <c r="GT244" s="148"/>
      <c r="GU244" s="148"/>
      <c r="GV244" s="148"/>
      <c r="GW244" s="148"/>
      <c r="GX244" s="148"/>
      <c r="GY244" s="148"/>
      <c r="GZ244" s="148"/>
      <c r="HA244" s="148"/>
      <c r="HB244" s="148"/>
      <c r="HC244" s="148"/>
      <c r="HD244" s="148"/>
      <c r="HE244" s="148"/>
      <c r="HF244" s="148"/>
      <c r="HG244" s="148"/>
      <c r="HH244" s="148"/>
      <c r="HI244" s="148"/>
      <c r="HJ244" s="148"/>
      <c r="HK244" s="148"/>
      <c r="HL244" s="148"/>
      <c r="HM244" s="148"/>
      <c r="HN244" s="148"/>
      <c r="HO244" s="148"/>
      <c r="HP244" s="148"/>
      <c r="HQ244" s="148"/>
      <c r="HR244" s="148"/>
      <c r="HS244" s="148"/>
      <c r="HT244" s="148"/>
      <c r="HU244" s="148"/>
      <c r="HV244" s="148"/>
      <c r="HW244" s="148"/>
      <c r="HX244" s="148"/>
      <c r="HY244" s="148"/>
      <c r="HZ244" s="148"/>
      <c r="IA244" s="148"/>
      <c r="IB244" s="148"/>
      <c r="IC244" s="148"/>
      <c r="ID244" s="148"/>
      <c r="IE244" s="148"/>
      <c r="IF244" s="148"/>
      <c r="IG244" s="148"/>
      <c r="IH244" s="148"/>
      <c r="II244" s="148"/>
      <c r="IJ244" s="148"/>
      <c r="IK244" s="148"/>
      <c r="IL244" s="148"/>
      <c r="IM244" s="148"/>
      <c r="IN244" s="148"/>
      <c r="IO244" s="148"/>
      <c r="IP244" s="148"/>
      <c r="IQ244" s="148"/>
      <c r="IR244" s="148"/>
      <c r="IS244" s="148"/>
      <c r="IT244" s="148"/>
      <c r="IU244" s="148"/>
      <c r="IV244" s="148"/>
    </row>
    <row r="245" spans="1:256" hidden="1">
      <c r="A245" s="841" t="s">
        <v>281</v>
      </c>
      <c r="B245" s="844" t="s">
        <v>282</v>
      </c>
      <c r="C245" s="178" t="s">
        <v>0</v>
      </c>
      <c r="D245" s="180">
        <f>E245+M245</f>
        <v>2800000</v>
      </c>
      <c r="E245" s="181">
        <f>F245+I245+J245+K245+L245</f>
        <v>0</v>
      </c>
      <c r="F245" s="181">
        <f>G245+H245</f>
        <v>0</v>
      </c>
      <c r="G245" s="181">
        <v>0</v>
      </c>
      <c r="H245" s="181">
        <v>0</v>
      </c>
      <c r="I245" s="181">
        <v>0</v>
      </c>
      <c r="J245" s="181">
        <v>0</v>
      </c>
      <c r="K245" s="181">
        <v>0</v>
      </c>
      <c r="L245" s="181">
        <v>0</v>
      </c>
      <c r="M245" s="181">
        <f>N245+P245</f>
        <v>2800000</v>
      </c>
      <c r="N245" s="181">
        <v>0</v>
      </c>
      <c r="O245" s="181">
        <v>0</v>
      </c>
      <c r="P245" s="181">
        <v>2800000</v>
      </c>
      <c r="Q245" s="182"/>
      <c r="R245" s="182"/>
      <c r="S245" s="182"/>
      <c r="T245" s="182"/>
      <c r="U245" s="182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  <c r="GB245" s="148"/>
      <c r="GC245" s="148"/>
      <c r="GD245" s="148"/>
      <c r="GE245" s="148"/>
      <c r="GF245" s="148"/>
      <c r="GG245" s="148"/>
      <c r="GH245" s="148"/>
      <c r="GI245" s="148"/>
      <c r="GJ245" s="148"/>
      <c r="GK245" s="148"/>
      <c r="GL245" s="148"/>
      <c r="GM245" s="148"/>
      <c r="GN245" s="148"/>
      <c r="GO245" s="148"/>
      <c r="GP245" s="148"/>
      <c r="GQ245" s="148"/>
      <c r="GR245" s="148"/>
      <c r="GS245" s="148"/>
      <c r="GT245" s="148"/>
      <c r="GU245" s="148"/>
      <c r="GV245" s="148"/>
      <c r="GW245" s="148"/>
      <c r="GX245" s="148"/>
      <c r="GY245" s="148"/>
      <c r="GZ245" s="148"/>
      <c r="HA245" s="148"/>
      <c r="HB245" s="148"/>
      <c r="HC245" s="148"/>
      <c r="HD245" s="148"/>
      <c r="HE245" s="148"/>
      <c r="HF245" s="148"/>
      <c r="HG245" s="148"/>
      <c r="HH245" s="148"/>
      <c r="HI245" s="148"/>
      <c r="HJ245" s="148"/>
      <c r="HK245" s="148"/>
      <c r="HL245" s="148"/>
      <c r="HM245" s="148"/>
      <c r="HN245" s="148"/>
      <c r="HO245" s="148"/>
      <c r="HP245" s="148"/>
      <c r="HQ245" s="148"/>
      <c r="HR245" s="148"/>
      <c r="HS245" s="148"/>
      <c r="HT245" s="148"/>
      <c r="HU245" s="148"/>
      <c r="HV245" s="148"/>
      <c r="HW245" s="148"/>
      <c r="HX245" s="148"/>
      <c r="HY245" s="148"/>
      <c r="HZ245" s="148"/>
      <c r="IA245" s="148"/>
      <c r="IB245" s="148"/>
      <c r="IC245" s="148"/>
      <c r="ID245" s="148"/>
      <c r="IE245" s="148"/>
      <c r="IF245" s="148"/>
      <c r="IG245" s="148"/>
      <c r="IH245" s="148"/>
      <c r="II245" s="148"/>
      <c r="IJ245" s="148"/>
      <c r="IK245" s="148"/>
      <c r="IL245" s="148"/>
      <c r="IM245" s="148"/>
      <c r="IN245" s="148"/>
      <c r="IO245" s="148"/>
      <c r="IP245" s="148"/>
      <c r="IQ245" s="148"/>
      <c r="IR245" s="148"/>
      <c r="IS245" s="148"/>
      <c r="IT245" s="148"/>
      <c r="IU245" s="148"/>
      <c r="IV245" s="148"/>
    </row>
    <row r="246" spans="1:256" hidden="1">
      <c r="A246" s="842"/>
      <c r="B246" s="845"/>
      <c r="C246" s="178" t="s">
        <v>1</v>
      </c>
      <c r="D246" s="180">
        <f>E246+M246</f>
        <v>0</v>
      </c>
      <c r="E246" s="181">
        <f>F246+I246+J246+K246+L246</f>
        <v>0</v>
      </c>
      <c r="F246" s="181">
        <f>G246+H246</f>
        <v>0</v>
      </c>
      <c r="G246" s="181"/>
      <c r="H246" s="181"/>
      <c r="I246" s="181"/>
      <c r="J246" s="181"/>
      <c r="K246" s="181">
        <v>0</v>
      </c>
      <c r="L246" s="181"/>
      <c r="M246" s="181">
        <f>N246+P246</f>
        <v>0</v>
      </c>
      <c r="N246" s="181"/>
      <c r="O246" s="181"/>
      <c r="P246" s="181"/>
      <c r="Q246" s="182"/>
      <c r="R246" s="182"/>
      <c r="S246" s="182"/>
      <c r="T246" s="182"/>
      <c r="U246" s="182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8"/>
      <c r="GF246" s="148"/>
      <c r="GG246" s="148"/>
      <c r="GH246" s="148"/>
      <c r="GI246" s="148"/>
      <c r="GJ246" s="148"/>
      <c r="GK246" s="148"/>
      <c r="GL246" s="148"/>
      <c r="GM246" s="148"/>
      <c r="GN246" s="148"/>
      <c r="GO246" s="148"/>
      <c r="GP246" s="148"/>
      <c r="GQ246" s="148"/>
      <c r="GR246" s="148"/>
      <c r="GS246" s="148"/>
      <c r="GT246" s="148"/>
      <c r="GU246" s="148"/>
      <c r="GV246" s="148"/>
      <c r="GW246" s="148"/>
      <c r="GX246" s="148"/>
      <c r="GY246" s="148"/>
      <c r="GZ246" s="148"/>
      <c r="HA246" s="148"/>
      <c r="HB246" s="148"/>
      <c r="HC246" s="148"/>
      <c r="HD246" s="148"/>
      <c r="HE246" s="148"/>
      <c r="HF246" s="148"/>
      <c r="HG246" s="148"/>
      <c r="HH246" s="148"/>
      <c r="HI246" s="148"/>
      <c r="HJ246" s="148"/>
      <c r="HK246" s="148"/>
      <c r="HL246" s="148"/>
      <c r="HM246" s="148"/>
      <c r="HN246" s="148"/>
      <c r="HO246" s="148"/>
      <c r="HP246" s="148"/>
      <c r="HQ246" s="148"/>
      <c r="HR246" s="148"/>
      <c r="HS246" s="148"/>
      <c r="HT246" s="148"/>
      <c r="HU246" s="148"/>
      <c r="HV246" s="148"/>
      <c r="HW246" s="148"/>
      <c r="HX246" s="148"/>
      <c r="HY246" s="148"/>
      <c r="HZ246" s="148"/>
      <c r="IA246" s="148"/>
      <c r="IB246" s="148"/>
      <c r="IC246" s="148"/>
      <c r="ID246" s="148"/>
      <c r="IE246" s="148"/>
      <c r="IF246" s="148"/>
      <c r="IG246" s="148"/>
      <c r="IH246" s="148"/>
      <c r="II246" s="148"/>
      <c r="IJ246" s="148"/>
      <c r="IK246" s="148"/>
      <c r="IL246" s="148"/>
      <c r="IM246" s="148"/>
      <c r="IN246" s="148"/>
      <c r="IO246" s="148"/>
      <c r="IP246" s="148"/>
      <c r="IQ246" s="148"/>
      <c r="IR246" s="148"/>
      <c r="IS246" s="148"/>
      <c r="IT246" s="148"/>
      <c r="IU246" s="148"/>
      <c r="IV246" s="148"/>
    </row>
    <row r="247" spans="1:256" hidden="1">
      <c r="A247" s="843"/>
      <c r="B247" s="846"/>
      <c r="C247" s="178" t="s">
        <v>2</v>
      </c>
      <c r="D247" s="180">
        <f>D245+D246</f>
        <v>2800000</v>
      </c>
      <c r="E247" s="181">
        <f t="shared" ref="E247:P247" si="103">E245+E246</f>
        <v>0</v>
      </c>
      <c r="F247" s="181">
        <f t="shared" si="103"/>
        <v>0</v>
      </c>
      <c r="G247" s="181">
        <f t="shared" si="103"/>
        <v>0</v>
      </c>
      <c r="H247" s="181">
        <f t="shared" si="103"/>
        <v>0</v>
      </c>
      <c r="I247" s="181">
        <f t="shared" si="103"/>
        <v>0</v>
      </c>
      <c r="J247" s="181">
        <f t="shared" si="103"/>
        <v>0</v>
      </c>
      <c r="K247" s="181">
        <f t="shared" si="103"/>
        <v>0</v>
      </c>
      <c r="L247" s="181">
        <f t="shared" si="103"/>
        <v>0</v>
      </c>
      <c r="M247" s="181">
        <f t="shared" si="103"/>
        <v>2800000</v>
      </c>
      <c r="N247" s="181">
        <f t="shared" si="103"/>
        <v>0</v>
      </c>
      <c r="O247" s="181">
        <f t="shared" si="103"/>
        <v>0</v>
      </c>
      <c r="P247" s="181">
        <f t="shared" si="103"/>
        <v>2800000</v>
      </c>
      <c r="Q247" s="182"/>
      <c r="R247" s="182"/>
      <c r="S247" s="182"/>
      <c r="T247" s="182"/>
      <c r="U247" s="182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  <c r="GB247" s="148"/>
      <c r="GC247" s="148"/>
      <c r="GD247" s="148"/>
      <c r="GE247" s="148"/>
      <c r="GF247" s="148"/>
      <c r="GG247" s="148"/>
      <c r="GH247" s="148"/>
      <c r="GI247" s="148"/>
      <c r="GJ247" s="148"/>
      <c r="GK247" s="148"/>
      <c r="GL247" s="148"/>
      <c r="GM247" s="148"/>
      <c r="GN247" s="148"/>
      <c r="GO247" s="148"/>
      <c r="GP247" s="148"/>
      <c r="GQ247" s="148"/>
      <c r="GR247" s="148"/>
      <c r="GS247" s="148"/>
      <c r="GT247" s="148"/>
      <c r="GU247" s="148"/>
      <c r="GV247" s="148"/>
      <c r="GW247" s="148"/>
      <c r="GX247" s="148"/>
      <c r="GY247" s="148"/>
      <c r="GZ247" s="148"/>
      <c r="HA247" s="148"/>
      <c r="HB247" s="148"/>
      <c r="HC247" s="148"/>
      <c r="HD247" s="148"/>
      <c r="HE247" s="148"/>
      <c r="HF247" s="148"/>
      <c r="HG247" s="148"/>
      <c r="HH247" s="148"/>
      <c r="HI247" s="148"/>
      <c r="HJ247" s="148"/>
      <c r="HK247" s="148"/>
      <c r="HL247" s="148"/>
      <c r="HM247" s="148"/>
      <c r="HN247" s="148"/>
      <c r="HO247" s="148"/>
      <c r="HP247" s="148"/>
      <c r="HQ247" s="148"/>
      <c r="HR247" s="148"/>
      <c r="HS247" s="148"/>
      <c r="HT247" s="148"/>
      <c r="HU247" s="148"/>
      <c r="HV247" s="148"/>
      <c r="HW247" s="148"/>
      <c r="HX247" s="148"/>
      <c r="HY247" s="148"/>
      <c r="HZ247" s="148"/>
      <c r="IA247" s="148"/>
      <c r="IB247" s="148"/>
      <c r="IC247" s="148"/>
      <c r="ID247" s="148"/>
      <c r="IE247" s="148"/>
      <c r="IF247" s="148"/>
      <c r="IG247" s="148"/>
      <c r="IH247" s="148"/>
      <c r="II247" s="148"/>
      <c r="IJ247" s="148"/>
      <c r="IK247" s="148"/>
      <c r="IL247" s="148"/>
      <c r="IM247" s="148"/>
      <c r="IN247" s="148"/>
      <c r="IO247" s="148"/>
      <c r="IP247" s="148"/>
      <c r="IQ247" s="148"/>
      <c r="IR247" s="148"/>
      <c r="IS247" s="148"/>
      <c r="IT247" s="148"/>
      <c r="IU247" s="148"/>
      <c r="IV247" s="148"/>
    </row>
    <row r="248" spans="1:256">
      <c r="A248" s="841" t="s">
        <v>283</v>
      </c>
      <c r="B248" s="844" t="s">
        <v>284</v>
      </c>
      <c r="C248" s="178" t="s">
        <v>0</v>
      </c>
      <c r="D248" s="180">
        <f>E248+M248</f>
        <v>0</v>
      </c>
      <c r="E248" s="181">
        <f>F248+I248+J248+K248+L248</f>
        <v>0</v>
      </c>
      <c r="F248" s="181">
        <f>G248+H248</f>
        <v>0</v>
      </c>
      <c r="G248" s="181">
        <v>0</v>
      </c>
      <c r="H248" s="181">
        <v>0</v>
      </c>
      <c r="I248" s="181">
        <v>0</v>
      </c>
      <c r="J248" s="181">
        <v>0</v>
      </c>
      <c r="K248" s="181">
        <v>0</v>
      </c>
      <c r="L248" s="181">
        <v>0</v>
      </c>
      <c r="M248" s="181">
        <f>N248+P248</f>
        <v>0</v>
      </c>
      <c r="N248" s="181">
        <v>0</v>
      </c>
      <c r="O248" s="181">
        <v>0</v>
      </c>
      <c r="P248" s="181">
        <v>0</v>
      </c>
      <c r="Q248" s="182"/>
      <c r="R248" s="182"/>
      <c r="S248" s="182"/>
      <c r="T248" s="182"/>
      <c r="U248" s="182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  <c r="GR248" s="148"/>
      <c r="GS248" s="148"/>
      <c r="GT248" s="148"/>
      <c r="GU248" s="148"/>
      <c r="GV248" s="148"/>
      <c r="GW248" s="148"/>
      <c r="GX248" s="148"/>
      <c r="GY248" s="148"/>
      <c r="GZ248" s="148"/>
      <c r="HA248" s="148"/>
      <c r="HB248" s="148"/>
      <c r="HC248" s="148"/>
      <c r="HD248" s="148"/>
      <c r="HE248" s="148"/>
      <c r="HF248" s="148"/>
      <c r="HG248" s="148"/>
      <c r="HH248" s="148"/>
      <c r="HI248" s="148"/>
      <c r="HJ248" s="148"/>
      <c r="HK248" s="148"/>
      <c r="HL248" s="148"/>
      <c r="HM248" s="148"/>
      <c r="HN248" s="148"/>
      <c r="HO248" s="148"/>
      <c r="HP248" s="148"/>
      <c r="HQ248" s="148"/>
      <c r="HR248" s="148"/>
      <c r="HS248" s="148"/>
      <c r="HT248" s="148"/>
      <c r="HU248" s="148"/>
      <c r="HV248" s="148"/>
      <c r="HW248" s="148"/>
      <c r="HX248" s="148"/>
      <c r="HY248" s="148"/>
      <c r="HZ248" s="148"/>
      <c r="IA248" s="148"/>
      <c r="IB248" s="148"/>
      <c r="IC248" s="148"/>
      <c r="ID248" s="148"/>
      <c r="IE248" s="148"/>
      <c r="IF248" s="148"/>
      <c r="IG248" s="148"/>
      <c r="IH248" s="148"/>
      <c r="II248" s="148"/>
      <c r="IJ248" s="148"/>
      <c r="IK248" s="148"/>
      <c r="IL248" s="148"/>
      <c r="IM248" s="148"/>
      <c r="IN248" s="148"/>
      <c r="IO248" s="148"/>
      <c r="IP248" s="148"/>
      <c r="IQ248" s="148"/>
      <c r="IR248" s="148"/>
      <c r="IS248" s="148"/>
      <c r="IT248" s="148"/>
      <c r="IU248" s="148"/>
      <c r="IV248" s="148"/>
    </row>
    <row r="249" spans="1:256">
      <c r="A249" s="842"/>
      <c r="B249" s="845"/>
      <c r="C249" s="178" t="s">
        <v>1</v>
      </c>
      <c r="D249" s="180">
        <f>E249+M249</f>
        <v>542000</v>
      </c>
      <c r="E249" s="181">
        <f>F249+I249+J249+K249+L249</f>
        <v>0</v>
      </c>
      <c r="F249" s="181">
        <f>G249+H249</f>
        <v>0</v>
      </c>
      <c r="G249" s="181"/>
      <c r="H249" s="181"/>
      <c r="I249" s="181"/>
      <c r="J249" s="181"/>
      <c r="K249" s="181">
        <v>0</v>
      </c>
      <c r="L249" s="181"/>
      <c r="M249" s="181">
        <f>N249+P249</f>
        <v>542000</v>
      </c>
      <c r="N249" s="181">
        <v>542000</v>
      </c>
      <c r="O249" s="181"/>
      <c r="P249" s="181"/>
      <c r="Q249" s="182"/>
      <c r="R249" s="182"/>
      <c r="S249" s="182"/>
      <c r="T249" s="182"/>
      <c r="U249" s="182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  <c r="GB249" s="148"/>
      <c r="GC249" s="148"/>
      <c r="GD249" s="148"/>
      <c r="GE249" s="148"/>
      <c r="GF249" s="148"/>
      <c r="GG249" s="148"/>
      <c r="GH249" s="148"/>
      <c r="GI249" s="148"/>
      <c r="GJ249" s="148"/>
      <c r="GK249" s="148"/>
      <c r="GL249" s="148"/>
      <c r="GM249" s="148"/>
      <c r="GN249" s="148"/>
      <c r="GO249" s="148"/>
      <c r="GP249" s="148"/>
      <c r="GQ249" s="148"/>
      <c r="GR249" s="148"/>
      <c r="GS249" s="148"/>
      <c r="GT249" s="148"/>
      <c r="GU249" s="148"/>
      <c r="GV249" s="148"/>
      <c r="GW249" s="148"/>
      <c r="GX249" s="148"/>
      <c r="GY249" s="148"/>
      <c r="GZ249" s="148"/>
      <c r="HA249" s="148"/>
      <c r="HB249" s="148"/>
      <c r="HC249" s="148"/>
      <c r="HD249" s="148"/>
      <c r="HE249" s="148"/>
      <c r="HF249" s="148"/>
      <c r="HG249" s="148"/>
      <c r="HH249" s="148"/>
      <c r="HI249" s="148"/>
      <c r="HJ249" s="148"/>
      <c r="HK249" s="148"/>
      <c r="HL249" s="148"/>
      <c r="HM249" s="148"/>
      <c r="HN249" s="148"/>
      <c r="HO249" s="148"/>
      <c r="HP249" s="148"/>
      <c r="HQ249" s="148"/>
      <c r="HR249" s="148"/>
      <c r="HS249" s="148"/>
      <c r="HT249" s="148"/>
      <c r="HU249" s="148"/>
      <c r="HV249" s="148"/>
      <c r="HW249" s="148"/>
      <c r="HX249" s="148"/>
      <c r="HY249" s="148"/>
      <c r="HZ249" s="148"/>
      <c r="IA249" s="148"/>
      <c r="IB249" s="148"/>
      <c r="IC249" s="148"/>
      <c r="ID249" s="148"/>
      <c r="IE249" s="148"/>
      <c r="IF249" s="148"/>
      <c r="IG249" s="148"/>
      <c r="IH249" s="148"/>
      <c r="II249" s="148"/>
      <c r="IJ249" s="148"/>
      <c r="IK249" s="148"/>
      <c r="IL249" s="148"/>
      <c r="IM249" s="148"/>
      <c r="IN249" s="148"/>
      <c r="IO249" s="148"/>
      <c r="IP249" s="148"/>
      <c r="IQ249" s="148"/>
      <c r="IR249" s="148"/>
      <c r="IS249" s="148"/>
      <c r="IT249" s="148"/>
      <c r="IU249" s="148"/>
      <c r="IV249" s="148"/>
    </row>
    <row r="250" spans="1:256">
      <c r="A250" s="843"/>
      <c r="B250" s="846"/>
      <c r="C250" s="178" t="s">
        <v>2</v>
      </c>
      <c r="D250" s="180">
        <f>D248+D249</f>
        <v>542000</v>
      </c>
      <c r="E250" s="181">
        <f t="shared" ref="E250:P250" si="104">E248+E249</f>
        <v>0</v>
      </c>
      <c r="F250" s="181">
        <f t="shared" si="104"/>
        <v>0</v>
      </c>
      <c r="G250" s="181">
        <f t="shared" si="104"/>
        <v>0</v>
      </c>
      <c r="H250" s="181">
        <f t="shared" si="104"/>
        <v>0</v>
      </c>
      <c r="I250" s="181">
        <f t="shared" si="104"/>
        <v>0</v>
      </c>
      <c r="J250" s="181">
        <f t="shared" si="104"/>
        <v>0</v>
      </c>
      <c r="K250" s="181">
        <f t="shared" si="104"/>
        <v>0</v>
      </c>
      <c r="L250" s="181">
        <f t="shared" si="104"/>
        <v>0</v>
      </c>
      <c r="M250" s="181">
        <f t="shared" si="104"/>
        <v>542000</v>
      </c>
      <c r="N250" s="181">
        <f t="shared" si="104"/>
        <v>542000</v>
      </c>
      <c r="O250" s="181">
        <f t="shared" si="104"/>
        <v>0</v>
      </c>
      <c r="P250" s="181">
        <f t="shared" si="104"/>
        <v>0</v>
      </c>
      <c r="Q250" s="182"/>
      <c r="R250" s="182"/>
      <c r="S250" s="182"/>
      <c r="T250" s="182"/>
      <c r="U250" s="182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  <c r="GB250" s="148"/>
      <c r="GC250" s="148"/>
      <c r="GD250" s="148"/>
      <c r="GE250" s="148"/>
      <c r="GF250" s="148"/>
      <c r="GG250" s="148"/>
      <c r="GH250" s="148"/>
      <c r="GI250" s="148"/>
      <c r="GJ250" s="148"/>
      <c r="GK250" s="148"/>
      <c r="GL250" s="148"/>
      <c r="GM250" s="148"/>
      <c r="GN250" s="148"/>
      <c r="GO250" s="148"/>
      <c r="GP250" s="148"/>
      <c r="GQ250" s="148"/>
      <c r="GR250" s="148"/>
      <c r="GS250" s="148"/>
      <c r="GT250" s="148"/>
      <c r="GU250" s="148"/>
      <c r="GV250" s="148"/>
      <c r="GW250" s="148"/>
      <c r="GX250" s="148"/>
      <c r="GY250" s="148"/>
      <c r="GZ250" s="148"/>
      <c r="HA250" s="148"/>
      <c r="HB250" s="148"/>
      <c r="HC250" s="148"/>
      <c r="HD250" s="148"/>
      <c r="HE250" s="148"/>
      <c r="HF250" s="148"/>
      <c r="HG250" s="148"/>
      <c r="HH250" s="148"/>
      <c r="HI250" s="148"/>
      <c r="HJ250" s="148"/>
      <c r="HK250" s="148"/>
      <c r="HL250" s="148"/>
      <c r="HM250" s="148"/>
      <c r="HN250" s="148"/>
      <c r="HO250" s="148"/>
      <c r="HP250" s="148"/>
      <c r="HQ250" s="148"/>
      <c r="HR250" s="148"/>
      <c r="HS250" s="148"/>
      <c r="HT250" s="148"/>
      <c r="HU250" s="148"/>
      <c r="HV250" s="148"/>
      <c r="HW250" s="148"/>
      <c r="HX250" s="148"/>
      <c r="HY250" s="148"/>
      <c r="HZ250" s="148"/>
      <c r="IA250" s="148"/>
      <c r="IB250" s="148"/>
      <c r="IC250" s="148"/>
      <c r="ID250" s="148"/>
      <c r="IE250" s="148"/>
      <c r="IF250" s="148"/>
      <c r="IG250" s="148"/>
      <c r="IH250" s="148"/>
      <c r="II250" s="148"/>
      <c r="IJ250" s="148"/>
      <c r="IK250" s="148"/>
      <c r="IL250" s="148"/>
      <c r="IM250" s="148"/>
      <c r="IN250" s="148"/>
      <c r="IO250" s="148"/>
      <c r="IP250" s="148"/>
      <c r="IQ250" s="148"/>
      <c r="IR250" s="148"/>
      <c r="IS250" s="148"/>
      <c r="IT250" s="148"/>
      <c r="IU250" s="148"/>
      <c r="IV250" s="148"/>
    </row>
    <row r="251" spans="1:256" hidden="1">
      <c r="A251" s="841">
        <v>85148</v>
      </c>
      <c r="B251" s="844" t="s">
        <v>285</v>
      </c>
      <c r="C251" s="178" t="s">
        <v>0</v>
      </c>
      <c r="D251" s="180">
        <f>E251+M251</f>
        <v>6200000</v>
      </c>
      <c r="E251" s="181">
        <f>F251+I251+J251+K251+L251</f>
        <v>6200000</v>
      </c>
      <c r="F251" s="181">
        <f>G251+H251</f>
        <v>6200000</v>
      </c>
      <c r="G251" s="181">
        <v>0</v>
      </c>
      <c r="H251" s="181">
        <v>6200000</v>
      </c>
      <c r="I251" s="181">
        <v>0</v>
      </c>
      <c r="J251" s="181">
        <v>0</v>
      </c>
      <c r="K251" s="181">
        <v>0</v>
      </c>
      <c r="L251" s="181">
        <v>0</v>
      </c>
      <c r="M251" s="181">
        <f>N251+P251</f>
        <v>0</v>
      </c>
      <c r="N251" s="181">
        <v>0</v>
      </c>
      <c r="O251" s="181">
        <v>0</v>
      </c>
      <c r="P251" s="181">
        <v>0</v>
      </c>
      <c r="Q251" s="182"/>
      <c r="R251" s="182"/>
      <c r="S251" s="182"/>
      <c r="T251" s="182"/>
      <c r="U251" s="182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  <c r="GB251" s="148"/>
      <c r="GC251" s="148"/>
      <c r="GD251" s="148"/>
      <c r="GE251" s="148"/>
      <c r="GF251" s="148"/>
      <c r="GG251" s="148"/>
      <c r="GH251" s="148"/>
      <c r="GI251" s="148"/>
      <c r="GJ251" s="148"/>
      <c r="GK251" s="148"/>
      <c r="GL251" s="148"/>
      <c r="GM251" s="148"/>
      <c r="GN251" s="148"/>
      <c r="GO251" s="148"/>
      <c r="GP251" s="148"/>
      <c r="GQ251" s="148"/>
      <c r="GR251" s="148"/>
      <c r="GS251" s="148"/>
      <c r="GT251" s="148"/>
      <c r="GU251" s="148"/>
      <c r="GV251" s="148"/>
      <c r="GW251" s="148"/>
      <c r="GX251" s="148"/>
      <c r="GY251" s="148"/>
      <c r="GZ251" s="148"/>
      <c r="HA251" s="148"/>
      <c r="HB251" s="148"/>
      <c r="HC251" s="148"/>
      <c r="HD251" s="148"/>
      <c r="HE251" s="148"/>
      <c r="HF251" s="148"/>
      <c r="HG251" s="148"/>
      <c r="HH251" s="148"/>
      <c r="HI251" s="148"/>
      <c r="HJ251" s="148"/>
      <c r="HK251" s="148"/>
      <c r="HL251" s="148"/>
      <c r="HM251" s="148"/>
      <c r="HN251" s="148"/>
      <c r="HO251" s="148"/>
      <c r="HP251" s="148"/>
      <c r="HQ251" s="148"/>
      <c r="HR251" s="148"/>
      <c r="HS251" s="148"/>
      <c r="HT251" s="148"/>
      <c r="HU251" s="148"/>
      <c r="HV251" s="148"/>
      <c r="HW251" s="148"/>
      <c r="HX251" s="148"/>
      <c r="HY251" s="148"/>
      <c r="HZ251" s="148"/>
      <c r="IA251" s="148"/>
      <c r="IB251" s="148"/>
      <c r="IC251" s="148"/>
      <c r="ID251" s="148"/>
      <c r="IE251" s="148"/>
      <c r="IF251" s="148"/>
      <c r="IG251" s="148"/>
      <c r="IH251" s="148"/>
      <c r="II251" s="148"/>
      <c r="IJ251" s="148"/>
      <c r="IK251" s="148"/>
      <c r="IL251" s="148"/>
      <c r="IM251" s="148"/>
      <c r="IN251" s="148"/>
      <c r="IO251" s="148"/>
      <c r="IP251" s="148"/>
      <c r="IQ251" s="148"/>
      <c r="IR251" s="148"/>
      <c r="IS251" s="148"/>
      <c r="IT251" s="148"/>
      <c r="IU251" s="148"/>
      <c r="IV251" s="148"/>
    </row>
    <row r="252" spans="1:256" hidden="1">
      <c r="A252" s="842"/>
      <c r="B252" s="845"/>
      <c r="C252" s="178" t="s">
        <v>1</v>
      </c>
      <c r="D252" s="180">
        <f>E252+M252</f>
        <v>0</v>
      </c>
      <c r="E252" s="181">
        <f>F252+I252+J252+K252+L252</f>
        <v>0</v>
      </c>
      <c r="F252" s="181">
        <f>G252+H252</f>
        <v>0</v>
      </c>
      <c r="G252" s="181"/>
      <c r="H252" s="181"/>
      <c r="I252" s="181"/>
      <c r="J252" s="181"/>
      <c r="K252" s="181"/>
      <c r="L252" s="181"/>
      <c r="M252" s="181">
        <f>N252+P252</f>
        <v>0</v>
      </c>
      <c r="N252" s="181"/>
      <c r="O252" s="181"/>
      <c r="P252" s="181"/>
      <c r="Q252" s="182"/>
      <c r="R252" s="182"/>
      <c r="S252" s="182"/>
      <c r="T252" s="182"/>
      <c r="U252" s="182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  <c r="GB252" s="148"/>
      <c r="GC252" s="148"/>
      <c r="GD252" s="148"/>
      <c r="GE252" s="148"/>
      <c r="GF252" s="148"/>
      <c r="GG252" s="148"/>
      <c r="GH252" s="148"/>
      <c r="GI252" s="148"/>
      <c r="GJ252" s="148"/>
      <c r="GK252" s="148"/>
      <c r="GL252" s="148"/>
      <c r="GM252" s="148"/>
      <c r="GN252" s="148"/>
      <c r="GO252" s="148"/>
      <c r="GP252" s="148"/>
      <c r="GQ252" s="148"/>
      <c r="GR252" s="148"/>
      <c r="GS252" s="148"/>
      <c r="GT252" s="148"/>
      <c r="GU252" s="148"/>
      <c r="GV252" s="148"/>
      <c r="GW252" s="148"/>
      <c r="GX252" s="148"/>
      <c r="GY252" s="148"/>
      <c r="GZ252" s="148"/>
      <c r="HA252" s="148"/>
      <c r="HB252" s="148"/>
      <c r="HC252" s="148"/>
      <c r="HD252" s="148"/>
      <c r="HE252" s="148"/>
      <c r="HF252" s="148"/>
      <c r="HG252" s="148"/>
      <c r="HH252" s="148"/>
      <c r="HI252" s="148"/>
      <c r="HJ252" s="148"/>
      <c r="HK252" s="148"/>
      <c r="HL252" s="148"/>
      <c r="HM252" s="148"/>
      <c r="HN252" s="148"/>
      <c r="HO252" s="148"/>
      <c r="HP252" s="148"/>
      <c r="HQ252" s="148"/>
      <c r="HR252" s="148"/>
      <c r="HS252" s="148"/>
      <c r="HT252" s="148"/>
      <c r="HU252" s="148"/>
      <c r="HV252" s="148"/>
      <c r="HW252" s="148"/>
      <c r="HX252" s="148"/>
      <c r="HY252" s="148"/>
      <c r="HZ252" s="148"/>
      <c r="IA252" s="148"/>
      <c r="IB252" s="148"/>
      <c r="IC252" s="148"/>
      <c r="ID252" s="148"/>
      <c r="IE252" s="148"/>
      <c r="IF252" s="148"/>
      <c r="IG252" s="148"/>
      <c r="IH252" s="148"/>
      <c r="II252" s="148"/>
      <c r="IJ252" s="148"/>
      <c r="IK252" s="148"/>
      <c r="IL252" s="148"/>
      <c r="IM252" s="148"/>
      <c r="IN252" s="148"/>
      <c r="IO252" s="148"/>
      <c r="IP252" s="148"/>
      <c r="IQ252" s="148"/>
      <c r="IR252" s="148"/>
      <c r="IS252" s="148"/>
      <c r="IT252" s="148"/>
      <c r="IU252" s="148"/>
      <c r="IV252" s="148"/>
    </row>
    <row r="253" spans="1:256" hidden="1">
      <c r="A253" s="843"/>
      <c r="B253" s="846"/>
      <c r="C253" s="178" t="s">
        <v>2</v>
      </c>
      <c r="D253" s="180">
        <f>D251+D252</f>
        <v>6200000</v>
      </c>
      <c r="E253" s="181">
        <f t="shared" ref="E253:P253" si="105">E251+E252</f>
        <v>6200000</v>
      </c>
      <c r="F253" s="181">
        <f t="shared" si="105"/>
        <v>6200000</v>
      </c>
      <c r="G253" s="181">
        <f t="shared" si="105"/>
        <v>0</v>
      </c>
      <c r="H253" s="181">
        <f t="shared" si="105"/>
        <v>6200000</v>
      </c>
      <c r="I253" s="181">
        <f t="shared" si="105"/>
        <v>0</v>
      </c>
      <c r="J253" s="181">
        <f t="shared" si="105"/>
        <v>0</v>
      </c>
      <c r="K253" s="181">
        <f t="shared" si="105"/>
        <v>0</v>
      </c>
      <c r="L253" s="181">
        <f t="shared" si="105"/>
        <v>0</v>
      </c>
      <c r="M253" s="181">
        <f t="shared" si="105"/>
        <v>0</v>
      </c>
      <c r="N253" s="181">
        <f t="shared" si="105"/>
        <v>0</v>
      </c>
      <c r="O253" s="181">
        <f t="shared" si="105"/>
        <v>0</v>
      </c>
      <c r="P253" s="181">
        <f t="shared" si="105"/>
        <v>0</v>
      </c>
      <c r="Q253" s="182"/>
      <c r="R253" s="182"/>
      <c r="S253" s="182"/>
      <c r="T253" s="182"/>
      <c r="U253" s="182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  <c r="GR253" s="148"/>
      <c r="GS253" s="148"/>
      <c r="GT253" s="148"/>
      <c r="GU253" s="148"/>
      <c r="GV253" s="148"/>
      <c r="GW253" s="148"/>
      <c r="GX253" s="148"/>
      <c r="GY253" s="148"/>
      <c r="GZ253" s="148"/>
      <c r="HA253" s="148"/>
      <c r="HB253" s="148"/>
      <c r="HC253" s="148"/>
      <c r="HD253" s="148"/>
      <c r="HE253" s="148"/>
      <c r="HF253" s="148"/>
      <c r="HG253" s="148"/>
      <c r="HH253" s="148"/>
      <c r="HI253" s="148"/>
      <c r="HJ253" s="148"/>
      <c r="HK253" s="148"/>
      <c r="HL253" s="148"/>
      <c r="HM253" s="148"/>
      <c r="HN253" s="148"/>
      <c r="HO253" s="148"/>
      <c r="HP253" s="148"/>
      <c r="HQ253" s="148"/>
      <c r="HR253" s="148"/>
      <c r="HS253" s="148"/>
      <c r="HT253" s="148"/>
      <c r="HU253" s="148"/>
      <c r="HV253" s="148"/>
      <c r="HW253" s="148"/>
      <c r="HX253" s="148"/>
      <c r="HY253" s="148"/>
      <c r="HZ253" s="148"/>
      <c r="IA253" s="148"/>
      <c r="IB253" s="148"/>
      <c r="IC253" s="148"/>
      <c r="ID253" s="148"/>
      <c r="IE253" s="148"/>
      <c r="IF253" s="148"/>
      <c r="IG253" s="148"/>
      <c r="IH253" s="148"/>
      <c r="II253" s="148"/>
      <c r="IJ253" s="148"/>
      <c r="IK253" s="148"/>
      <c r="IL253" s="148"/>
      <c r="IM253" s="148"/>
      <c r="IN253" s="148"/>
      <c r="IO253" s="148"/>
      <c r="IP253" s="148"/>
      <c r="IQ253" s="148"/>
      <c r="IR253" s="148"/>
      <c r="IS253" s="148"/>
      <c r="IT253" s="148"/>
      <c r="IU253" s="148"/>
      <c r="IV253" s="148"/>
    </row>
    <row r="254" spans="1:256">
      <c r="A254" s="841">
        <v>85149</v>
      </c>
      <c r="B254" s="844" t="s">
        <v>286</v>
      </c>
      <c r="C254" s="178" t="s">
        <v>0</v>
      </c>
      <c r="D254" s="180">
        <f>E254+M254</f>
        <v>2457066</v>
      </c>
      <c r="E254" s="181">
        <f>F254+I254+J254+K254+L254</f>
        <v>2457066</v>
      </c>
      <c r="F254" s="181">
        <f>G254+H254</f>
        <v>0</v>
      </c>
      <c r="G254" s="181">
        <v>0</v>
      </c>
      <c r="H254" s="181">
        <v>0</v>
      </c>
      <c r="I254" s="181">
        <v>1777975</v>
      </c>
      <c r="J254" s="181">
        <v>0</v>
      </c>
      <c r="K254" s="181">
        <v>679091</v>
      </c>
      <c r="L254" s="181">
        <v>0</v>
      </c>
      <c r="M254" s="181">
        <f>N254+P254</f>
        <v>0</v>
      </c>
      <c r="N254" s="181">
        <v>0</v>
      </c>
      <c r="O254" s="181">
        <v>0</v>
      </c>
      <c r="P254" s="181">
        <v>0</v>
      </c>
      <c r="Q254" s="182"/>
      <c r="R254" s="182"/>
      <c r="S254" s="182"/>
      <c r="T254" s="182"/>
      <c r="U254" s="182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  <c r="GB254" s="148"/>
      <c r="GC254" s="148"/>
      <c r="GD254" s="148"/>
      <c r="GE254" s="148"/>
      <c r="GF254" s="148"/>
      <c r="GG254" s="148"/>
      <c r="GH254" s="148"/>
      <c r="GI254" s="148"/>
      <c r="GJ254" s="148"/>
      <c r="GK254" s="148"/>
      <c r="GL254" s="148"/>
      <c r="GM254" s="148"/>
      <c r="GN254" s="148"/>
      <c r="GO254" s="148"/>
      <c r="GP254" s="148"/>
      <c r="GQ254" s="148"/>
      <c r="GR254" s="148"/>
      <c r="GS254" s="148"/>
      <c r="GT254" s="148"/>
      <c r="GU254" s="148"/>
      <c r="GV254" s="148"/>
      <c r="GW254" s="148"/>
      <c r="GX254" s="148"/>
      <c r="GY254" s="148"/>
      <c r="GZ254" s="148"/>
      <c r="HA254" s="148"/>
      <c r="HB254" s="148"/>
      <c r="HC254" s="148"/>
      <c r="HD254" s="148"/>
      <c r="HE254" s="148"/>
      <c r="HF254" s="148"/>
      <c r="HG254" s="148"/>
      <c r="HH254" s="148"/>
      <c r="HI254" s="148"/>
      <c r="HJ254" s="148"/>
      <c r="HK254" s="148"/>
      <c r="HL254" s="148"/>
      <c r="HM254" s="148"/>
      <c r="HN254" s="148"/>
      <c r="HO254" s="148"/>
      <c r="HP254" s="148"/>
      <c r="HQ254" s="148"/>
      <c r="HR254" s="148"/>
      <c r="HS254" s="148"/>
      <c r="HT254" s="148"/>
      <c r="HU254" s="148"/>
      <c r="HV254" s="148"/>
      <c r="HW254" s="148"/>
      <c r="HX254" s="148"/>
      <c r="HY254" s="148"/>
      <c r="HZ254" s="148"/>
      <c r="IA254" s="148"/>
      <c r="IB254" s="148"/>
      <c r="IC254" s="148"/>
      <c r="ID254" s="148"/>
      <c r="IE254" s="148"/>
      <c r="IF254" s="148"/>
      <c r="IG254" s="148"/>
      <c r="IH254" s="148"/>
      <c r="II254" s="148"/>
      <c r="IJ254" s="148"/>
      <c r="IK254" s="148"/>
      <c r="IL254" s="148"/>
      <c r="IM254" s="148"/>
      <c r="IN254" s="148"/>
      <c r="IO254" s="148"/>
      <c r="IP254" s="148"/>
      <c r="IQ254" s="148"/>
      <c r="IR254" s="148"/>
      <c r="IS254" s="148"/>
      <c r="IT254" s="148"/>
      <c r="IU254" s="148"/>
      <c r="IV254" s="148"/>
    </row>
    <row r="255" spans="1:256">
      <c r="A255" s="842"/>
      <c r="B255" s="845"/>
      <c r="C255" s="178" t="s">
        <v>1</v>
      </c>
      <c r="D255" s="180">
        <f>E255+M255</f>
        <v>-29091</v>
      </c>
      <c r="E255" s="181">
        <f>F255+I255+J255+K255+L255</f>
        <v>-29091</v>
      </c>
      <c r="F255" s="181">
        <f>G255+H255</f>
        <v>0</v>
      </c>
      <c r="G255" s="181"/>
      <c r="H255" s="181"/>
      <c r="I255" s="181"/>
      <c r="J255" s="181"/>
      <c r="K255" s="181">
        <f>-204491+18032+3184+1261+222+201+35+3400+600+126072+22248+124+21</f>
        <v>-29091</v>
      </c>
      <c r="L255" s="181"/>
      <c r="M255" s="181">
        <f>N255+P255</f>
        <v>0</v>
      </c>
      <c r="N255" s="181"/>
      <c r="O255" s="181"/>
      <c r="P255" s="181"/>
      <c r="Q255" s="182"/>
      <c r="R255" s="182"/>
      <c r="S255" s="182"/>
      <c r="T255" s="182"/>
      <c r="U255" s="182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  <c r="GB255" s="148"/>
      <c r="GC255" s="148"/>
      <c r="GD255" s="148"/>
      <c r="GE255" s="148"/>
      <c r="GF255" s="148"/>
      <c r="GG255" s="148"/>
      <c r="GH255" s="148"/>
      <c r="GI255" s="148"/>
      <c r="GJ255" s="148"/>
      <c r="GK255" s="148"/>
      <c r="GL255" s="148"/>
      <c r="GM255" s="148"/>
      <c r="GN255" s="148"/>
      <c r="GO255" s="148"/>
      <c r="GP255" s="148"/>
      <c r="GQ255" s="148"/>
      <c r="GR255" s="148"/>
      <c r="GS255" s="148"/>
      <c r="GT255" s="148"/>
      <c r="GU255" s="148"/>
      <c r="GV255" s="148"/>
      <c r="GW255" s="148"/>
      <c r="GX255" s="148"/>
      <c r="GY255" s="148"/>
      <c r="GZ255" s="148"/>
      <c r="HA255" s="148"/>
      <c r="HB255" s="148"/>
      <c r="HC255" s="148"/>
      <c r="HD255" s="148"/>
      <c r="HE255" s="148"/>
      <c r="HF255" s="148"/>
      <c r="HG255" s="148"/>
      <c r="HH255" s="148"/>
      <c r="HI255" s="148"/>
      <c r="HJ255" s="148"/>
      <c r="HK255" s="148"/>
      <c r="HL255" s="148"/>
      <c r="HM255" s="148"/>
      <c r="HN255" s="148"/>
      <c r="HO255" s="148"/>
      <c r="HP255" s="148"/>
      <c r="HQ255" s="148"/>
      <c r="HR255" s="148"/>
      <c r="HS255" s="148"/>
      <c r="HT255" s="148"/>
      <c r="HU255" s="148"/>
      <c r="HV255" s="148"/>
      <c r="HW255" s="148"/>
      <c r="HX255" s="148"/>
      <c r="HY255" s="148"/>
      <c r="HZ255" s="148"/>
      <c r="IA255" s="148"/>
      <c r="IB255" s="148"/>
      <c r="IC255" s="148"/>
      <c r="ID255" s="148"/>
      <c r="IE255" s="148"/>
      <c r="IF255" s="148"/>
      <c r="IG255" s="148"/>
      <c r="IH255" s="148"/>
      <c r="II255" s="148"/>
      <c r="IJ255" s="148"/>
      <c r="IK255" s="148"/>
      <c r="IL255" s="148"/>
      <c r="IM255" s="148"/>
      <c r="IN255" s="148"/>
      <c r="IO255" s="148"/>
      <c r="IP255" s="148"/>
      <c r="IQ255" s="148"/>
      <c r="IR255" s="148"/>
      <c r="IS255" s="148"/>
      <c r="IT255" s="148"/>
      <c r="IU255" s="148"/>
      <c r="IV255" s="148"/>
    </row>
    <row r="256" spans="1:256">
      <c r="A256" s="843"/>
      <c r="B256" s="846"/>
      <c r="C256" s="178" t="s">
        <v>2</v>
      </c>
      <c r="D256" s="180">
        <f>D254+D255</f>
        <v>2427975</v>
      </c>
      <c r="E256" s="181">
        <f t="shared" ref="E256:P256" si="106">E254+E255</f>
        <v>2427975</v>
      </c>
      <c r="F256" s="181">
        <f t="shared" si="106"/>
        <v>0</v>
      </c>
      <c r="G256" s="181">
        <f t="shared" si="106"/>
        <v>0</v>
      </c>
      <c r="H256" s="181">
        <f t="shared" si="106"/>
        <v>0</v>
      </c>
      <c r="I256" s="181">
        <f t="shared" si="106"/>
        <v>1777975</v>
      </c>
      <c r="J256" s="181">
        <f t="shared" si="106"/>
        <v>0</v>
      </c>
      <c r="K256" s="181">
        <f t="shared" si="106"/>
        <v>650000</v>
      </c>
      <c r="L256" s="181">
        <f t="shared" si="106"/>
        <v>0</v>
      </c>
      <c r="M256" s="181">
        <f t="shared" si="106"/>
        <v>0</v>
      </c>
      <c r="N256" s="181">
        <f t="shared" si="106"/>
        <v>0</v>
      </c>
      <c r="O256" s="181">
        <f t="shared" si="106"/>
        <v>0</v>
      </c>
      <c r="P256" s="181">
        <f t="shared" si="106"/>
        <v>0</v>
      </c>
      <c r="Q256" s="182"/>
      <c r="R256" s="182"/>
      <c r="S256" s="182"/>
      <c r="T256" s="182"/>
      <c r="U256" s="182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  <c r="GR256" s="148"/>
      <c r="GS256" s="148"/>
      <c r="GT256" s="148"/>
      <c r="GU256" s="148"/>
      <c r="GV256" s="148"/>
      <c r="GW256" s="148"/>
      <c r="GX256" s="148"/>
      <c r="GY256" s="148"/>
      <c r="GZ256" s="148"/>
      <c r="HA256" s="148"/>
      <c r="HB256" s="148"/>
      <c r="HC256" s="148"/>
      <c r="HD256" s="148"/>
      <c r="HE256" s="148"/>
      <c r="HF256" s="148"/>
      <c r="HG256" s="148"/>
      <c r="HH256" s="148"/>
      <c r="HI256" s="148"/>
      <c r="HJ256" s="148"/>
      <c r="HK256" s="148"/>
      <c r="HL256" s="148"/>
      <c r="HM256" s="148"/>
      <c r="HN256" s="148"/>
      <c r="HO256" s="148"/>
      <c r="HP256" s="148"/>
      <c r="HQ256" s="148"/>
      <c r="HR256" s="148"/>
      <c r="HS256" s="148"/>
      <c r="HT256" s="148"/>
      <c r="HU256" s="148"/>
      <c r="HV256" s="148"/>
      <c r="HW256" s="148"/>
      <c r="HX256" s="148"/>
      <c r="HY256" s="148"/>
      <c r="HZ256" s="148"/>
      <c r="IA256" s="148"/>
      <c r="IB256" s="148"/>
      <c r="IC256" s="148"/>
      <c r="ID256" s="148"/>
      <c r="IE256" s="148"/>
      <c r="IF256" s="148"/>
      <c r="IG256" s="148"/>
      <c r="IH256" s="148"/>
      <c r="II256" s="148"/>
      <c r="IJ256" s="148"/>
      <c r="IK256" s="148"/>
      <c r="IL256" s="148"/>
      <c r="IM256" s="148"/>
      <c r="IN256" s="148"/>
      <c r="IO256" s="148"/>
      <c r="IP256" s="148"/>
      <c r="IQ256" s="148"/>
      <c r="IR256" s="148"/>
      <c r="IS256" s="148"/>
      <c r="IT256" s="148"/>
      <c r="IU256" s="148"/>
      <c r="IV256" s="148"/>
    </row>
    <row r="257" spans="1:256" hidden="1">
      <c r="A257" s="841">
        <v>85153</v>
      </c>
      <c r="B257" s="844" t="s">
        <v>287</v>
      </c>
      <c r="C257" s="178" t="s">
        <v>0</v>
      </c>
      <c r="D257" s="180">
        <f>E257+M257</f>
        <v>480000</v>
      </c>
      <c r="E257" s="181">
        <f>F257+I257+J257+K257+L257</f>
        <v>480000</v>
      </c>
      <c r="F257" s="181">
        <f>G257+H257</f>
        <v>130000</v>
      </c>
      <c r="G257" s="181">
        <v>14000</v>
      </c>
      <c r="H257" s="181">
        <f>480000-364000</f>
        <v>116000</v>
      </c>
      <c r="I257" s="181">
        <v>350000</v>
      </c>
      <c r="J257" s="181">
        <v>0</v>
      </c>
      <c r="K257" s="181">
        <v>0</v>
      </c>
      <c r="L257" s="181">
        <v>0</v>
      </c>
      <c r="M257" s="181">
        <f>N257+P257</f>
        <v>0</v>
      </c>
      <c r="N257" s="181">
        <v>0</v>
      </c>
      <c r="O257" s="181">
        <v>0</v>
      </c>
      <c r="P257" s="181">
        <v>0</v>
      </c>
      <c r="Q257" s="182"/>
      <c r="R257" s="182"/>
      <c r="S257" s="182"/>
      <c r="T257" s="182"/>
      <c r="U257" s="182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  <c r="GB257" s="148"/>
      <c r="GC257" s="148"/>
      <c r="GD257" s="148"/>
      <c r="GE257" s="148"/>
      <c r="GF257" s="148"/>
      <c r="GG257" s="148"/>
      <c r="GH257" s="148"/>
      <c r="GI257" s="148"/>
      <c r="GJ257" s="148"/>
      <c r="GK257" s="148"/>
      <c r="GL257" s="148"/>
      <c r="GM257" s="148"/>
      <c r="GN257" s="148"/>
      <c r="GO257" s="148"/>
      <c r="GP257" s="148"/>
      <c r="GQ257" s="148"/>
      <c r="GR257" s="148"/>
      <c r="GS257" s="148"/>
      <c r="GT257" s="148"/>
      <c r="GU257" s="148"/>
      <c r="GV257" s="148"/>
      <c r="GW257" s="148"/>
      <c r="GX257" s="148"/>
      <c r="GY257" s="148"/>
      <c r="GZ257" s="148"/>
      <c r="HA257" s="148"/>
      <c r="HB257" s="148"/>
      <c r="HC257" s="148"/>
      <c r="HD257" s="148"/>
      <c r="HE257" s="148"/>
      <c r="HF257" s="148"/>
      <c r="HG257" s="148"/>
      <c r="HH257" s="148"/>
      <c r="HI257" s="148"/>
      <c r="HJ257" s="148"/>
      <c r="HK257" s="148"/>
      <c r="HL257" s="148"/>
      <c r="HM257" s="148"/>
      <c r="HN257" s="148"/>
      <c r="HO257" s="148"/>
      <c r="HP257" s="148"/>
      <c r="HQ257" s="148"/>
      <c r="HR257" s="148"/>
      <c r="HS257" s="148"/>
      <c r="HT257" s="148"/>
      <c r="HU257" s="148"/>
      <c r="HV257" s="148"/>
      <c r="HW257" s="148"/>
      <c r="HX257" s="148"/>
      <c r="HY257" s="148"/>
      <c r="HZ257" s="148"/>
      <c r="IA257" s="148"/>
      <c r="IB257" s="148"/>
      <c r="IC257" s="148"/>
      <c r="ID257" s="148"/>
      <c r="IE257" s="148"/>
      <c r="IF257" s="148"/>
      <c r="IG257" s="148"/>
      <c r="IH257" s="148"/>
      <c r="II257" s="148"/>
      <c r="IJ257" s="148"/>
      <c r="IK257" s="148"/>
      <c r="IL257" s="148"/>
      <c r="IM257" s="148"/>
      <c r="IN257" s="148"/>
      <c r="IO257" s="148"/>
      <c r="IP257" s="148"/>
      <c r="IQ257" s="148"/>
      <c r="IR257" s="148"/>
      <c r="IS257" s="148"/>
      <c r="IT257" s="148"/>
      <c r="IU257" s="148"/>
      <c r="IV257" s="148"/>
    </row>
    <row r="258" spans="1:256" hidden="1">
      <c r="A258" s="842"/>
      <c r="B258" s="845"/>
      <c r="C258" s="178" t="s">
        <v>1</v>
      </c>
      <c r="D258" s="180">
        <f>E258+M258</f>
        <v>0</v>
      </c>
      <c r="E258" s="181">
        <f>F258+I258+J258+K258+L258</f>
        <v>0</v>
      </c>
      <c r="F258" s="181">
        <f>G258+H258</f>
        <v>0</v>
      </c>
      <c r="G258" s="181"/>
      <c r="H258" s="181"/>
      <c r="I258" s="181"/>
      <c r="J258" s="181"/>
      <c r="K258" s="181"/>
      <c r="L258" s="181"/>
      <c r="M258" s="181">
        <f>N258+P258</f>
        <v>0</v>
      </c>
      <c r="N258" s="181"/>
      <c r="O258" s="181"/>
      <c r="P258" s="181"/>
      <c r="Q258" s="182"/>
      <c r="R258" s="182"/>
      <c r="S258" s="182"/>
      <c r="T258" s="182"/>
      <c r="U258" s="182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  <c r="GB258" s="148"/>
      <c r="GC258" s="148"/>
      <c r="GD258" s="148"/>
      <c r="GE258" s="148"/>
      <c r="GF258" s="148"/>
      <c r="GG258" s="148"/>
      <c r="GH258" s="148"/>
      <c r="GI258" s="148"/>
      <c r="GJ258" s="148"/>
      <c r="GK258" s="148"/>
      <c r="GL258" s="148"/>
      <c r="GM258" s="148"/>
      <c r="GN258" s="148"/>
      <c r="GO258" s="148"/>
      <c r="GP258" s="148"/>
      <c r="GQ258" s="148"/>
      <c r="GR258" s="148"/>
      <c r="GS258" s="148"/>
      <c r="GT258" s="148"/>
      <c r="GU258" s="148"/>
      <c r="GV258" s="148"/>
      <c r="GW258" s="148"/>
      <c r="GX258" s="148"/>
      <c r="GY258" s="148"/>
      <c r="GZ258" s="148"/>
      <c r="HA258" s="148"/>
      <c r="HB258" s="148"/>
      <c r="HC258" s="148"/>
      <c r="HD258" s="148"/>
      <c r="HE258" s="148"/>
      <c r="HF258" s="148"/>
      <c r="HG258" s="148"/>
      <c r="HH258" s="148"/>
      <c r="HI258" s="148"/>
      <c r="HJ258" s="148"/>
      <c r="HK258" s="148"/>
      <c r="HL258" s="148"/>
      <c r="HM258" s="148"/>
      <c r="HN258" s="148"/>
      <c r="HO258" s="148"/>
      <c r="HP258" s="148"/>
      <c r="HQ258" s="148"/>
      <c r="HR258" s="148"/>
      <c r="HS258" s="148"/>
      <c r="HT258" s="148"/>
      <c r="HU258" s="148"/>
      <c r="HV258" s="148"/>
      <c r="HW258" s="148"/>
      <c r="HX258" s="148"/>
      <c r="HY258" s="148"/>
      <c r="HZ258" s="148"/>
      <c r="IA258" s="148"/>
      <c r="IB258" s="148"/>
      <c r="IC258" s="148"/>
      <c r="ID258" s="148"/>
      <c r="IE258" s="148"/>
      <c r="IF258" s="148"/>
      <c r="IG258" s="148"/>
      <c r="IH258" s="148"/>
      <c r="II258" s="148"/>
      <c r="IJ258" s="148"/>
      <c r="IK258" s="148"/>
      <c r="IL258" s="148"/>
      <c r="IM258" s="148"/>
      <c r="IN258" s="148"/>
      <c r="IO258" s="148"/>
      <c r="IP258" s="148"/>
      <c r="IQ258" s="148"/>
      <c r="IR258" s="148"/>
      <c r="IS258" s="148"/>
      <c r="IT258" s="148"/>
      <c r="IU258" s="148"/>
      <c r="IV258" s="148"/>
    </row>
    <row r="259" spans="1:256" hidden="1">
      <c r="A259" s="843"/>
      <c r="B259" s="846"/>
      <c r="C259" s="178" t="s">
        <v>2</v>
      </c>
      <c r="D259" s="180">
        <f>D257+D258</f>
        <v>480000</v>
      </c>
      <c r="E259" s="181">
        <f t="shared" ref="E259:P259" si="107">E257+E258</f>
        <v>480000</v>
      </c>
      <c r="F259" s="181">
        <f t="shared" si="107"/>
        <v>130000</v>
      </c>
      <c r="G259" s="181">
        <f t="shared" si="107"/>
        <v>14000</v>
      </c>
      <c r="H259" s="181">
        <f t="shared" si="107"/>
        <v>116000</v>
      </c>
      <c r="I259" s="181">
        <f t="shared" si="107"/>
        <v>350000</v>
      </c>
      <c r="J259" s="181">
        <f t="shared" si="107"/>
        <v>0</v>
      </c>
      <c r="K259" s="181">
        <f t="shared" si="107"/>
        <v>0</v>
      </c>
      <c r="L259" s="181">
        <f t="shared" si="107"/>
        <v>0</v>
      </c>
      <c r="M259" s="181">
        <f t="shared" si="107"/>
        <v>0</v>
      </c>
      <c r="N259" s="181">
        <f t="shared" si="107"/>
        <v>0</v>
      </c>
      <c r="O259" s="181">
        <f t="shared" si="107"/>
        <v>0</v>
      </c>
      <c r="P259" s="181">
        <f t="shared" si="107"/>
        <v>0</v>
      </c>
      <c r="Q259" s="182"/>
      <c r="R259" s="182"/>
      <c r="S259" s="182"/>
      <c r="T259" s="182"/>
      <c r="U259" s="182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  <c r="GB259" s="148"/>
      <c r="GC259" s="148"/>
      <c r="GD259" s="148"/>
      <c r="GE259" s="148"/>
      <c r="GF259" s="148"/>
      <c r="GG259" s="148"/>
      <c r="GH259" s="148"/>
      <c r="GI259" s="148"/>
      <c r="GJ259" s="148"/>
      <c r="GK259" s="148"/>
      <c r="GL259" s="148"/>
      <c r="GM259" s="148"/>
      <c r="GN259" s="148"/>
      <c r="GO259" s="148"/>
      <c r="GP259" s="148"/>
      <c r="GQ259" s="148"/>
      <c r="GR259" s="148"/>
      <c r="GS259" s="148"/>
      <c r="GT259" s="148"/>
      <c r="GU259" s="148"/>
      <c r="GV259" s="148"/>
      <c r="GW259" s="148"/>
      <c r="GX259" s="148"/>
      <c r="GY259" s="148"/>
      <c r="GZ259" s="148"/>
      <c r="HA259" s="148"/>
      <c r="HB259" s="148"/>
      <c r="HC259" s="148"/>
      <c r="HD259" s="148"/>
      <c r="HE259" s="148"/>
      <c r="HF259" s="148"/>
      <c r="HG259" s="148"/>
      <c r="HH259" s="148"/>
      <c r="HI259" s="148"/>
      <c r="HJ259" s="148"/>
      <c r="HK259" s="148"/>
      <c r="HL259" s="148"/>
      <c r="HM259" s="148"/>
      <c r="HN259" s="148"/>
      <c r="HO259" s="148"/>
      <c r="HP259" s="148"/>
      <c r="HQ259" s="148"/>
      <c r="HR259" s="148"/>
      <c r="HS259" s="148"/>
      <c r="HT259" s="148"/>
      <c r="HU259" s="148"/>
      <c r="HV259" s="148"/>
      <c r="HW259" s="148"/>
      <c r="HX259" s="148"/>
      <c r="HY259" s="148"/>
      <c r="HZ259" s="148"/>
      <c r="IA259" s="148"/>
      <c r="IB259" s="148"/>
      <c r="IC259" s="148"/>
      <c r="ID259" s="148"/>
      <c r="IE259" s="148"/>
      <c r="IF259" s="148"/>
      <c r="IG259" s="148"/>
      <c r="IH259" s="148"/>
      <c r="II259" s="148"/>
      <c r="IJ259" s="148"/>
      <c r="IK259" s="148"/>
      <c r="IL259" s="148"/>
      <c r="IM259" s="148"/>
      <c r="IN259" s="148"/>
      <c r="IO259" s="148"/>
      <c r="IP259" s="148"/>
      <c r="IQ259" s="148"/>
      <c r="IR259" s="148"/>
      <c r="IS259" s="148"/>
      <c r="IT259" s="148"/>
      <c r="IU259" s="148"/>
      <c r="IV259" s="148"/>
    </row>
    <row r="260" spans="1:256">
      <c r="A260" s="841">
        <v>85154</v>
      </c>
      <c r="B260" s="844" t="s">
        <v>288</v>
      </c>
      <c r="C260" s="178" t="s">
        <v>0</v>
      </c>
      <c r="D260" s="180">
        <f>E260+M260</f>
        <v>2225000</v>
      </c>
      <c r="E260" s="181">
        <f>F260+I260+J260+K260+L260</f>
        <v>1880000</v>
      </c>
      <c r="F260" s="181">
        <f>G260+H260</f>
        <v>125000</v>
      </c>
      <c r="G260" s="181">
        <v>3000</v>
      </c>
      <c r="H260" s="181">
        <f>2225000-2103000</f>
        <v>122000</v>
      </c>
      <c r="I260" s="181">
        <v>1755000</v>
      </c>
      <c r="J260" s="181">
        <v>0</v>
      </c>
      <c r="K260" s="181">
        <v>0</v>
      </c>
      <c r="L260" s="181">
        <v>0</v>
      </c>
      <c r="M260" s="181">
        <f>N260+P260</f>
        <v>345000</v>
      </c>
      <c r="N260" s="181">
        <v>345000</v>
      </c>
      <c r="O260" s="181">
        <v>0</v>
      </c>
      <c r="P260" s="181">
        <v>0</v>
      </c>
      <c r="Q260" s="182"/>
      <c r="R260" s="182"/>
      <c r="S260" s="182"/>
      <c r="T260" s="182"/>
      <c r="U260" s="182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  <c r="GB260" s="148"/>
      <c r="GC260" s="148"/>
      <c r="GD260" s="148"/>
      <c r="GE260" s="148"/>
      <c r="GF260" s="148"/>
      <c r="GG260" s="148"/>
      <c r="GH260" s="148"/>
      <c r="GI260" s="148"/>
      <c r="GJ260" s="148"/>
      <c r="GK260" s="148"/>
      <c r="GL260" s="148"/>
      <c r="GM260" s="148"/>
      <c r="GN260" s="148"/>
      <c r="GO260" s="148"/>
      <c r="GP260" s="148"/>
      <c r="GQ260" s="148"/>
      <c r="GR260" s="148"/>
      <c r="GS260" s="148"/>
      <c r="GT260" s="148"/>
      <c r="GU260" s="148"/>
      <c r="GV260" s="148"/>
      <c r="GW260" s="148"/>
      <c r="GX260" s="148"/>
      <c r="GY260" s="148"/>
      <c r="GZ260" s="148"/>
      <c r="HA260" s="148"/>
      <c r="HB260" s="148"/>
      <c r="HC260" s="148"/>
      <c r="HD260" s="148"/>
      <c r="HE260" s="148"/>
      <c r="HF260" s="148"/>
      <c r="HG260" s="148"/>
      <c r="HH260" s="148"/>
      <c r="HI260" s="148"/>
      <c r="HJ260" s="148"/>
      <c r="HK260" s="148"/>
      <c r="HL260" s="148"/>
      <c r="HM260" s="148"/>
      <c r="HN260" s="148"/>
      <c r="HO260" s="148"/>
      <c r="HP260" s="148"/>
      <c r="HQ260" s="148"/>
      <c r="HR260" s="148"/>
      <c r="HS260" s="148"/>
      <c r="HT260" s="148"/>
      <c r="HU260" s="148"/>
      <c r="HV260" s="148"/>
      <c r="HW260" s="148"/>
      <c r="HX260" s="148"/>
      <c r="HY260" s="148"/>
      <c r="HZ260" s="148"/>
      <c r="IA260" s="148"/>
      <c r="IB260" s="148"/>
      <c r="IC260" s="148"/>
      <c r="ID260" s="148"/>
      <c r="IE260" s="148"/>
      <c r="IF260" s="148"/>
      <c r="IG260" s="148"/>
      <c r="IH260" s="148"/>
      <c r="II260" s="148"/>
      <c r="IJ260" s="148"/>
      <c r="IK260" s="148"/>
      <c r="IL260" s="148"/>
      <c r="IM260" s="148"/>
      <c r="IN260" s="148"/>
      <c r="IO260" s="148"/>
      <c r="IP260" s="148"/>
      <c r="IQ260" s="148"/>
      <c r="IR260" s="148"/>
      <c r="IS260" s="148"/>
      <c r="IT260" s="148"/>
      <c r="IU260" s="148"/>
      <c r="IV260" s="148"/>
    </row>
    <row r="261" spans="1:256">
      <c r="A261" s="842"/>
      <c r="B261" s="845"/>
      <c r="C261" s="178" t="s">
        <v>1</v>
      </c>
      <c r="D261" s="180">
        <f>E261+M261</f>
        <v>320000</v>
      </c>
      <c r="E261" s="181">
        <f>F261+I261+J261+K261+L261</f>
        <v>0</v>
      </c>
      <c r="F261" s="181">
        <f>G261+H261</f>
        <v>0</v>
      </c>
      <c r="G261" s="181"/>
      <c r="H261" s="181"/>
      <c r="I261" s="181"/>
      <c r="J261" s="181"/>
      <c r="K261" s="181"/>
      <c r="L261" s="181"/>
      <c r="M261" s="181">
        <f>N261+P261</f>
        <v>320000</v>
      </c>
      <c r="N261" s="181">
        <v>320000</v>
      </c>
      <c r="O261" s="181"/>
      <c r="P261" s="181"/>
      <c r="Q261" s="182"/>
      <c r="R261" s="182"/>
      <c r="S261" s="182"/>
      <c r="T261" s="182"/>
      <c r="U261" s="182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  <c r="GR261" s="148"/>
      <c r="GS261" s="148"/>
      <c r="GT261" s="148"/>
      <c r="GU261" s="148"/>
      <c r="GV261" s="148"/>
      <c r="GW261" s="148"/>
      <c r="GX261" s="148"/>
      <c r="GY261" s="148"/>
      <c r="GZ261" s="148"/>
      <c r="HA261" s="148"/>
      <c r="HB261" s="148"/>
      <c r="HC261" s="148"/>
      <c r="HD261" s="148"/>
      <c r="HE261" s="148"/>
      <c r="HF261" s="148"/>
      <c r="HG261" s="148"/>
      <c r="HH261" s="148"/>
      <c r="HI261" s="148"/>
      <c r="HJ261" s="148"/>
      <c r="HK261" s="148"/>
      <c r="HL261" s="148"/>
      <c r="HM261" s="148"/>
      <c r="HN261" s="148"/>
      <c r="HO261" s="148"/>
      <c r="HP261" s="148"/>
      <c r="HQ261" s="148"/>
      <c r="HR261" s="148"/>
      <c r="HS261" s="148"/>
      <c r="HT261" s="148"/>
      <c r="HU261" s="148"/>
      <c r="HV261" s="148"/>
      <c r="HW261" s="148"/>
      <c r="HX261" s="148"/>
      <c r="HY261" s="148"/>
      <c r="HZ261" s="148"/>
      <c r="IA261" s="148"/>
      <c r="IB261" s="148"/>
      <c r="IC261" s="148"/>
      <c r="ID261" s="148"/>
      <c r="IE261" s="148"/>
      <c r="IF261" s="148"/>
      <c r="IG261" s="148"/>
      <c r="IH261" s="148"/>
      <c r="II261" s="148"/>
      <c r="IJ261" s="148"/>
      <c r="IK261" s="148"/>
      <c r="IL261" s="148"/>
      <c r="IM261" s="148"/>
      <c r="IN261" s="148"/>
      <c r="IO261" s="148"/>
      <c r="IP261" s="148"/>
      <c r="IQ261" s="148"/>
      <c r="IR261" s="148"/>
      <c r="IS261" s="148"/>
      <c r="IT261" s="148"/>
      <c r="IU261" s="148"/>
      <c r="IV261" s="148"/>
    </row>
    <row r="262" spans="1:256">
      <c r="A262" s="843"/>
      <c r="B262" s="846"/>
      <c r="C262" s="178" t="s">
        <v>2</v>
      </c>
      <c r="D262" s="180">
        <f>D260+D261</f>
        <v>2545000</v>
      </c>
      <c r="E262" s="181">
        <f t="shared" ref="E262:P262" si="108">E260+E261</f>
        <v>1880000</v>
      </c>
      <c r="F262" s="181">
        <f t="shared" si="108"/>
        <v>125000</v>
      </c>
      <c r="G262" s="181">
        <f t="shared" si="108"/>
        <v>3000</v>
      </c>
      <c r="H262" s="181">
        <f t="shared" si="108"/>
        <v>122000</v>
      </c>
      <c r="I262" s="181">
        <f t="shared" si="108"/>
        <v>1755000</v>
      </c>
      <c r="J262" s="181">
        <f t="shared" si="108"/>
        <v>0</v>
      </c>
      <c r="K262" s="181">
        <f t="shared" si="108"/>
        <v>0</v>
      </c>
      <c r="L262" s="181">
        <f t="shared" si="108"/>
        <v>0</v>
      </c>
      <c r="M262" s="181">
        <f t="shared" si="108"/>
        <v>665000</v>
      </c>
      <c r="N262" s="181">
        <f t="shared" si="108"/>
        <v>665000</v>
      </c>
      <c r="O262" s="181">
        <f t="shared" si="108"/>
        <v>0</v>
      </c>
      <c r="P262" s="181">
        <f t="shared" si="108"/>
        <v>0</v>
      </c>
      <c r="Q262" s="182"/>
      <c r="R262" s="182"/>
      <c r="S262" s="182"/>
      <c r="T262" s="182"/>
      <c r="U262" s="182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  <c r="GB262" s="148"/>
      <c r="GC262" s="148"/>
      <c r="GD262" s="148"/>
      <c r="GE262" s="148"/>
      <c r="GF262" s="148"/>
      <c r="GG262" s="148"/>
      <c r="GH262" s="148"/>
      <c r="GI262" s="148"/>
      <c r="GJ262" s="148"/>
      <c r="GK262" s="148"/>
      <c r="GL262" s="148"/>
      <c r="GM262" s="148"/>
      <c r="GN262" s="148"/>
      <c r="GO262" s="148"/>
      <c r="GP262" s="148"/>
      <c r="GQ262" s="148"/>
      <c r="GR262" s="148"/>
      <c r="GS262" s="148"/>
      <c r="GT262" s="148"/>
      <c r="GU262" s="148"/>
      <c r="GV262" s="148"/>
      <c r="GW262" s="148"/>
      <c r="GX262" s="148"/>
      <c r="GY262" s="148"/>
      <c r="GZ262" s="148"/>
      <c r="HA262" s="148"/>
      <c r="HB262" s="148"/>
      <c r="HC262" s="148"/>
      <c r="HD262" s="148"/>
      <c r="HE262" s="148"/>
      <c r="HF262" s="148"/>
      <c r="HG262" s="148"/>
      <c r="HH262" s="148"/>
      <c r="HI262" s="148"/>
      <c r="HJ262" s="148"/>
      <c r="HK262" s="148"/>
      <c r="HL262" s="148"/>
      <c r="HM262" s="148"/>
      <c r="HN262" s="148"/>
      <c r="HO262" s="148"/>
      <c r="HP262" s="148"/>
      <c r="HQ262" s="148"/>
      <c r="HR262" s="148"/>
      <c r="HS262" s="148"/>
      <c r="HT262" s="148"/>
      <c r="HU262" s="148"/>
      <c r="HV262" s="148"/>
      <c r="HW262" s="148"/>
      <c r="HX262" s="148"/>
      <c r="HY262" s="148"/>
      <c r="HZ262" s="148"/>
      <c r="IA262" s="148"/>
      <c r="IB262" s="148"/>
      <c r="IC262" s="148"/>
      <c r="ID262" s="148"/>
      <c r="IE262" s="148"/>
      <c r="IF262" s="148"/>
      <c r="IG262" s="148"/>
      <c r="IH262" s="148"/>
      <c r="II262" s="148"/>
      <c r="IJ262" s="148"/>
      <c r="IK262" s="148"/>
      <c r="IL262" s="148"/>
      <c r="IM262" s="148"/>
      <c r="IN262" s="148"/>
      <c r="IO262" s="148"/>
      <c r="IP262" s="148"/>
      <c r="IQ262" s="148"/>
      <c r="IR262" s="148"/>
      <c r="IS262" s="148"/>
      <c r="IT262" s="148"/>
      <c r="IU262" s="148"/>
      <c r="IV262" s="148"/>
    </row>
    <row r="263" spans="1:256">
      <c r="A263" s="841">
        <v>85157</v>
      </c>
      <c r="B263" s="844" t="s">
        <v>289</v>
      </c>
      <c r="C263" s="178" t="s">
        <v>0</v>
      </c>
      <c r="D263" s="180">
        <f>E263+M263</f>
        <v>24591000</v>
      </c>
      <c r="E263" s="181">
        <f>F263+I263+J263+K263+L263</f>
        <v>24591000</v>
      </c>
      <c r="F263" s="181">
        <f>G263+H263</f>
        <v>24591000</v>
      </c>
      <c r="G263" s="181">
        <v>0</v>
      </c>
      <c r="H263" s="181">
        <v>24591000</v>
      </c>
      <c r="I263" s="181">
        <v>0</v>
      </c>
      <c r="J263" s="181">
        <v>0</v>
      </c>
      <c r="K263" s="181">
        <v>0</v>
      </c>
      <c r="L263" s="181">
        <v>0</v>
      </c>
      <c r="M263" s="181">
        <f>N263+P263</f>
        <v>0</v>
      </c>
      <c r="N263" s="181">
        <v>0</v>
      </c>
      <c r="O263" s="181">
        <v>0</v>
      </c>
      <c r="P263" s="181">
        <v>0</v>
      </c>
      <c r="Q263" s="182"/>
      <c r="R263" s="182"/>
      <c r="S263" s="182"/>
      <c r="T263" s="182"/>
      <c r="U263" s="182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  <c r="GB263" s="148"/>
      <c r="GC263" s="148"/>
      <c r="GD263" s="148"/>
      <c r="GE263" s="148"/>
      <c r="GF263" s="148"/>
      <c r="GG263" s="148"/>
      <c r="GH263" s="148"/>
      <c r="GI263" s="148"/>
      <c r="GJ263" s="148"/>
      <c r="GK263" s="148"/>
      <c r="GL263" s="148"/>
      <c r="GM263" s="148"/>
      <c r="GN263" s="148"/>
      <c r="GO263" s="148"/>
      <c r="GP263" s="148"/>
      <c r="GQ263" s="148"/>
      <c r="GR263" s="148"/>
      <c r="GS263" s="148"/>
      <c r="GT263" s="148"/>
      <c r="GU263" s="148"/>
      <c r="GV263" s="148"/>
      <c r="GW263" s="148"/>
      <c r="GX263" s="148"/>
      <c r="GY263" s="148"/>
      <c r="GZ263" s="148"/>
      <c r="HA263" s="148"/>
      <c r="HB263" s="148"/>
      <c r="HC263" s="148"/>
      <c r="HD263" s="148"/>
      <c r="HE263" s="148"/>
      <c r="HF263" s="148"/>
      <c r="HG263" s="148"/>
      <c r="HH263" s="148"/>
      <c r="HI263" s="148"/>
      <c r="HJ263" s="148"/>
      <c r="HK263" s="148"/>
      <c r="HL263" s="148"/>
      <c r="HM263" s="148"/>
      <c r="HN263" s="148"/>
      <c r="HO263" s="148"/>
      <c r="HP263" s="148"/>
      <c r="HQ263" s="148"/>
      <c r="HR263" s="148"/>
      <c r="HS263" s="148"/>
      <c r="HT263" s="148"/>
      <c r="HU263" s="148"/>
      <c r="HV263" s="148"/>
      <c r="HW263" s="148"/>
      <c r="HX263" s="148"/>
      <c r="HY263" s="148"/>
      <c r="HZ263" s="148"/>
      <c r="IA263" s="148"/>
      <c r="IB263" s="148"/>
      <c r="IC263" s="148"/>
      <c r="ID263" s="148"/>
      <c r="IE263" s="148"/>
      <c r="IF263" s="148"/>
      <c r="IG263" s="148"/>
      <c r="IH263" s="148"/>
      <c r="II263" s="148"/>
      <c r="IJ263" s="148"/>
      <c r="IK263" s="148"/>
      <c r="IL263" s="148"/>
      <c r="IM263" s="148"/>
      <c r="IN263" s="148"/>
      <c r="IO263" s="148"/>
      <c r="IP263" s="148"/>
      <c r="IQ263" s="148"/>
      <c r="IR263" s="148"/>
      <c r="IS263" s="148"/>
      <c r="IT263" s="148"/>
      <c r="IU263" s="148"/>
      <c r="IV263" s="148"/>
    </row>
    <row r="264" spans="1:256">
      <c r="A264" s="842"/>
      <c r="B264" s="845"/>
      <c r="C264" s="178" t="s">
        <v>1</v>
      </c>
      <c r="D264" s="180">
        <f>E264+M264</f>
        <v>27060</v>
      </c>
      <c r="E264" s="181">
        <f>F264+I264+J264+K264+L264</f>
        <v>27060</v>
      </c>
      <c r="F264" s="181">
        <f>G264+H264</f>
        <v>0</v>
      </c>
      <c r="G264" s="181"/>
      <c r="H264" s="181"/>
      <c r="I264" s="181">
        <v>27060</v>
      </c>
      <c r="J264" s="181"/>
      <c r="K264" s="181"/>
      <c r="L264" s="181"/>
      <c r="M264" s="181">
        <f>N264+P264</f>
        <v>0</v>
      </c>
      <c r="N264" s="181"/>
      <c r="O264" s="181"/>
      <c r="P264" s="181"/>
      <c r="Q264" s="182"/>
      <c r="R264" s="182"/>
      <c r="S264" s="182"/>
      <c r="T264" s="182"/>
      <c r="U264" s="182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  <c r="GB264" s="148"/>
      <c r="GC264" s="148"/>
      <c r="GD264" s="148"/>
      <c r="GE264" s="148"/>
      <c r="GF264" s="148"/>
      <c r="GG264" s="148"/>
      <c r="GH264" s="148"/>
      <c r="GI264" s="148"/>
      <c r="GJ264" s="148"/>
      <c r="GK264" s="148"/>
      <c r="GL264" s="148"/>
      <c r="GM264" s="148"/>
      <c r="GN264" s="148"/>
      <c r="GO264" s="148"/>
      <c r="GP264" s="148"/>
      <c r="GQ264" s="148"/>
      <c r="GR264" s="148"/>
      <c r="GS264" s="148"/>
      <c r="GT264" s="148"/>
      <c r="GU264" s="148"/>
      <c r="GV264" s="148"/>
      <c r="GW264" s="148"/>
      <c r="GX264" s="148"/>
      <c r="GY264" s="148"/>
      <c r="GZ264" s="148"/>
      <c r="HA264" s="148"/>
      <c r="HB264" s="148"/>
      <c r="HC264" s="148"/>
      <c r="HD264" s="148"/>
      <c r="HE264" s="148"/>
      <c r="HF264" s="148"/>
      <c r="HG264" s="148"/>
      <c r="HH264" s="148"/>
      <c r="HI264" s="148"/>
      <c r="HJ264" s="148"/>
      <c r="HK264" s="148"/>
      <c r="HL264" s="148"/>
      <c r="HM264" s="148"/>
      <c r="HN264" s="148"/>
      <c r="HO264" s="148"/>
      <c r="HP264" s="148"/>
      <c r="HQ264" s="148"/>
      <c r="HR264" s="148"/>
      <c r="HS264" s="148"/>
      <c r="HT264" s="148"/>
      <c r="HU264" s="148"/>
      <c r="HV264" s="148"/>
      <c r="HW264" s="148"/>
      <c r="HX264" s="148"/>
      <c r="HY264" s="148"/>
      <c r="HZ264" s="148"/>
      <c r="IA264" s="148"/>
      <c r="IB264" s="148"/>
      <c r="IC264" s="148"/>
      <c r="ID264" s="148"/>
      <c r="IE264" s="148"/>
      <c r="IF264" s="148"/>
      <c r="IG264" s="148"/>
      <c r="IH264" s="148"/>
      <c r="II264" s="148"/>
      <c r="IJ264" s="148"/>
      <c r="IK264" s="148"/>
      <c r="IL264" s="148"/>
      <c r="IM264" s="148"/>
      <c r="IN264" s="148"/>
      <c r="IO264" s="148"/>
      <c r="IP264" s="148"/>
      <c r="IQ264" s="148"/>
      <c r="IR264" s="148"/>
      <c r="IS264" s="148"/>
      <c r="IT264" s="148"/>
      <c r="IU264" s="148"/>
      <c r="IV264" s="148"/>
    </row>
    <row r="265" spans="1:256">
      <c r="A265" s="843"/>
      <c r="B265" s="846"/>
      <c r="C265" s="178" t="s">
        <v>2</v>
      </c>
      <c r="D265" s="180">
        <f>D263+D264</f>
        <v>24618060</v>
      </c>
      <c r="E265" s="181">
        <f t="shared" ref="E265:P265" si="109">E263+E264</f>
        <v>24618060</v>
      </c>
      <c r="F265" s="181">
        <f t="shared" si="109"/>
        <v>24591000</v>
      </c>
      <c r="G265" s="181">
        <f t="shared" si="109"/>
        <v>0</v>
      </c>
      <c r="H265" s="181">
        <f t="shared" si="109"/>
        <v>24591000</v>
      </c>
      <c r="I265" s="181">
        <f t="shared" si="109"/>
        <v>27060</v>
      </c>
      <c r="J265" s="181">
        <f t="shared" si="109"/>
        <v>0</v>
      </c>
      <c r="K265" s="181">
        <f t="shared" si="109"/>
        <v>0</v>
      </c>
      <c r="L265" s="181">
        <f t="shared" si="109"/>
        <v>0</v>
      </c>
      <c r="M265" s="181">
        <f t="shared" si="109"/>
        <v>0</v>
      </c>
      <c r="N265" s="181">
        <f t="shared" si="109"/>
        <v>0</v>
      </c>
      <c r="O265" s="181">
        <f t="shared" si="109"/>
        <v>0</v>
      </c>
      <c r="P265" s="181">
        <f t="shared" si="109"/>
        <v>0</v>
      </c>
      <c r="Q265" s="182"/>
      <c r="R265" s="182"/>
      <c r="S265" s="182"/>
      <c r="T265" s="182"/>
      <c r="U265" s="182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  <c r="GB265" s="148"/>
      <c r="GC265" s="148"/>
      <c r="GD265" s="148"/>
      <c r="GE265" s="148"/>
      <c r="GF265" s="148"/>
      <c r="GG265" s="148"/>
      <c r="GH265" s="148"/>
      <c r="GI265" s="148"/>
      <c r="GJ265" s="148"/>
      <c r="GK265" s="148"/>
      <c r="GL265" s="148"/>
      <c r="GM265" s="148"/>
      <c r="GN265" s="148"/>
      <c r="GO265" s="148"/>
      <c r="GP265" s="148"/>
      <c r="GQ265" s="148"/>
      <c r="GR265" s="148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  <c r="HK265" s="148"/>
      <c r="HL265" s="148"/>
      <c r="HM265" s="148"/>
      <c r="HN265" s="148"/>
      <c r="HO265" s="148"/>
      <c r="HP265" s="148"/>
      <c r="HQ265" s="148"/>
      <c r="HR265" s="148"/>
      <c r="HS265" s="148"/>
      <c r="HT265" s="148"/>
      <c r="HU265" s="148"/>
      <c r="HV265" s="148"/>
      <c r="HW265" s="148"/>
      <c r="HX265" s="148"/>
      <c r="HY265" s="148"/>
      <c r="HZ265" s="148"/>
      <c r="IA265" s="148"/>
      <c r="IB265" s="148"/>
      <c r="IC265" s="148"/>
      <c r="ID265" s="148"/>
      <c r="IE265" s="148"/>
      <c r="IF265" s="148"/>
      <c r="IG265" s="148"/>
      <c r="IH265" s="148"/>
      <c r="II265" s="148"/>
      <c r="IJ265" s="148"/>
      <c r="IK265" s="148"/>
      <c r="IL265" s="148"/>
      <c r="IM265" s="148"/>
      <c r="IN265" s="148"/>
      <c r="IO265" s="148"/>
      <c r="IP265" s="148"/>
      <c r="IQ265" s="148"/>
      <c r="IR265" s="148"/>
      <c r="IS265" s="148"/>
      <c r="IT265" s="148"/>
      <c r="IU265" s="148"/>
      <c r="IV265" s="148"/>
    </row>
    <row r="266" spans="1:256" hidden="1">
      <c r="A266" s="841" t="s">
        <v>290</v>
      </c>
      <c r="B266" s="844" t="s">
        <v>291</v>
      </c>
      <c r="C266" s="178" t="s">
        <v>0</v>
      </c>
      <c r="D266" s="180">
        <f>E266+M266</f>
        <v>1000000</v>
      </c>
      <c r="E266" s="181">
        <f>F266+I266+J266+K266+L266</f>
        <v>381091</v>
      </c>
      <c r="F266" s="181">
        <f>G266+H266</f>
        <v>381091</v>
      </c>
      <c r="G266" s="181">
        <v>0</v>
      </c>
      <c r="H266" s="181">
        <v>381091</v>
      </c>
      <c r="I266" s="181">
        <v>0</v>
      </c>
      <c r="J266" s="181">
        <v>0</v>
      </c>
      <c r="K266" s="181">
        <v>0</v>
      </c>
      <c r="L266" s="181">
        <v>0</v>
      </c>
      <c r="M266" s="181">
        <f>N266+P266</f>
        <v>618909</v>
      </c>
      <c r="N266" s="181">
        <v>618909</v>
      </c>
      <c r="O266" s="181">
        <v>0</v>
      </c>
      <c r="P266" s="181">
        <v>0</v>
      </c>
      <c r="Q266" s="182"/>
      <c r="R266" s="182"/>
      <c r="S266" s="182"/>
      <c r="T266" s="182"/>
      <c r="U266" s="182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  <c r="GB266" s="148"/>
      <c r="GC266" s="148"/>
      <c r="GD266" s="148"/>
      <c r="GE266" s="148"/>
      <c r="GF266" s="148"/>
      <c r="GG266" s="148"/>
      <c r="GH266" s="148"/>
      <c r="GI266" s="148"/>
      <c r="GJ266" s="148"/>
      <c r="GK266" s="148"/>
      <c r="GL266" s="148"/>
      <c r="GM266" s="148"/>
      <c r="GN266" s="148"/>
      <c r="GO266" s="148"/>
      <c r="GP266" s="148"/>
      <c r="GQ266" s="148"/>
      <c r="GR266" s="148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  <c r="HK266" s="148"/>
      <c r="HL266" s="148"/>
      <c r="HM266" s="148"/>
      <c r="HN266" s="148"/>
      <c r="HO266" s="148"/>
      <c r="HP266" s="148"/>
      <c r="HQ266" s="148"/>
      <c r="HR266" s="148"/>
      <c r="HS266" s="148"/>
      <c r="HT266" s="148"/>
      <c r="HU266" s="148"/>
      <c r="HV266" s="148"/>
      <c r="HW266" s="148"/>
      <c r="HX266" s="148"/>
      <c r="HY266" s="148"/>
      <c r="HZ266" s="148"/>
      <c r="IA266" s="148"/>
      <c r="IB266" s="148"/>
      <c r="IC266" s="148"/>
      <c r="ID266" s="148"/>
      <c r="IE266" s="148"/>
      <c r="IF266" s="148"/>
      <c r="IG266" s="148"/>
      <c r="IH266" s="148"/>
      <c r="II266" s="148"/>
      <c r="IJ266" s="148"/>
      <c r="IK266" s="148"/>
      <c r="IL266" s="148"/>
      <c r="IM266" s="148"/>
      <c r="IN266" s="148"/>
      <c r="IO266" s="148"/>
      <c r="IP266" s="148"/>
      <c r="IQ266" s="148"/>
      <c r="IR266" s="148"/>
      <c r="IS266" s="148"/>
      <c r="IT266" s="148"/>
      <c r="IU266" s="148"/>
      <c r="IV266" s="148"/>
    </row>
    <row r="267" spans="1:256" hidden="1">
      <c r="A267" s="842"/>
      <c r="B267" s="845"/>
      <c r="C267" s="178" t="s">
        <v>1</v>
      </c>
      <c r="D267" s="180">
        <f>E267+M267</f>
        <v>0</v>
      </c>
      <c r="E267" s="181">
        <f>F267+I267+J267+K267+L267</f>
        <v>0</v>
      </c>
      <c r="F267" s="181">
        <f>G267+H267</f>
        <v>0</v>
      </c>
      <c r="G267" s="181"/>
      <c r="H267" s="181"/>
      <c r="I267" s="181"/>
      <c r="J267" s="181"/>
      <c r="K267" s="181"/>
      <c r="L267" s="181"/>
      <c r="M267" s="181">
        <f>N267+P267</f>
        <v>0</v>
      </c>
      <c r="N267" s="181"/>
      <c r="O267" s="181"/>
      <c r="P267" s="181"/>
      <c r="Q267" s="182"/>
      <c r="R267" s="182"/>
      <c r="S267" s="182"/>
      <c r="T267" s="182"/>
      <c r="U267" s="182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  <c r="GB267" s="148"/>
      <c r="GC267" s="148"/>
      <c r="GD267" s="148"/>
      <c r="GE267" s="148"/>
      <c r="GF267" s="148"/>
      <c r="GG267" s="148"/>
      <c r="GH267" s="148"/>
      <c r="GI267" s="148"/>
      <c r="GJ267" s="148"/>
      <c r="GK267" s="148"/>
      <c r="GL267" s="148"/>
      <c r="GM267" s="148"/>
      <c r="GN267" s="148"/>
      <c r="GO267" s="148"/>
      <c r="GP267" s="148"/>
      <c r="GQ267" s="148"/>
      <c r="GR267" s="148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  <c r="HK267" s="148"/>
      <c r="HL267" s="148"/>
      <c r="HM267" s="148"/>
      <c r="HN267" s="148"/>
      <c r="HO267" s="148"/>
      <c r="HP267" s="148"/>
      <c r="HQ267" s="148"/>
      <c r="HR267" s="148"/>
      <c r="HS267" s="148"/>
      <c r="HT267" s="148"/>
      <c r="HU267" s="148"/>
      <c r="HV267" s="148"/>
      <c r="HW267" s="148"/>
      <c r="HX267" s="148"/>
      <c r="HY267" s="148"/>
      <c r="HZ267" s="148"/>
      <c r="IA267" s="148"/>
      <c r="IB267" s="148"/>
      <c r="IC267" s="148"/>
      <c r="ID267" s="148"/>
      <c r="IE267" s="148"/>
      <c r="IF267" s="148"/>
      <c r="IG267" s="148"/>
      <c r="IH267" s="148"/>
      <c r="II267" s="148"/>
      <c r="IJ267" s="148"/>
      <c r="IK267" s="148"/>
      <c r="IL267" s="148"/>
      <c r="IM267" s="148"/>
      <c r="IN267" s="148"/>
      <c r="IO267" s="148"/>
      <c r="IP267" s="148"/>
      <c r="IQ267" s="148"/>
      <c r="IR267" s="148"/>
      <c r="IS267" s="148"/>
      <c r="IT267" s="148"/>
      <c r="IU267" s="148"/>
      <c r="IV267" s="148"/>
    </row>
    <row r="268" spans="1:256" hidden="1">
      <c r="A268" s="843"/>
      <c r="B268" s="846"/>
      <c r="C268" s="178" t="s">
        <v>2</v>
      </c>
      <c r="D268" s="180">
        <f>D266+D267</f>
        <v>1000000</v>
      </c>
      <c r="E268" s="181">
        <f t="shared" ref="E268:P268" si="110">E266+E267</f>
        <v>381091</v>
      </c>
      <c r="F268" s="181">
        <f t="shared" si="110"/>
        <v>381091</v>
      </c>
      <c r="G268" s="181">
        <f t="shared" si="110"/>
        <v>0</v>
      </c>
      <c r="H268" s="181">
        <f t="shared" si="110"/>
        <v>381091</v>
      </c>
      <c r="I268" s="181">
        <f t="shared" si="110"/>
        <v>0</v>
      </c>
      <c r="J268" s="181">
        <f t="shared" si="110"/>
        <v>0</v>
      </c>
      <c r="K268" s="181">
        <f t="shared" si="110"/>
        <v>0</v>
      </c>
      <c r="L268" s="181">
        <f t="shared" si="110"/>
        <v>0</v>
      </c>
      <c r="M268" s="181">
        <f t="shared" si="110"/>
        <v>618909</v>
      </c>
      <c r="N268" s="181">
        <f t="shared" si="110"/>
        <v>618909</v>
      </c>
      <c r="O268" s="181">
        <f t="shared" si="110"/>
        <v>0</v>
      </c>
      <c r="P268" s="181">
        <f t="shared" si="110"/>
        <v>0</v>
      </c>
      <c r="Q268" s="182"/>
      <c r="R268" s="182"/>
      <c r="S268" s="182"/>
      <c r="T268" s="182"/>
      <c r="U268" s="182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  <c r="GB268" s="148"/>
      <c r="GC268" s="148"/>
      <c r="GD268" s="148"/>
      <c r="GE268" s="148"/>
      <c r="GF268" s="148"/>
      <c r="GG268" s="148"/>
      <c r="GH268" s="148"/>
      <c r="GI268" s="148"/>
      <c r="GJ268" s="148"/>
      <c r="GK268" s="148"/>
      <c r="GL268" s="148"/>
      <c r="GM268" s="148"/>
      <c r="GN268" s="148"/>
      <c r="GO268" s="148"/>
      <c r="GP268" s="148"/>
      <c r="GQ268" s="148"/>
      <c r="GR268" s="148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  <c r="HK268" s="148"/>
      <c r="HL268" s="148"/>
      <c r="HM268" s="148"/>
      <c r="HN268" s="148"/>
      <c r="HO268" s="148"/>
      <c r="HP268" s="148"/>
      <c r="HQ268" s="148"/>
      <c r="HR268" s="148"/>
      <c r="HS268" s="148"/>
      <c r="HT268" s="148"/>
      <c r="HU268" s="148"/>
      <c r="HV268" s="148"/>
      <c r="HW268" s="148"/>
      <c r="HX268" s="148"/>
      <c r="HY268" s="148"/>
      <c r="HZ268" s="148"/>
      <c r="IA268" s="148"/>
      <c r="IB268" s="148"/>
      <c r="IC268" s="148"/>
      <c r="ID268" s="148"/>
      <c r="IE268" s="148"/>
      <c r="IF268" s="148"/>
      <c r="IG268" s="148"/>
      <c r="IH268" s="148"/>
      <c r="II268" s="148"/>
      <c r="IJ268" s="148"/>
      <c r="IK268" s="148"/>
      <c r="IL268" s="148"/>
      <c r="IM268" s="148"/>
      <c r="IN268" s="148"/>
      <c r="IO268" s="148"/>
      <c r="IP268" s="148"/>
      <c r="IQ268" s="148"/>
      <c r="IR268" s="148"/>
      <c r="IS268" s="148"/>
      <c r="IT268" s="148"/>
      <c r="IU268" s="148"/>
      <c r="IV268" s="148"/>
    </row>
    <row r="269" spans="1:256">
      <c r="A269" s="841">
        <v>85195</v>
      </c>
      <c r="B269" s="844" t="s">
        <v>108</v>
      </c>
      <c r="C269" s="178" t="s">
        <v>0</v>
      </c>
      <c r="D269" s="180">
        <f>E269+M269</f>
        <v>36806589</v>
      </c>
      <c r="E269" s="181">
        <f>F269+I269+J269+K269+L269</f>
        <v>4306589</v>
      </c>
      <c r="F269" s="181">
        <f>G269+H269</f>
        <v>307025</v>
      </c>
      <c r="G269" s="181">
        <v>1000</v>
      </c>
      <c r="H269" s="181">
        <v>306025</v>
      </c>
      <c r="I269" s="181">
        <v>250000</v>
      </c>
      <c r="J269" s="181">
        <v>0</v>
      </c>
      <c r="K269" s="181">
        <v>3749564</v>
      </c>
      <c r="L269" s="181">
        <v>0</v>
      </c>
      <c r="M269" s="181">
        <f>N269+P269</f>
        <v>32500000</v>
      </c>
      <c r="N269" s="181">
        <v>0</v>
      </c>
      <c r="O269" s="181">
        <v>0</v>
      </c>
      <c r="P269" s="181">
        <v>32500000</v>
      </c>
      <c r="Q269" s="182"/>
      <c r="R269" s="182"/>
      <c r="S269" s="182"/>
      <c r="T269" s="182"/>
      <c r="U269" s="182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  <c r="GB269" s="148"/>
      <c r="GC269" s="148"/>
      <c r="GD269" s="148"/>
      <c r="GE269" s="148"/>
      <c r="GF269" s="148"/>
      <c r="GG269" s="148"/>
      <c r="GH269" s="148"/>
      <c r="GI269" s="148"/>
      <c r="GJ269" s="148"/>
      <c r="GK269" s="148"/>
      <c r="GL269" s="148"/>
      <c r="GM269" s="148"/>
      <c r="GN269" s="148"/>
      <c r="GO269" s="148"/>
      <c r="GP269" s="148"/>
      <c r="GQ269" s="148"/>
      <c r="GR269" s="148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  <c r="HK269" s="148"/>
      <c r="HL269" s="148"/>
      <c r="HM269" s="148"/>
      <c r="HN269" s="148"/>
      <c r="HO269" s="148"/>
      <c r="HP269" s="148"/>
      <c r="HQ269" s="148"/>
      <c r="HR269" s="148"/>
      <c r="HS269" s="148"/>
      <c r="HT269" s="148"/>
      <c r="HU269" s="148"/>
      <c r="HV269" s="148"/>
      <c r="HW269" s="148"/>
      <c r="HX269" s="148"/>
      <c r="HY269" s="148"/>
      <c r="HZ269" s="148"/>
      <c r="IA269" s="148"/>
      <c r="IB269" s="148"/>
      <c r="IC269" s="148"/>
      <c r="ID269" s="148"/>
      <c r="IE269" s="148"/>
      <c r="IF269" s="148"/>
      <c r="IG269" s="148"/>
      <c r="IH269" s="148"/>
      <c r="II269" s="148"/>
      <c r="IJ269" s="148"/>
      <c r="IK269" s="148"/>
      <c r="IL269" s="148"/>
      <c r="IM269" s="148"/>
      <c r="IN269" s="148"/>
      <c r="IO269" s="148"/>
      <c r="IP269" s="148"/>
      <c r="IQ269" s="148"/>
      <c r="IR269" s="148"/>
      <c r="IS269" s="148"/>
      <c r="IT269" s="148"/>
      <c r="IU269" s="148"/>
      <c r="IV269" s="148"/>
    </row>
    <row r="270" spans="1:256">
      <c r="A270" s="842"/>
      <c r="B270" s="845"/>
      <c r="C270" s="178" t="s">
        <v>1</v>
      </c>
      <c r="D270" s="180">
        <f>E270+M270</f>
        <v>5978949</v>
      </c>
      <c r="E270" s="181">
        <f>F270+I270+J270+K270+L270</f>
        <v>-428576</v>
      </c>
      <c r="F270" s="181">
        <f>G270+H270</f>
        <v>0</v>
      </c>
      <c r="G270" s="181"/>
      <c r="H270" s="181"/>
      <c r="I270" s="181"/>
      <c r="J270" s="181"/>
      <c r="K270" s="181">
        <f>-95786+90802-23340-4119+3081+546+651+116-340846-60150+399+70</f>
        <v>-428576</v>
      </c>
      <c r="L270" s="181"/>
      <c r="M270" s="181">
        <f>N270+P270</f>
        <v>6407525</v>
      </c>
      <c r="N270" s="181">
        <f>159525</f>
        <v>159525</v>
      </c>
      <c r="O270" s="181"/>
      <c r="P270" s="181">
        <v>6248000</v>
      </c>
      <c r="Q270" s="182"/>
      <c r="R270" s="182"/>
      <c r="S270" s="182"/>
      <c r="T270" s="182"/>
      <c r="U270" s="182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  <c r="GB270" s="148"/>
      <c r="GC270" s="148"/>
      <c r="GD270" s="148"/>
      <c r="GE270" s="148"/>
      <c r="GF270" s="148"/>
      <c r="GG270" s="148"/>
      <c r="GH270" s="148"/>
      <c r="GI270" s="148"/>
      <c r="GJ270" s="148"/>
      <c r="GK270" s="148"/>
      <c r="GL270" s="148"/>
      <c r="GM270" s="148"/>
      <c r="GN270" s="148"/>
      <c r="GO270" s="148"/>
      <c r="GP270" s="148"/>
      <c r="GQ270" s="148"/>
      <c r="GR270" s="148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  <c r="HK270" s="148"/>
      <c r="HL270" s="148"/>
      <c r="HM270" s="148"/>
      <c r="HN270" s="148"/>
      <c r="HO270" s="148"/>
      <c r="HP270" s="148"/>
      <c r="HQ270" s="148"/>
      <c r="HR270" s="148"/>
      <c r="HS270" s="148"/>
      <c r="HT270" s="148"/>
      <c r="HU270" s="148"/>
      <c r="HV270" s="148"/>
      <c r="HW270" s="148"/>
      <c r="HX270" s="148"/>
      <c r="HY270" s="148"/>
      <c r="HZ270" s="148"/>
      <c r="IA270" s="148"/>
      <c r="IB270" s="148"/>
      <c r="IC270" s="148"/>
      <c r="ID270" s="148"/>
      <c r="IE270" s="148"/>
      <c r="IF270" s="148"/>
      <c r="IG270" s="148"/>
      <c r="IH270" s="148"/>
      <c r="II270" s="148"/>
      <c r="IJ270" s="148"/>
      <c r="IK270" s="148"/>
      <c r="IL270" s="148"/>
      <c r="IM270" s="148"/>
      <c r="IN270" s="148"/>
      <c r="IO270" s="148"/>
      <c r="IP270" s="148"/>
      <c r="IQ270" s="148"/>
      <c r="IR270" s="148"/>
      <c r="IS270" s="148"/>
      <c r="IT270" s="148"/>
      <c r="IU270" s="148"/>
      <c r="IV270" s="148"/>
    </row>
    <row r="271" spans="1:256">
      <c r="A271" s="843"/>
      <c r="B271" s="846"/>
      <c r="C271" s="178" t="s">
        <v>2</v>
      </c>
      <c r="D271" s="180">
        <f>D269+D270</f>
        <v>42785538</v>
      </c>
      <c r="E271" s="181">
        <f t="shared" ref="E271:P271" si="111">E269+E270</f>
        <v>3878013</v>
      </c>
      <c r="F271" s="181">
        <f t="shared" si="111"/>
        <v>307025</v>
      </c>
      <c r="G271" s="181">
        <f t="shared" si="111"/>
        <v>1000</v>
      </c>
      <c r="H271" s="181">
        <f t="shared" si="111"/>
        <v>306025</v>
      </c>
      <c r="I271" s="181">
        <f t="shared" si="111"/>
        <v>250000</v>
      </c>
      <c r="J271" s="181">
        <f t="shared" si="111"/>
        <v>0</v>
      </c>
      <c r="K271" s="181">
        <f t="shared" si="111"/>
        <v>3320988</v>
      </c>
      <c r="L271" s="181">
        <f t="shared" si="111"/>
        <v>0</v>
      </c>
      <c r="M271" s="181">
        <f t="shared" si="111"/>
        <v>38907525</v>
      </c>
      <c r="N271" s="181">
        <f t="shared" si="111"/>
        <v>159525</v>
      </c>
      <c r="O271" s="181">
        <f t="shared" si="111"/>
        <v>0</v>
      </c>
      <c r="P271" s="181">
        <f t="shared" si="111"/>
        <v>38748000</v>
      </c>
      <c r="Q271" s="182"/>
      <c r="R271" s="182"/>
      <c r="S271" s="182"/>
      <c r="T271" s="182"/>
      <c r="U271" s="182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  <c r="GR271" s="148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  <c r="HK271" s="148"/>
      <c r="HL271" s="148"/>
      <c r="HM271" s="148"/>
      <c r="HN271" s="148"/>
      <c r="HO271" s="148"/>
      <c r="HP271" s="148"/>
      <c r="HQ271" s="148"/>
      <c r="HR271" s="148"/>
      <c r="HS271" s="148"/>
      <c r="HT271" s="148"/>
      <c r="HU271" s="148"/>
      <c r="HV271" s="148"/>
      <c r="HW271" s="148"/>
      <c r="HX271" s="148"/>
      <c r="HY271" s="148"/>
      <c r="HZ271" s="148"/>
      <c r="IA271" s="148"/>
      <c r="IB271" s="148"/>
      <c r="IC271" s="148"/>
      <c r="ID271" s="148"/>
      <c r="IE271" s="148"/>
      <c r="IF271" s="148"/>
      <c r="IG271" s="148"/>
      <c r="IH271" s="148"/>
      <c r="II271" s="148"/>
      <c r="IJ271" s="148"/>
      <c r="IK271" s="148"/>
      <c r="IL271" s="148"/>
      <c r="IM271" s="148"/>
      <c r="IN271" s="148"/>
      <c r="IO271" s="148"/>
      <c r="IP271" s="148"/>
      <c r="IQ271" s="148"/>
      <c r="IR271" s="148"/>
      <c r="IS271" s="148"/>
      <c r="IT271" s="148"/>
      <c r="IU271" s="148"/>
      <c r="IV271" s="148"/>
    </row>
    <row r="272" spans="1:256" ht="18" customHeight="1">
      <c r="A272" s="835">
        <v>852</v>
      </c>
      <c r="B272" s="838" t="s">
        <v>63</v>
      </c>
      <c r="C272" s="183" t="s">
        <v>0</v>
      </c>
      <c r="D272" s="174">
        <f>D275+D278+D281+D290+D287+D284</f>
        <v>55692181</v>
      </c>
      <c r="E272" s="175">
        <f>E275+E278+E281+E290+E287+E284</f>
        <v>33137843</v>
      </c>
      <c r="F272" s="175">
        <f t="shared" ref="F272:P273" si="112">F275+F278+F281+F290+F287+F284</f>
        <v>7241106</v>
      </c>
      <c r="G272" s="175">
        <f t="shared" si="112"/>
        <v>4367386</v>
      </c>
      <c r="H272" s="175">
        <f t="shared" si="112"/>
        <v>2873720</v>
      </c>
      <c r="I272" s="175">
        <f t="shared" si="112"/>
        <v>75000</v>
      </c>
      <c r="J272" s="175">
        <f t="shared" si="112"/>
        <v>49120</v>
      </c>
      <c r="K272" s="175">
        <f t="shared" si="112"/>
        <v>25772617</v>
      </c>
      <c r="L272" s="175">
        <f t="shared" si="112"/>
        <v>0</v>
      </c>
      <c r="M272" s="175">
        <f t="shared" si="112"/>
        <v>22554338</v>
      </c>
      <c r="N272" s="175">
        <f t="shared" si="112"/>
        <v>22554338</v>
      </c>
      <c r="O272" s="175">
        <f t="shared" si="112"/>
        <v>21633068</v>
      </c>
      <c r="P272" s="175">
        <f t="shared" si="112"/>
        <v>0</v>
      </c>
      <c r="Q272" s="188"/>
      <c r="R272" s="188"/>
      <c r="S272" s="188"/>
      <c r="T272" s="188"/>
      <c r="U272" s="188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  <c r="FF272" s="189"/>
      <c r="FG272" s="189"/>
      <c r="FH272" s="189"/>
      <c r="FI272" s="189"/>
      <c r="FJ272" s="189"/>
      <c r="FK272" s="189"/>
      <c r="FL272" s="189"/>
      <c r="FM272" s="189"/>
      <c r="FN272" s="189"/>
      <c r="FO272" s="189"/>
      <c r="FP272" s="189"/>
      <c r="FQ272" s="189"/>
      <c r="FR272" s="189"/>
      <c r="FS272" s="189"/>
      <c r="FT272" s="189"/>
      <c r="FU272" s="189"/>
      <c r="FV272" s="189"/>
      <c r="FW272" s="189"/>
      <c r="FX272" s="189"/>
      <c r="FY272" s="189"/>
      <c r="FZ272" s="189"/>
      <c r="GA272" s="189"/>
      <c r="GB272" s="189"/>
      <c r="GC272" s="189"/>
      <c r="GD272" s="189"/>
      <c r="GE272" s="189"/>
      <c r="GF272" s="189"/>
      <c r="GG272" s="189"/>
      <c r="GH272" s="189"/>
      <c r="GI272" s="189"/>
      <c r="GJ272" s="189"/>
      <c r="GK272" s="189"/>
      <c r="GL272" s="189"/>
      <c r="GM272" s="189"/>
      <c r="GN272" s="189"/>
      <c r="GO272" s="189"/>
      <c r="GP272" s="189"/>
      <c r="GQ272" s="189"/>
      <c r="GR272" s="189"/>
      <c r="GS272" s="189"/>
      <c r="GT272" s="189"/>
      <c r="GU272" s="189"/>
      <c r="GV272" s="189"/>
      <c r="GW272" s="189"/>
      <c r="GX272" s="189"/>
      <c r="GY272" s="189"/>
      <c r="GZ272" s="189"/>
      <c r="HA272" s="189"/>
      <c r="HB272" s="189"/>
      <c r="HC272" s="189"/>
      <c r="HD272" s="189"/>
      <c r="HE272" s="189"/>
      <c r="HF272" s="189"/>
      <c r="HG272" s="189"/>
      <c r="HH272" s="189"/>
      <c r="HI272" s="189"/>
      <c r="HJ272" s="189"/>
      <c r="HK272" s="189"/>
      <c r="HL272" s="189"/>
      <c r="HM272" s="189"/>
      <c r="HN272" s="189"/>
      <c r="HO272" s="189"/>
      <c r="HP272" s="189"/>
      <c r="HQ272" s="189"/>
      <c r="HR272" s="189"/>
      <c r="HS272" s="189"/>
      <c r="HT272" s="189"/>
      <c r="HU272" s="189"/>
      <c r="HV272" s="189"/>
      <c r="HW272" s="189"/>
      <c r="HX272" s="189"/>
      <c r="HY272" s="189"/>
      <c r="HZ272" s="189"/>
      <c r="IA272" s="189"/>
      <c r="IB272" s="189"/>
      <c r="IC272" s="189"/>
      <c r="ID272" s="189"/>
      <c r="IE272" s="189"/>
      <c r="IF272" s="189"/>
      <c r="IG272" s="189"/>
      <c r="IH272" s="189"/>
      <c r="II272" s="189"/>
      <c r="IJ272" s="189"/>
      <c r="IK272" s="189"/>
      <c r="IL272" s="189"/>
      <c r="IM272" s="189"/>
      <c r="IN272" s="189"/>
      <c r="IO272" s="189"/>
      <c r="IP272" s="189"/>
      <c r="IQ272" s="189"/>
      <c r="IR272" s="189"/>
      <c r="IS272" s="189"/>
      <c r="IT272" s="189"/>
      <c r="IU272" s="189"/>
      <c r="IV272" s="189"/>
    </row>
    <row r="273" spans="1:256" ht="18" customHeight="1">
      <c r="A273" s="836"/>
      <c r="B273" s="839"/>
      <c r="C273" s="183" t="s">
        <v>1</v>
      </c>
      <c r="D273" s="174">
        <f>D276+D279+D282+D291+D288+D285</f>
        <v>2478202</v>
      </c>
      <c r="E273" s="175">
        <f>E276+E279+E282+E291+E288+E285</f>
        <v>765427</v>
      </c>
      <c r="F273" s="175">
        <f t="shared" si="112"/>
        <v>800000</v>
      </c>
      <c r="G273" s="175">
        <f t="shared" si="112"/>
        <v>0</v>
      </c>
      <c r="H273" s="175">
        <f t="shared" si="112"/>
        <v>800000</v>
      </c>
      <c r="I273" s="175">
        <f t="shared" si="112"/>
        <v>0</v>
      </c>
      <c r="J273" s="175">
        <f t="shared" si="112"/>
        <v>0</v>
      </c>
      <c r="K273" s="175">
        <f t="shared" si="112"/>
        <v>-34573</v>
      </c>
      <c r="L273" s="175">
        <f t="shared" si="112"/>
        <v>0</v>
      </c>
      <c r="M273" s="175">
        <f t="shared" si="112"/>
        <v>1712775</v>
      </c>
      <c r="N273" s="175">
        <f t="shared" si="112"/>
        <v>1712775</v>
      </c>
      <c r="O273" s="175">
        <f t="shared" si="112"/>
        <v>799129</v>
      </c>
      <c r="P273" s="175">
        <f t="shared" si="112"/>
        <v>0</v>
      </c>
      <c r="Q273" s="188"/>
      <c r="R273" s="188"/>
      <c r="S273" s="188"/>
      <c r="T273" s="188"/>
      <c r="U273" s="188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  <c r="FF273" s="189"/>
      <c r="FG273" s="189"/>
      <c r="FH273" s="189"/>
      <c r="FI273" s="189"/>
      <c r="FJ273" s="189"/>
      <c r="FK273" s="189"/>
      <c r="FL273" s="189"/>
      <c r="FM273" s="189"/>
      <c r="FN273" s="189"/>
      <c r="FO273" s="189"/>
      <c r="FP273" s="189"/>
      <c r="FQ273" s="189"/>
      <c r="FR273" s="189"/>
      <c r="FS273" s="189"/>
      <c r="FT273" s="189"/>
      <c r="FU273" s="189"/>
      <c r="FV273" s="189"/>
      <c r="FW273" s="189"/>
      <c r="FX273" s="189"/>
      <c r="FY273" s="189"/>
      <c r="FZ273" s="189"/>
      <c r="GA273" s="189"/>
      <c r="GB273" s="189"/>
      <c r="GC273" s="189"/>
      <c r="GD273" s="189"/>
      <c r="GE273" s="189"/>
      <c r="GF273" s="189"/>
      <c r="GG273" s="189"/>
      <c r="GH273" s="189"/>
      <c r="GI273" s="189"/>
      <c r="GJ273" s="189"/>
      <c r="GK273" s="189"/>
      <c r="GL273" s="189"/>
      <c r="GM273" s="189"/>
      <c r="GN273" s="189"/>
      <c r="GO273" s="189"/>
      <c r="GP273" s="189"/>
      <c r="GQ273" s="189"/>
      <c r="GR273" s="189"/>
      <c r="GS273" s="189"/>
      <c r="GT273" s="189"/>
      <c r="GU273" s="189"/>
      <c r="GV273" s="189"/>
      <c r="GW273" s="189"/>
      <c r="GX273" s="189"/>
      <c r="GY273" s="189"/>
      <c r="GZ273" s="189"/>
      <c r="HA273" s="189"/>
      <c r="HB273" s="189"/>
      <c r="HC273" s="189"/>
      <c r="HD273" s="189"/>
      <c r="HE273" s="189"/>
      <c r="HF273" s="189"/>
      <c r="HG273" s="189"/>
      <c r="HH273" s="189"/>
      <c r="HI273" s="189"/>
      <c r="HJ273" s="189"/>
      <c r="HK273" s="189"/>
      <c r="HL273" s="189"/>
      <c r="HM273" s="189"/>
      <c r="HN273" s="189"/>
      <c r="HO273" s="189"/>
      <c r="HP273" s="189"/>
      <c r="HQ273" s="189"/>
      <c r="HR273" s="189"/>
      <c r="HS273" s="189"/>
      <c r="HT273" s="189"/>
      <c r="HU273" s="189"/>
      <c r="HV273" s="189"/>
      <c r="HW273" s="189"/>
      <c r="HX273" s="189"/>
      <c r="HY273" s="189"/>
      <c r="HZ273" s="189"/>
      <c r="IA273" s="189"/>
      <c r="IB273" s="189"/>
      <c r="IC273" s="189"/>
      <c r="ID273" s="189"/>
      <c r="IE273" s="189"/>
      <c r="IF273" s="189"/>
      <c r="IG273" s="189"/>
      <c r="IH273" s="189"/>
      <c r="II273" s="189"/>
      <c r="IJ273" s="189"/>
      <c r="IK273" s="189"/>
      <c r="IL273" s="189"/>
      <c r="IM273" s="189"/>
      <c r="IN273" s="189"/>
      <c r="IO273" s="189"/>
      <c r="IP273" s="189"/>
      <c r="IQ273" s="189"/>
      <c r="IR273" s="189"/>
      <c r="IS273" s="189"/>
      <c r="IT273" s="189"/>
      <c r="IU273" s="189"/>
      <c r="IV273" s="189"/>
    </row>
    <row r="274" spans="1:256" ht="18" customHeight="1">
      <c r="A274" s="837"/>
      <c r="B274" s="840"/>
      <c r="C274" s="183" t="s">
        <v>2</v>
      </c>
      <c r="D274" s="174">
        <f>D272+D273</f>
        <v>58170383</v>
      </c>
      <c r="E274" s="175">
        <f t="shared" ref="E274:P274" si="113">E272+E273</f>
        <v>33903270</v>
      </c>
      <c r="F274" s="175">
        <f t="shared" si="113"/>
        <v>8041106</v>
      </c>
      <c r="G274" s="175">
        <f t="shared" si="113"/>
        <v>4367386</v>
      </c>
      <c r="H274" s="175">
        <f t="shared" si="113"/>
        <v>3673720</v>
      </c>
      <c r="I274" s="175">
        <f t="shared" si="113"/>
        <v>75000</v>
      </c>
      <c r="J274" s="175">
        <f t="shared" si="113"/>
        <v>49120</v>
      </c>
      <c r="K274" s="175">
        <f t="shared" si="113"/>
        <v>25738044</v>
      </c>
      <c r="L274" s="175">
        <f t="shared" si="113"/>
        <v>0</v>
      </c>
      <c r="M274" s="175">
        <f t="shared" si="113"/>
        <v>24267113</v>
      </c>
      <c r="N274" s="175">
        <f t="shared" si="113"/>
        <v>24267113</v>
      </c>
      <c r="O274" s="175">
        <f t="shared" si="113"/>
        <v>22432197</v>
      </c>
      <c r="P274" s="175">
        <f t="shared" si="113"/>
        <v>0</v>
      </c>
      <c r="Q274" s="188"/>
      <c r="R274" s="188"/>
      <c r="S274" s="188"/>
      <c r="T274" s="188"/>
      <c r="U274" s="188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  <c r="FF274" s="189"/>
      <c r="FG274" s="189"/>
      <c r="FH274" s="189"/>
      <c r="FI274" s="189"/>
      <c r="FJ274" s="189"/>
      <c r="FK274" s="189"/>
      <c r="FL274" s="189"/>
      <c r="FM274" s="189"/>
      <c r="FN274" s="189"/>
      <c r="FO274" s="189"/>
      <c r="FP274" s="189"/>
      <c r="FQ274" s="189"/>
      <c r="FR274" s="189"/>
      <c r="FS274" s="189"/>
      <c r="FT274" s="189"/>
      <c r="FU274" s="189"/>
      <c r="FV274" s="189"/>
      <c r="FW274" s="189"/>
      <c r="FX274" s="189"/>
      <c r="FY274" s="189"/>
      <c r="FZ274" s="189"/>
      <c r="GA274" s="189"/>
      <c r="GB274" s="189"/>
      <c r="GC274" s="189"/>
      <c r="GD274" s="189"/>
      <c r="GE274" s="189"/>
      <c r="GF274" s="189"/>
      <c r="GG274" s="189"/>
      <c r="GH274" s="189"/>
      <c r="GI274" s="189"/>
      <c r="GJ274" s="189"/>
      <c r="GK274" s="189"/>
      <c r="GL274" s="189"/>
      <c r="GM274" s="189"/>
      <c r="GN274" s="189"/>
      <c r="GO274" s="189"/>
      <c r="GP274" s="189"/>
      <c r="GQ274" s="189"/>
      <c r="GR274" s="189"/>
      <c r="GS274" s="189"/>
      <c r="GT274" s="189"/>
      <c r="GU274" s="189"/>
      <c r="GV274" s="189"/>
      <c r="GW274" s="189"/>
      <c r="GX274" s="189"/>
      <c r="GY274" s="189"/>
      <c r="GZ274" s="189"/>
      <c r="HA274" s="189"/>
      <c r="HB274" s="189"/>
      <c r="HC274" s="189"/>
      <c r="HD274" s="189"/>
      <c r="HE274" s="189"/>
      <c r="HF274" s="189"/>
      <c r="HG274" s="189"/>
      <c r="HH274" s="189"/>
      <c r="HI274" s="189"/>
      <c r="HJ274" s="189"/>
      <c r="HK274" s="189"/>
      <c r="HL274" s="189"/>
      <c r="HM274" s="189"/>
      <c r="HN274" s="189"/>
      <c r="HO274" s="189"/>
      <c r="HP274" s="189"/>
      <c r="HQ274" s="189"/>
      <c r="HR274" s="189"/>
      <c r="HS274" s="189"/>
      <c r="HT274" s="189"/>
      <c r="HU274" s="189"/>
      <c r="HV274" s="189"/>
      <c r="HW274" s="189"/>
      <c r="HX274" s="189"/>
      <c r="HY274" s="189"/>
      <c r="HZ274" s="189"/>
      <c r="IA274" s="189"/>
      <c r="IB274" s="189"/>
      <c r="IC274" s="189"/>
      <c r="ID274" s="189"/>
      <c r="IE274" s="189"/>
      <c r="IF274" s="189"/>
      <c r="IG274" s="189"/>
      <c r="IH274" s="189"/>
      <c r="II274" s="189"/>
      <c r="IJ274" s="189"/>
      <c r="IK274" s="189"/>
      <c r="IL274" s="189"/>
      <c r="IM274" s="189"/>
      <c r="IN274" s="189"/>
      <c r="IO274" s="189"/>
      <c r="IP274" s="189"/>
      <c r="IQ274" s="189"/>
      <c r="IR274" s="189"/>
      <c r="IS274" s="189"/>
      <c r="IT274" s="189"/>
      <c r="IU274" s="189"/>
      <c r="IV274" s="189"/>
    </row>
    <row r="275" spans="1:256">
      <c r="A275" s="841">
        <v>85203</v>
      </c>
      <c r="B275" s="844" t="s">
        <v>292</v>
      </c>
      <c r="C275" s="178" t="s">
        <v>0</v>
      </c>
      <c r="D275" s="180">
        <f>E275+M275</f>
        <v>1888479</v>
      </c>
      <c r="E275" s="181">
        <f>F275+I275+J275+K275+L275</f>
        <v>1888479</v>
      </c>
      <c r="F275" s="181">
        <f>G275+H275</f>
        <v>0</v>
      </c>
      <c r="G275" s="181">
        <v>0</v>
      </c>
      <c r="H275" s="181">
        <v>0</v>
      </c>
      <c r="I275" s="181">
        <v>0</v>
      </c>
      <c r="J275" s="181">
        <v>0</v>
      </c>
      <c r="K275" s="181">
        <v>1888479</v>
      </c>
      <c r="L275" s="181">
        <v>0</v>
      </c>
      <c r="M275" s="181">
        <f>N275+P275</f>
        <v>0</v>
      </c>
      <c r="N275" s="181">
        <v>0</v>
      </c>
      <c r="O275" s="181">
        <v>0</v>
      </c>
      <c r="P275" s="181">
        <v>0</v>
      </c>
      <c r="Q275" s="182"/>
      <c r="R275" s="182"/>
      <c r="S275" s="182"/>
      <c r="T275" s="182"/>
      <c r="U275" s="182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  <c r="GR275" s="148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  <c r="HK275" s="148"/>
      <c r="HL275" s="148"/>
      <c r="HM275" s="148"/>
      <c r="HN275" s="148"/>
      <c r="HO275" s="148"/>
      <c r="HP275" s="148"/>
      <c r="HQ275" s="148"/>
      <c r="HR275" s="148"/>
      <c r="HS275" s="148"/>
      <c r="HT275" s="148"/>
      <c r="HU275" s="148"/>
      <c r="HV275" s="148"/>
      <c r="HW275" s="148"/>
      <c r="HX275" s="148"/>
      <c r="HY275" s="148"/>
      <c r="HZ275" s="148"/>
      <c r="IA275" s="148"/>
      <c r="IB275" s="148"/>
      <c r="IC275" s="148"/>
      <c r="ID275" s="148"/>
      <c r="IE275" s="148"/>
      <c r="IF275" s="148"/>
      <c r="IG275" s="148"/>
      <c r="IH275" s="148"/>
      <c r="II275" s="148"/>
      <c r="IJ275" s="148"/>
      <c r="IK275" s="148"/>
      <c r="IL275" s="148"/>
      <c r="IM275" s="148"/>
      <c r="IN275" s="148"/>
      <c r="IO275" s="148"/>
      <c r="IP275" s="148"/>
      <c r="IQ275" s="148"/>
      <c r="IR275" s="148"/>
      <c r="IS275" s="148"/>
      <c r="IT275" s="148"/>
      <c r="IU275" s="148"/>
      <c r="IV275" s="148"/>
    </row>
    <row r="276" spans="1:256">
      <c r="A276" s="842"/>
      <c r="B276" s="845"/>
      <c r="C276" s="178" t="s">
        <v>1</v>
      </c>
      <c r="D276" s="180">
        <f>E276+M276</f>
        <v>425000</v>
      </c>
      <c r="E276" s="181">
        <f>F276+I276+J276+K276+L276</f>
        <v>425000</v>
      </c>
      <c r="F276" s="181">
        <f>G276+H276</f>
        <v>0</v>
      </c>
      <c r="G276" s="181"/>
      <c r="H276" s="181"/>
      <c r="I276" s="181"/>
      <c r="J276" s="181"/>
      <c r="K276" s="181">
        <f>425000</f>
        <v>425000</v>
      </c>
      <c r="L276" s="181"/>
      <c r="M276" s="181">
        <f>N276+P276</f>
        <v>0</v>
      </c>
      <c r="N276" s="181"/>
      <c r="O276" s="181"/>
      <c r="P276" s="181"/>
      <c r="Q276" s="182"/>
      <c r="R276" s="182"/>
      <c r="S276" s="182"/>
      <c r="T276" s="182"/>
      <c r="U276" s="182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  <c r="GB276" s="148"/>
      <c r="GC276" s="148"/>
      <c r="GD276" s="148"/>
      <c r="GE276" s="148"/>
      <c r="GF276" s="148"/>
      <c r="GG276" s="148"/>
      <c r="GH276" s="148"/>
      <c r="GI276" s="148"/>
      <c r="GJ276" s="148"/>
      <c r="GK276" s="148"/>
      <c r="GL276" s="148"/>
      <c r="GM276" s="148"/>
      <c r="GN276" s="148"/>
      <c r="GO276" s="148"/>
      <c r="GP276" s="148"/>
      <c r="GQ276" s="148"/>
      <c r="GR276" s="148"/>
      <c r="GS276" s="148"/>
      <c r="GT276" s="148"/>
      <c r="GU276" s="148"/>
      <c r="GV276" s="148"/>
      <c r="GW276" s="148"/>
      <c r="GX276" s="148"/>
      <c r="GY276" s="148"/>
      <c r="GZ276" s="148"/>
      <c r="HA276" s="148"/>
      <c r="HB276" s="148"/>
      <c r="HC276" s="148"/>
      <c r="HD276" s="148"/>
      <c r="HE276" s="148"/>
      <c r="HF276" s="148"/>
      <c r="HG276" s="148"/>
      <c r="HH276" s="148"/>
      <c r="HI276" s="148"/>
      <c r="HJ276" s="148"/>
      <c r="HK276" s="148"/>
      <c r="HL276" s="148"/>
      <c r="HM276" s="148"/>
      <c r="HN276" s="148"/>
      <c r="HO276" s="148"/>
      <c r="HP276" s="148"/>
      <c r="HQ276" s="148"/>
      <c r="HR276" s="148"/>
      <c r="HS276" s="148"/>
      <c r="HT276" s="148"/>
      <c r="HU276" s="148"/>
      <c r="HV276" s="148"/>
      <c r="HW276" s="148"/>
      <c r="HX276" s="148"/>
      <c r="HY276" s="148"/>
      <c r="HZ276" s="148"/>
      <c r="IA276" s="148"/>
      <c r="IB276" s="148"/>
      <c r="IC276" s="148"/>
      <c r="ID276" s="148"/>
      <c r="IE276" s="148"/>
      <c r="IF276" s="148"/>
      <c r="IG276" s="148"/>
      <c r="IH276" s="148"/>
      <c r="II276" s="148"/>
      <c r="IJ276" s="148"/>
      <c r="IK276" s="148"/>
      <c r="IL276" s="148"/>
      <c r="IM276" s="148"/>
      <c r="IN276" s="148"/>
      <c r="IO276" s="148"/>
      <c r="IP276" s="148"/>
      <c r="IQ276" s="148"/>
      <c r="IR276" s="148"/>
      <c r="IS276" s="148"/>
      <c r="IT276" s="148"/>
      <c r="IU276" s="148"/>
      <c r="IV276" s="148"/>
    </row>
    <row r="277" spans="1:256">
      <c r="A277" s="843"/>
      <c r="B277" s="846"/>
      <c r="C277" s="178" t="s">
        <v>2</v>
      </c>
      <c r="D277" s="180">
        <f>D275+D276</f>
        <v>2313479</v>
      </c>
      <c r="E277" s="181">
        <f t="shared" ref="E277:P277" si="114">E275+E276</f>
        <v>2313479</v>
      </c>
      <c r="F277" s="181">
        <f t="shared" si="114"/>
        <v>0</v>
      </c>
      <c r="G277" s="181">
        <f t="shared" si="114"/>
        <v>0</v>
      </c>
      <c r="H277" s="181">
        <f t="shared" si="114"/>
        <v>0</v>
      </c>
      <c r="I277" s="181">
        <f t="shared" si="114"/>
        <v>0</v>
      </c>
      <c r="J277" s="181">
        <f t="shared" si="114"/>
        <v>0</v>
      </c>
      <c r="K277" s="181">
        <f t="shared" si="114"/>
        <v>2313479</v>
      </c>
      <c r="L277" s="181">
        <f t="shared" si="114"/>
        <v>0</v>
      </c>
      <c r="M277" s="181">
        <f t="shared" si="114"/>
        <v>0</v>
      </c>
      <c r="N277" s="181">
        <f t="shared" si="114"/>
        <v>0</v>
      </c>
      <c r="O277" s="181">
        <f t="shared" si="114"/>
        <v>0</v>
      </c>
      <c r="P277" s="181">
        <f t="shared" si="114"/>
        <v>0</v>
      </c>
      <c r="Q277" s="182"/>
      <c r="R277" s="182"/>
      <c r="S277" s="182"/>
      <c r="T277" s="182"/>
      <c r="U277" s="182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  <c r="GB277" s="148"/>
      <c r="GC277" s="148"/>
      <c r="GD277" s="148"/>
      <c r="GE277" s="148"/>
      <c r="GF277" s="148"/>
      <c r="GG277" s="148"/>
      <c r="GH277" s="148"/>
      <c r="GI277" s="148"/>
      <c r="GJ277" s="148"/>
      <c r="GK277" s="148"/>
      <c r="GL277" s="148"/>
      <c r="GM277" s="148"/>
      <c r="GN277" s="148"/>
      <c r="GO277" s="148"/>
      <c r="GP277" s="148"/>
      <c r="GQ277" s="148"/>
      <c r="GR277" s="148"/>
      <c r="GS277" s="148"/>
      <c r="GT277" s="148"/>
      <c r="GU277" s="148"/>
      <c r="GV277" s="148"/>
      <c r="GW277" s="148"/>
      <c r="GX277" s="148"/>
      <c r="GY277" s="148"/>
      <c r="GZ277" s="148"/>
      <c r="HA277" s="148"/>
      <c r="HB277" s="148"/>
      <c r="HC277" s="148"/>
      <c r="HD277" s="148"/>
      <c r="HE277" s="148"/>
      <c r="HF277" s="148"/>
      <c r="HG277" s="148"/>
      <c r="HH277" s="148"/>
      <c r="HI277" s="148"/>
      <c r="HJ277" s="148"/>
      <c r="HK277" s="148"/>
      <c r="HL277" s="148"/>
      <c r="HM277" s="148"/>
      <c r="HN277" s="148"/>
      <c r="HO277" s="148"/>
      <c r="HP277" s="148"/>
      <c r="HQ277" s="148"/>
      <c r="HR277" s="148"/>
      <c r="HS277" s="148"/>
      <c r="HT277" s="148"/>
      <c r="HU277" s="148"/>
      <c r="HV277" s="148"/>
      <c r="HW277" s="148"/>
      <c r="HX277" s="148"/>
      <c r="HY277" s="148"/>
      <c r="HZ277" s="148"/>
      <c r="IA277" s="148"/>
      <c r="IB277" s="148"/>
      <c r="IC277" s="148"/>
      <c r="ID277" s="148"/>
      <c r="IE277" s="148"/>
      <c r="IF277" s="148"/>
      <c r="IG277" s="148"/>
      <c r="IH277" s="148"/>
      <c r="II277" s="148"/>
      <c r="IJ277" s="148"/>
      <c r="IK277" s="148"/>
      <c r="IL277" s="148"/>
      <c r="IM277" s="148"/>
      <c r="IN277" s="148"/>
      <c r="IO277" s="148"/>
      <c r="IP277" s="148"/>
      <c r="IQ277" s="148"/>
      <c r="IR277" s="148"/>
      <c r="IS277" s="148"/>
      <c r="IT277" s="148"/>
      <c r="IU277" s="148"/>
      <c r="IV277" s="148"/>
    </row>
    <row r="278" spans="1:256">
      <c r="A278" s="841">
        <v>85205</v>
      </c>
      <c r="B278" s="844" t="s">
        <v>147</v>
      </c>
      <c r="C278" s="178" t="s">
        <v>0</v>
      </c>
      <c r="D278" s="170">
        <f>E278+M278</f>
        <v>745000</v>
      </c>
      <c r="E278" s="171">
        <f>F278+I278+J278+K278+L278</f>
        <v>745000</v>
      </c>
      <c r="F278" s="171">
        <f>G278+H278</f>
        <v>670000</v>
      </c>
      <c r="G278" s="171">
        <v>213500</v>
      </c>
      <c r="H278" s="171">
        <v>456500</v>
      </c>
      <c r="I278" s="171">
        <v>75000</v>
      </c>
      <c r="J278" s="171">
        <v>0</v>
      </c>
      <c r="K278" s="171">
        <v>0</v>
      </c>
      <c r="L278" s="171">
        <v>0</v>
      </c>
      <c r="M278" s="171">
        <f>N278+P278</f>
        <v>0</v>
      </c>
      <c r="N278" s="171">
        <v>0</v>
      </c>
      <c r="O278" s="171">
        <v>0</v>
      </c>
      <c r="P278" s="171">
        <v>0</v>
      </c>
      <c r="Q278" s="172"/>
      <c r="R278" s="172"/>
      <c r="S278" s="172"/>
      <c r="T278" s="172"/>
      <c r="U278" s="172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63"/>
      <c r="CN278" s="163"/>
      <c r="CO278" s="163"/>
      <c r="CP278" s="163"/>
      <c r="CQ278" s="163"/>
      <c r="CR278" s="163"/>
      <c r="CS278" s="163"/>
      <c r="CT278" s="163"/>
      <c r="CU278" s="163"/>
      <c r="CV278" s="163"/>
      <c r="CW278" s="163"/>
      <c r="CX278" s="163"/>
      <c r="CY278" s="163"/>
      <c r="CZ278" s="163"/>
      <c r="DA278" s="163"/>
      <c r="DB278" s="163"/>
      <c r="DC278" s="163"/>
      <c r="DD278" s="163"/>
      <c r="DE278" s="163"/>
      <c r="DF278" s="163"/>
      <c r="DG278" s="163"/>
      <c r="DH278" s="163"/>
      <c r="DI278" s="163"/>
      <c r="DJ278" s="163"/>
      <c r="DK278" s="163"/>
      <c r="DL278" s="163"/>
      <c r="DM278" s="163"/>
      <c r="DN278" s="163"/>
      <c r="DO278" s="163"/>
      <c r="DP278" s="163"/>
      <c r="DQ278" s="163"/>
      <c r="DR278" s="163"/>
      <c r="DS278" s="163"/>
      <c r="DT278" s="163"/>
      <c r="DU278" s="163"/>
      <c r="DV278" s="163"/>
      <c r="DW278" s="163"/>
      <c r="DX278" s="163"/>
      <c r="DY278" s="163"/>
      <c r="DZ278" s="163"/>
      <c r="EA278" s="163"/>
      <c r="EB278" s="163"/>
      <c r="EC278" s="163"/>
      <c r="ED278" s="163"/>
      <c r="EE278" s="163"/>
      <c r="EF278" s="163"/>
      <c r="EG278" s="163"/>
      <c r="EH278" s="163"/>
      <c r="EI278" s="163"/>
      <c r="EJ278" s="163"/>
      <c r="EK278" s="163"/>
      <c r="EL278" s="163"/>
      <c r="EM278" s="163"/>
      <c r="EN278" s="163"/>
      <c r="EO278" s="163"/>
      <c r="EP278" s="163"/>
      <c r="EQ278" s="163"/>
      <c r="ER278" s="163"/>
      <c r="ES278" s="163"/>
      <c r="ET278" s="163"/>
      <c r="EU278" s="163"/>
      <c r="EV278" s="163"/>
      <c r="EW278" s="163"/>
      <c r="EX278" s="163"/>
      <c r="EY278" s="163"/>
      <c r="EZ278" s="163"/>
      <c r="FA278" s="163"/>
      <c r="FB278" s="163"/>
      <c r="FC278" s="163"/>
      <c r="FD278" s="163"/>
      <c r="FE278" s="163"/>
      <c r="FF278" s="163"/>
      <c r="FG278" s="163"/>
      <c r="FH278" s="163"/>
      <c r="FI278" s="163"/>
      <c r="FJ278" s="163"/>
      <c r="FK278" s="163"/>
      <c r="FL278" s="163"/>
      <c r="FM278" s="163"/>
      <c r="FN278" s="163"/>
      <c r="FO278" s="163"/>
      <c r="FP278" s="163"/>
      <c r="FQ278" s="163"/>
      <c r="FR278" s="163"/>
      <c r="FS278" s="163"/>
      <c r="FT278" s="163"/>
      <c r="FU278" s="163"/>
      <c r="FV278" s="163"/>
      <c r="FW278" s="163"/>
      <c r="FX278" s="163"/>
      <c r="FY278" s="163"/>
      <c r="FZ278" s="163"/>
      <c r="GA278" s="163"/>
      <c r="GB278" s="163"/>
      <c r="GC278" s="163"/>
      <c r="GD278" s="163"/>
      <c r="GE278" s="163"/>
      <c r="GF278" s="163"/>
      <c r="GG278" s="163"/>
      <c r="GH278" s="163"/>
      <c r="GI278" s="163"/>
      <c r="GJ278" s="163"/>
      <c r="GK278" s="163"/>
      <c r="GL278" s="163"/>
      <c r="GM278" s="163"/>
      <c r="GN278" s="163"/>
      <c r="GO278" s="163"/>
      <c r="GP278" s="163"/>
      <c r="GQ278" s="163"/>
      <c r="GR278" s="163"/>
      <c r="GS278" s="163"/>
      <c r="GT278" s="163"/>
      <c r="GU278" s="163"/>
      <c r="GV278" s="163"/>
      <c r="GW278" s="163"/>
      <c r="GX278" s="163"/>
      <c r="GY278" s="163"/>
      <c r="GZ278" s="163"/>
      <c r="HA278" s="163"/>
      <c r="HB278" s="163"/>
      <c r="HC278" s="163"/>
      <c r="HD278" s="163"/>
      <c r="HE278" s="163"/>
      <c r="HF278" s="163"/>
      <c r="HG278" s="163"/>
      <c r="HH278" s="163"/>
      <c r="HI278" s="163"/>
      <c r="HJ278" s="163"/>
      <c r="HK278" s="163"/>
      <c r="HL278" s="163"/>
      <c r="HM278" s="163"/>
      <c r="HN278" s="163"/>
      <c r="HO278" s="163"/>
      <c r="HP278" s="163"/>
      <c r="HQ278" s="163"/>
      <c r="HR278" s="163"/>
      <c r="HS278" s="163"/>
      <c r="HT278" s="163"/>
      <c r="HU278" s="163"/>
      <c r="HV278" s="163"/>
      <c r="HW278" s="163"/>
      <c r="HX278" s="163"/>
      <c r="HY278" s="163"/>
      <c r="HZ278" s="163"/>
      <c r="IA278" s="163"/>
      <c r="IB278" s="163"/>
      <c r="IC278" s="163"/>
      <c r="ID278" s="163"/>
      <c r="IE278" s="163"/>
      <c r="IF278" s="163"/>
      <c r="IG278" s="163"/>
      <c r="IH278" s="163"/>
      <c r="II278" s="163"/>
      <c r="IJ278" s="163"/>
      <c r="IK278" s="163"/>
      <c r="IL278" s="163"/>
      <c r="IM278" s="163"/>
      <c r="IN278" s="163"/>
      <c r="IO278" s="163"/>
      <c r="IP278" s="163"/>
      <c r="IQ278" s="163"/>
      <c r="IR278" s="163"/>
      <c r="IS278" s="163"/>
      <c r="IT278" s="163"/>
      <c r="IU278" s="163"/>
      <c r="IV278" s="163"/>
    </row>
    <row r="279" spans="1:256">
      <c r="A279" s="842"/>
      <c r="B279" s="845"/>
      <c r="C279" s="178" t="s">
        <v>1</v>
      </c>
      <c r="D279" s="170">
        <f>E279+M279</f>
        <v>100000</v>
      </c>
      <c r="E279" s="171">
        <f>F279+I279+J279+K279+L279</f>
        <v>100000</v>
      </c>
      <c r="F279" s="171">
        <f>G279+H279</f>
        <v>100000</v>
      </c>
      <c r="G279" s="171"/>
      <c r="H279" s="171">
        <v>100000</v>
      </c>
      <c r="I279" s="171"/>
      <c r="J279" s="171"/>
      <c r="K279" s="171"/>
      <c r="L279" s="171"/>
      <c r="M279" s="171">
        <f>N279+P279</f>
        <v>0</v>
      </c>
      <c r="N279" s="171"/>
      <c r="O279" s="171"/>
      <c r="P279" s="171"/>
      <c r="Q279" s="172"/>
      <c r="R279" s="172"/>
      <c r="S279" s="172"/>
      <c r="T279" s="172"/>
      <c r="U279" s="172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63"/>
      <c r="CN279" s="163"/>
      <c r="CO279" s="163"/>
      <c r="CP279" s="163"/>
      <c r="CQ279" s="163"/>
      <c r="CR279" s="163"/>
      <c r="CS279" s="163"/>
      <c r="CT279" s="163"/>
      <c r="CU279" s="163"/>
      <c r="CV279" s="163"/>
      <c r="CW279" s="163"/>
      <c r="CX279" s="163"/>
      <c r="CY279" s="163"/>
      <c r="CZ279" s="163"/>
      <c r="DA279" s="163"/>
      <c r="DB279" s="163"/>
      <c r="DC279" s="163"/>
      <c r="DD279" s="163"/>
      <c r="DE279" s="163"/>
      <c r="DF279" s="163"/>
      <c r="DG279" s="163"/>
      <c r="DH279" s="163"/>
      <c r="DI279" s="163"/>
      <c r="DJ279" s="163"/>
      <c r="DK279" s="163"/>
      <c r="DL279" s="163"/>
      <c r="DM279" s="163"/>
      <c r="DN279" s="163"/>
      <c r="DO279" s="163"/>
      <c r="DP279" s="163"/>
      <c r="DQ279" s="163"/>
      <c r="DR279" s="163"/>
      <c r="DS279" s="163"/>
      <c r="DT279" s="163"/>
      <c r="DU279" s="163"/>
      <c r="DV279" s="163"/>
      <c r="DW279" s="163"/>
      <c r="DX279" s="163"/>
      <c r="DY279" s="163"/>
      <c r="DZ279" s="163"/>
      <c r="EA279" s="163"/>
      <c r="EB279" s="163"/>
      <c r="EC279" s="163"/>
      <c r="ED279" s="163"/>
      <c r="EE279" s="163"/>
      <c r="EF279" s="163"/>
      <c r="EG279" s="163"/>
      <c r="EH279" s="163"/>
      <c r="EI279" s="163"/>
      <c r="EJ279" s="163"/>
      <c r="EK279" s="163"/>
      <c r="EL279" s="163"/>
      <c r="EM279" s="163"/>
      <c r="EN279" s="163"/>
      <c r="EO279" s="163"/>
      <c r="EP279" s="163"/>
      <c r="EQ279" s="163"/>
      <c r="ER279" s="163"/>
      <c r="ES279" s="163"/>
      <c r="ET279" s="163"/>
      <c r="EU279" s="163"/>
      <c r="EV279" s="163"/>
      <c r="EW279" s="163"/>
      <c r="EX279" s="163"/>
      <c r="EY279" s="163"/>
      <c r="EZ279" s="163"/>
      <c r="FA279" s="163"/>
      <c r="FB279" s="163"/>
      <c r="FC279" s="163"/>
      <c r="FD279" s="163"/>
      <c r="FE279" s="163"/>
      <c r="FF279" s="163"/>
      <c r="FG279" s="163"/>
      <c r="FH279" s="163"/>
      <c r="FI279" s="163"/>
      <c r="FJ279" s="163"/>
      <c r="FK279" s="163"/>
      <c r="FL279" s="163"/>
      <c r="FM279" s="163"/>
      <c r="FN279" s="163"/>
      <c r="FO279" s="163"/>
      <c r="FP279" s="163"/>
      <c r="FQ279" s="163"/>
      <c r="FR279" s="163"/>
      <c r="FS279" s="163"/>
      <c r="FT279" s="163"/>
      <c r="FU279" s="163"/>
      <c r="FV279" s="163"/>
      <c r="FW279" s="163"/>
      <c r="FX279" s="163"/>
      <c r="FY279" s="163"/>
      <c r="FZ279" s="163"/>
      <c r="GA279" s="163"/>
      <c r="GB279" s="163"/>
      <c r="GC279" s="163"/>
      <c r="GD279" s="163"/>
      <c r="GE279" s="163"/>
      <c r="GF279" s="163"/>
      <c r="GG279" s="163"/>
      <c r="GH279" s="163"/>
      <c r="GI279" s="163"/>
      <c r="GJ279" s="163"/>
      <c r="GK279" s="163"/>
      <c r="GL279" s="163"/>
      <c r="GM279" s="163"/>
      <c r="GN279" s="163"/>
      <c r="GO279" s="163"/>
      <c r="GP279" s="163"/>
      <c r="GQ279" s="163"/>
      <c r="GR279" s="163"/>
      <c r="GS279" s="163"/>
      <c r="GT279" s="163"/>
      <c r="GU279" s="163"/>
      <c r="GV279" s="163"/>
      <c r="GW279" s="163"/>
      <c r="GX279" s="163"/>
      <c r="GY279" s="163"/>
      <c r="GZ279" s="163"/>
      <c r="HA279" s="163"/>
      <c r="HB279" s="163"/>
      <c r="HC279" s="163"/>
      <c r="HD279" s="163"/>
      <c r="HE279" s="163"/>
      <c r="HF279" s="163"/>
      <c r="HG279" s="163"/>
      <c r="HH279" s="163"/>
      <c r="HI279" s="163"/>
      <c r="HJ279" s="163"/>
      <c r="HK279" s="163"/>
      <c r="HL279" s="163"/>
      <c r="HM279" s="163"/>
      <c r="HN279" s="163"/>
      <c r="HO279" s="163"/>
      <c r="HP279" s="163"/>
      <c r="HQ279" s="163"/>
      <c r="HR279" s="163"/>
      <c r="HS279" s="163"/>
      <c r="HT279" s="163"/>
      <c r="HU279" s="163"/>
      <c r="HV279" s="163"/>
      <c r="HW279" s="163"/>
      <c r="HX279" s="163"/>
      <c r="HY279" s="163"/>
      <c r="HZ279" s="163"/>
      <c r="IA279" s="163"/>
      <c r="IB279" s="163"/>
      <c r="IC279" s="163"/>
      <c r="ID279" s="163"/>
      <c r="IE279" s="163"/>
      <c r="IF279" s="163"/>
      <c r="IG279" s="163"/>
      <c r="IH279" s="163"/>
      <c r="II279" s="163"/>
      <c r="IJ279" s="163"/>
      <c r="IK279" s="163"/>
      <c r="IL279" s="163"/>
      <c r="IM279" s="163"/>
      <c r="IN279" s="163"/>
      <c r="IO279" s="163"/>
      <c r="IP279" s="163"/>
      <c r="IQ279" s="163"/>
      <c r="IR279" s="163"/>
      <c r="IS279" s="163"/>
      <c r="IT279" s="163"/>
      <c r="IU279" s="163"/>
      <c r="IV279" s="163"/>
    </row>
    <row r="280" spans="1:256">
      <c r="A280" s="843"/>
      <c r="B280" s="846"/>
      <c r="C280" s="178" t="s">
        <v>2</v>
      </c>
      <c r="D280" s="170">
        <f>D278+D279</f>
        <v>845000</v>
      </c>
      <c r="E280" s="171">
        <f t="shared" ref="E280:P280" si="115">E278+E279</f>
        <v>845000</v>
      </c>
      <c r="F280" s="171">
        <f t="shared" si="115"/>
        <v>770000</v>
      </c>
      <c r="G280" s="171">
        <f t="shared" si="115"/>
        <v>213500</v>
      </c>
      <c r="H280" s="171">
        <f t="shared" si="115"/>
        <v>556500</v>
      </c>
      <c r="I280" s="171">
        <f t="shared" si="115"/>
        <v>75000</v>
      </c>
      <c r="J280" s="171">
        <f t="shared" si="115"/>
        <v>0</v>
      </c>
      <c r="K280" s="171">
        <f t="shared" si="115"/>
        <v>0</v>
      </c>
      <c r="L280" s="171">
        <f t="shared" si="115"/>
        <v>0</v>
      </c>
      <c r="M280" s="171">
        <f t="shared" si="115"/>
        <v>0</v>
      </c>
      <c r="N280" s="171">
        <f t="shared" si="115"/>
        <v>0</v>
      </c>
      <c r="O280" s="171">
        <f t="shared" si="115"/>
        <v>0</v>
      </c>
      <c r="P280" s="171">
        <f t="shared" si="115"/>
        <v>0</v>
      </c>
      <c r="Q280" s="172"/>
      <c r="R280" s="172"/>
      <c r="S280" s="172"/>
      <c r="T280" s="172"/>
      <c r="U280" s="172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3"/>
      <c r="CG280" s="163"/>
      <c r="CH280" s="163"/>
      <c r="CI280" s="163"/>
      <c r="CJ280" s="163"/>
      <c r="CK280" s="163"/>
      <c r="CL280" s="163"/>
      <c r="CM280" s="163"/>
      <c r="CN280" s="163"/>
      <c r="CO280" s="163"/>
      <c r="CP280" s="163"/>
      <c r="CQ280" s="163"/>
      <c r="CR280" s="163"/>
      <c r="CS280" s="163"/>
      <c r="CT280" s="163"/>
      <c r="CU280" s="163"/>
      <c r="CV280" s="163"/>
      <c r="CW280" s="163"/>
      <c r="CX280" s="163"/>
      <c r="CY280" s="163"/>
      <c r="CZ280" s="163"/>
      <c r="DA280" s="163"/>
      <c r="DB280" s="163"/>
      <c r="DC280" s="163"/>
      <c r="DD280" s="163"/>
      <c r="DE280" s="163"/>
      <c r="DF280" s="163"/>
      <c r="DG280" s="163"/>
      <c r="DH280" s="163"/>
      <c r="DI280" s="163"/>
      <c r="DJ280" s="163"/>
      <c r="DK280" s="163"/>
      <c r="DL280" s="163"/>
      <c r="DM280" s="163"/>
      <c r="DN280" s="163"/>
      <c r="DO280" s="163"/>
      <c r="DP280" s="163"/>
      <c r="DQ280" s="163"/>
      <c r="DR280" s="163"/>
      <c r="DS280" s="163"/>
      <c r="DT280" s="163"/>
      <c r="DU280" s="163"/>
      <c r="DV280" s="163"/>
      <c r="DW280" s="163"/>
      <c r="DX280" s="163"/>
      <c r="DY280" s="163"/>
      <c r="DZ280" s="163"/>
      <c r="EA280" s="163"/>
      <c r="EB280" s="163"/>
      <c r="EC280" s="163"/>
      <c r="ED280" s="163"/>
      <c r="EE280" s="163"/>
      <c r="EF280" s="163"/>
      <c r="EG280" s="163"/>
      <c r="EH280" s="163"/>
      <c r="EI280" s="163"/>
      <c r="EJ280" s="163"/>
      <c r="EK280" s="163"/>
      <c r="EL280" s="163"/>
      <c r="EM280" s="163"/>
      <c r="EN280" s="163"/>
      <c r="EO280" s="163"/>
      <c r="EP280" s="163"/>
      <c r="EQ280" s="163"/>
      <c r="ER280" s="163"/>
      <c r="ES280" s="163"/>
      <c r="ET280" s="163"/>
      <c r="EU280" s="163"/>
      <c r="EV280" s="163"/>
      <c r="EW280" s="163"/>
      <c r="EX280" s="163"/>
      <c r="EY280" s="163"/>
      <c r="EZ280" s="163"/>
      <c r="FA280" s="163"/>
      <c r="FB280" s="163"/>
      <c r="FC280" s="163"/>
      <c r="FD280" s="163"/>
      <c r="FE280" s="163"/>
      <c r="FF280" s="163"/>
      <c r="FG280" s="163"/>
      <c r="FH280" s="163"/>
      <c r="FI280" s="163"/>
      <c r="FJ280" s="163"/>
      <c r="FK280" s="163"/>
      <c r="FL280" s="163"/>
      <c r="FM280" s="163"/>
      <c r="FN280" s="163"/>
      <c r="FO280" s="163"/>
      <c r="FP280" s="163"/>
      <c r="FQ280" s="163"/>
      <c r="FR280" s="163"/>
      <c r="FS280" s="163"/>
      <c r="FT280" s="163"/>
      <c r="FU280" s="163"/>
      <c r="FV280" s="163"/>
      <c r="FW280" s="163"/>
      <c r="FX280" s="163"/>
      <c r="FY280" s="163"/>
      <c r="FZ280" s="163"/>
      <c r="GA280" s="163"/>
      <c r="GB280" s="163"/>
      <c r="GC280" s="163"/>
      <c r="GD280" s="163"/>
      <c r="GE280" s="163"/>
      <c r="GF280" s="163"/>
      <c r="GG280" s="163"/>
      <c r="GH280" s="163"/>
      <c r="GI280" s="163"/>
      <c r="GJ280" s="163"/>
      <c r="GK280" s="163"/>
      <c r="GL280" s="163"/>
      <c r="GM280" s="163"/>
      <c r="GN280" s="163"/>
      <c r="GO280" s="163"/>
      <c r="GP280" s="163"/>
      <c r="GQ280" s="163"/>
      <c r="GR280" s="163"/>
      <c r="GS280" s="163"/>
      <c r="GT280" s="163"/>
      <c r="GU280" s="163"/>
      <c r="GV280" s="163"/>
      <c r="GW280" s="163"/>
      <c r="GX280" s="163"/>
      <c r="GY280" s="163"/>
      <c r="GZ280" s="163"/>
      <c r="HA280" s="163"/>
      <c r="HB280" s="163"/>
      <c r="HC280" s="163"/>
      <c r="HD280" s="163"/>
      <c r="HE280" s="163"/>
      <c r="HF280" s="163"/>
      <c r="HG280" s="163"/>
      <c r="HH280" s="163"/>
      <c r="HI280" s="163"/>
      <c r="HJ280" s="163"/>
      <c r="HK280" s="163"/>
      <c r="HL280" s="163"/>
      <c r="HM280" s="163"/>
      <c r="HN280" s="163"/>
      <c r="HO280" s="163"/>
      <c r="HP280" s="163"/>
      <c r="HQ280" s="163"/>
      <c r="HR280" s="163"/>
      <c r="HS280" s="163"/>
      <c r="HT280" s="163"/>
      <c r="HU280" s="163"/>
      <c r="HV280" s="163"/>
      <c r="HW280" s="163"/>
      <c r="HX280" s="163"/>
      <c r="HY280" s="163"/>
      <c r="HZ280" s="163"/>
      <c r="IA280" s="163"/>
      <c r="IB280" s="163"/>
      <c r="IC280" s="163"/>
      <c r="ID280" s="163"/>
      <c r="IE280" s="163"/>
      <c r="IF280" s="163"/>
      <c r="IG280" s="163"/>
      <c r="IH280" s="163"/>
      <c r="II280" s="163"/>
      <c r="IJ280" s="163"/>
      <c r="IK280" s="163"/>
      <c r="IL280" s="163"/>
      <c r="IM280" s="163"/>
      <c r="IN280" s="163"/>
      <c r="IO280" s="163"/>
      <c r="IP280" s="163"/>
      <c r="IQ280" s="163"/>
      <c r="IR280" s="163"/>
      <c r="IS280" s="163"/>
      <c r="IT280" s="163"/>
      <c r="IU280" s="163"/>
      <c r="IV280" s="163"/>
    </row>
    <row r="281" spans="1:256">
      <c r="A281" s="841">
        <v>85217</v>
      </c>
      <c r="B281" s="844" t="s">
        <v>293</v>
      </c>
      <c r="C281" s="178" t="s">
        <v>0</v>
      </c>
      <c r="D281" s="180">
        <f>E281+M281</f>
        <v>6671496</v>
      </c>
      <c r="E281" s="181">
        <f>F281+I281+J281+K281+L281</f>
        <v>5750226</v>
      </c>
      <c r="F281" s="181">
        <f>G281+H281</f>
        <v>5746106</v>
      </c>
      <c r="G281" s="181">
        <v>4153886</v>
      </c>
      <c r="H281" s="181">
        <v>1592220</v>
      </c>
      <c r="I281" s="181">
        <v>0</v>
      </c>
      <c r="J281" s="181">
        <v>4120</v>
      </c>
      <c r="K281" s="181">
        <v>0</v>
      </c>
      <c r="L281" s="181">
        <v>0</v>
      </c>
      <c r="M281" s="181">
        <f>N281+P281</f>
        <v>921270</v>
      </c>
      <c r="N281" s="181">
        <v>921270</v>
      </c>
      <c r="O281" s="181">
        <v>0</v>
      </c>
      <c r="P281" s="181">
        <v>0</v>
      </c>
      <c r="Q281" s="182"/>
      <c r="R281" s="182"/>
      <c r="S281" s="182"/>
      <c r="T281" s="182"/>
      <c r="U281" s="182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  <c r="GB281" s="148"/>
      <c r="GC281" s="148"/>
      <c r="GD281" s="148"/>
      <c r="GE281" s="148"/>
      <c r="GF281" s="148"/>
      <c r="GG281" s="148"/>
      <c r="GH281" s="148"/>
      <c r="GI281" s="148"/>
      <c r="GJ281" s="148"/>
      <c r="GK281" s="148"/>
      <c r="GL281" s="148"/>
      <c r="GM281" s="148"/>
      <c r="GN281" s="148"/>
      <c r="GO281" s="148"/>
      <c r="GP281" s="148"/>
      <c r="GQ281" s="148"/>
      <c r="GR281" s="148"/>
      <c r="GS281" s="148"/>
      <c r="GT281" s="148"/>
      <c r="GU281" s="148"/>
      <c r="GV281" s="148"/>
      <c r="GW281" s="148"/>
      <c r="GX281" s="148"/>
      <c r="GY281" s="148"/>
      <c r="GZ281" s="148"/>
      <c r="HA281" s="148"/>
      <c r="HB281" s="148"/>
      <c r="HC281" s="148"/>
      <c r="HD281" s="148"/>
      <c r="HE281" s="148"/>
      <c r="HF281" s="148"/>
      <c r="HG281" s="148"/>
      <c r="HH281" s="148"/>
      <c r="HI281" s="148"/>
      <c r="HJ281" s="148"/>
      <c r="HK281" s="148"/>
      <c r="HL281" s="148"/>
      <c r="HM281" s="148"/>
      <c r="HN281" s="148"/>
      <c r="HO281" s="148"/>
      <c r="HP281" s="148"/>
      <c r="HQ281" s="148"/>
      <c r="HR281" s="148"/>
      <c r="HS281" s="148"/>
      <c r="HT281" s="148"/>
      <c r="HU281" s="148"/>
      <c r="HV281" s="148"/>
      <c r="HW281" s="148"/>
      <c r="HX281" s="148"/>
      <c r="HY281" s="148"/>
      <c r="HZ281" s="148"/>
      <c r="IA281" s="148"/>
      <c r="IB281" s="148"/>
      <c r="IC281" s="148"/>
      <c r="ID281" s="148"/>
      <c r="IE281" s="148"/>
      <c r="IF281" s="148"/>
      <c r="IG281" s="148"/>
      <c r="IH281" s="148"/>
      <c r="II281" s="148"/>
      <c r="IJ281" s="148"/>
      <c r="IK281" s="148"/>
      <c r="IL281" s="148"/>
      <c r="IM281" s="148"/>
      <c r="IN281" s="148"/>
      <c r="IO281" s="148"/>
      <c r="IP281" s="148"/>
      <c r="IQ281" s="148"/>
      <c r="IR281" s="148"/>
      <c r="IS281" s="148"/>
      <c r="IT281" s="148"/>
      <c r="IU281" s="148"/>
      <c r="IV281" s="148"/>
    </row>
    <row r="282" spans="1:256">
      <c r="A282" s="842"/>
      <c r="B282" s="845"/>
      <c r="C282" s="178" t="s">
        <v>1</v>
      </c>
      <c r="D282" s="180">
        <f>E282+M282</f>
        <v>246711</v>
      </c>
      <c r="E282" s="181">
        <f>F282+I282+J282+K282+L282</f>
        <v>246711</v>
      </c>
      <c r="F282" s="181">
        <f>G282+H282</f>
        <v>0</v>
      </c>
      <c r="G282" s="181"/>
      <c r="H282" s="181"/>
      <c r="I282" s="181"/>
      <c r="J282" s="181"/>
      <c r="K282" s="181">
        <v>246711</v>
      </c>
      <c r="L282" s="181"/>
      <c r="M282" s="181">
        <f>N282+P282</f>
        <v>0</v>
      </c>
      <c r="N282" s="181"/>
      <c r="O282" s="181"/>
      <c r="P282" s="181"/>
      <c r="Q282" s="182"/>
      <c r="R282" s="182"/>
      <c r="S282" s="182"/>
      <c r="T282" s="182"/>
      <c r="U282" s="182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  <c r="GR282" s="148"/>
      <c r="GS282" s="148"/>
      <c r="GT282" s="148"/>
      <c r="GU282" s="148"/>
      <c r="GV282" s="148"/>
      <c r="GW282" s="148"/>
      <c r="GX282" s="148"/>
      <c r="GY282" s="148"/>
      <c r="GZ282" s="148"/>
      <c r="HA282" s="148"/>
      <c r="HB282" s="148"/>
      <c r="HC282" s="148"/>
      <c r="HD282" s="148"/>
      <c r="HE282" s="148"/>
      <c r="HF282" s="148"/>
      <c r="HG282" s="148"/>
      <c r="HH282" s="148"/>
      <c r="HI282" s="148"/>
      <c r="HJ282" s="148"/>
      <c r="HK282" s="148"/>
      <c r="HL282" s="148"/>
      <c r="HM282" s="148"/>
      <c r="HN282" s="148"/>
      <c r="HO282" s="148"/>
      <c r="HP282" s="148"/>
      <c r="HQ282" s="148"/>
      <c r="HR282" s="148"/>
      <c r="HS282" s="148"/>
      <c r="HT282" s="148"/>
      <c r="HU282" s="148"/>
      <c r="HV282" s="148"/>
      <c r="HW282" s="148"/>
      <c r="HX282" s="148"/>
      <c r="HY282" s="148"/>
      <c r="HZ282" s="148"/>
      <c r="IA282" s="148"/>
      <c r="IB282" s="148"/>
      <c r="IC282" s="148"/>
      <c r="ID282" s="148"/>
      <c r="IE282" s="148"/>
      <c r="IF282" s="148"/>
      <c r="IG282" s="148"/>
      <c r="IH282" s="148"/>
      <c r="II282" s="148"/>
      <c r="IJ282" s="148"/>
      <c r="IK282" s="148"/>
      <c r="IL282" s="148"/>
      <c r="IM282" s="148"/>
      <c r="IN282" s="148"/>
      <c r="IO282" s="148"/>
      <c r="IP282" s="148"/>
      <c r="IQ282" s="148"/>
      <c r="IR282" s="148"/>
      <c r="IS282" s="148"/>
      <c r="IT282" s="148"/>
      <c r="IU282" s="148"/>
      <c r="IV282" s="148"/>
    </row>
    <row r="283" spans="1:256">
      <c r="A283" s="843"/>
      <c r="B283" s="846"/>
      <c r="C283" s="178" t="s">
        <v>2</v>
      </c>
      <c r="D283" s="180">
        <f>D281+D282</f>
        <v>6918207</v>
      </c>
      <c r="E283" s="181">
        <f t="shared" ref="E283:P283" si="116">E281+E282</f>
        <v>5996937</v>
      </c>
      <c r="F283" s="181">
        <f t="shared" si="116"/>
        <v>5746106</v>
      </c>
      <c r="G283" s="181">
        <f t="shared" si="116"/>
        <v>4153886</v>
      </c>
      <c r="H283" s="181">
        <f t="shared" si="116"/>
        <v>1592220</v>
      </c>
      <c r="I283" s="181">
        <f t="shared" si="116"/>
        <v>0</v>
      </c>
      <c r="J283" s="181">
        <f t="shared" si="116"/>
        <v>4120</v>
      </c>
      <c r="K283" s="181">
        <f t="shared" si="116"/>
        <v>246711</v>
      </c>
      <c r="L283" s="181">
        <f t="shared" si="116"/>
        <v>0</v>
      </c>
      <c r="M283" s="181">
        <f t="shared" si="116"/>
        <v>921270</v>
      </c>
      <c r="N283" s="181">
        <f t="shared" si="116"/>
        <v>921270</v>
      </c>
      <c r="O283" s="181">
        <f t="shared" si="116"/>
        <v>0</v>
      </c>
      <c r="P283" s="181">
        <f t="shared" si="116"/>
        <v>0</v>
      </c>
      <c r="Q283" s="182"/>
      <c r="R283" s="182"/>
      <c r="S283" s="182"/>
      <c r="T283" s="182"/>
      <c r="U283" s="182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  <c r="GB283" s="148"/>
      <c r="GC283" s="148"/>
      <c r="GD283" s="148"/>
      <c r="GE283" s="148"/>
      <c r="GF283" s="148"/>
      <c r="GG283" s="148"/>
      <c r="GH283" s="148"/>
      <c r="GI283" s="148"/>
      <c r="GJ283" s="148"/>
      <c r="GK283" s="148"/>
      <c r="GL283" s="148"/>
      <c r="GM283" s="148"/>
      <c r="GN283" s="148"/>
      <c r="GO283" s="148"/>
      <c r="GP283" s="148"/>
      <c r="GQ283" s="148"/>
      <c r="GR283" s="148"/>
      <c r="GS283" s="148"/>
      <c r="GT283" s="148"/>
      <c r="GU283" s="148"/>
      <c r="GV283" s="148"/>
      <c r="GW283" s="148"/>
      <c r="GX283" s="148"/>
      <c r="GY283" s="148"/>
      <c r="GZ283" s="148"/>
      <c r="HA283" s="148"/>
      <c r="HB283" s="148"/>
      <c r="HC283" s="148"/>
      <c r="HD283" s="148"/>
      <c r="HE283" s="148"/>
      <c r="HF283" s="148"/>
      <c r="HG283" s="148"/>
      <c r="HH283" s="148"/>
      <c r="HI283" s="148"/>
      <c r="HJ283" s="148"/>
      <c r="HK283" s="148"/>
      <c r="HL283" s="148"/>
      <c r="HM283" s="148"/>
      <c r="HN283" s="148"/>
      <c r="HO283" s="148"/>
      <c r="HP283" s="148"/>
      <c r="HQ283" s="148"/>
      <c r="HR283" s="148"/>
      <c r="HS283" s="148"/>
      <c r="HT283" s="148"/>
      <c r="HU283" s="148"/>
      <c r="HV283" s="148"/>
      <c r="HW283" s="148"/>
      <c r="HX283" s="148"/>
      <c r="HY283" s="148"/>
      <c r="HZ283" s="148"/>
      <c r="IA283" s="148"/>
      <c r="IB283" s="148"/>
      <c r="IC283" s="148"/>
      <c r="ID283" s="148"/>
      <c r="IE283" s="148"/>
      <c r="IF283" s="148"/>
      <c r="IG283" s="148"/>
      <c r="IH283" s="148"/>
      <c r="II283" s="148"/>
      <c r="IJ283" s="148"/>
      <c r="IK283" s="148"/>
      <c r="IL283" s="148"/>
      <c r="IM283" s="148"/>
      <c r="IN283" s="148"/>
      <c r="IO283" s="148"/>
      <c r="IP283" s="148"/>
      <c r="IQ283" s="148"/>
      <c r="IR283" s="148"/>
      <c r="IS283" s="148"/>
      <c r="IT283" s="148"/>
      <c r="IU283" s="148"/>
      <c r="IV283" s="148"/>
    </row>
    <row r="284" spans="1:256">
      <c r="A284" s="841" t="s">
        <v>294</v>
      </c>
      <c r="B284" s="844" t="s">
        <v>295</v>
      </c>
      <c r="C284" s="178" t="s">
        <v>0</v>
      </c>
      <c r="D284" s="180">
        <f>E284+M284</f>
        <v>0</v>
      </c>
      <c r="E284" s="181">
        <f>F284+I284+J284+K284+L284</f>
        <v>0</v>
      </c>
      <c r="F284" s="181">
        <f>G284+H284</f>
        <v>0</v>
      </c>
      <c r="G284" s="181">
        <v>0</v>
      </c>
      <c r="H284" s="181">
        <v>0</v>
      </c>
      <c r="I284" s="181">
        <v>0</v>
      </c>
      <c r="J284" s="181">
        <v>0</v>
      </c>
      <c r="K284" s="181">
        <v>0</v>
      </c>
      <c r="L284" s="181">
        <v>0</v>
      </c>
      <c r="M284" s="181">
        <f>N284+P284</f>
        <v>0</v>
      </c>
      <c r="N284" s="181">
        <v>0</v>
      </c>
      <c r="O284" s="181">
        <v>0</v>
      </c>
      <c r="P284" s="181">
        <v>0</v>
      </c>
      <c r="Q284" s="182"/>
      <c r="R284" s="182"/>
      <c r="S284" s="182"/>
      <c r="T284" s="182"/>
      <c r="U284" s="182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  <c r="GB284" s="148"/>
      <c r="GC284" s="148"/>
      <c r="GD284" s="148"/>
      <c r="GE284" s="148"/>
      <c r="GF284" s="148"/>
      <c r="GG284" s="148"/>
      <c r="GH284" s="148"/>
      <c r="GI284" s="148"/>
      <c r="GJ284" s="148"/>
      <c r="GK284" s="148"/>
      <c r="GL284" s="148"/>
      <c r="GM284" s="148"/>
      <c r="GN284" s="148"/>
      <c r="GO284" s="148"/>
      <c r="GP284" s="148"/>
      <c r="GQ284" s="148"/>
      <c r="GR284" s="148"/>
      <c r="GS284" s="148"/>
      <c r="GT284" s="148"/>
      <c r="GU284" s="148"/>
      <c r="GV284" s="148"/>
      <c r="GW284" s="148"/>
      <c r="GX284" s="148"/>
      <c r="GY284" s="148"/>
      <c r="GZ284" s="148"/>
      <c r="HA284" s="148"/>
      <c r="HB284" s="148"/>
      <c r="HC284" s="148"/>
      <c r="HD284" s="148"/>
      <c r="HE284" s="148"/>
      <c r="HF284" s="148"/>
      <c r="HG284" s="148"/>
      <c r="HH284" s="148"/>
      <c r="HI284" s="148"/>
      <c r="HJ284" s="148"/>
      <c r="HK284" s="148"/>
      <c r="HL284" s="148"/>
      <c r="HM284" s="148"/>
      <c r="HN284" s="148"/>
      <c r="HO284" s="148"/>
      <c r="HP284" s="148"/>
      <c r="HQ284" s="148"/>
      <c r="HR284" s="148"/>
      <c r="HS284" s="148"/>
      <c r="HT284" s="148"/>
      <c r="HU284" s="148"/>
      <c r="HV284" s="148"/>
      <c r="HW284" s="148"/>
      <c r="HX284" s="148"/>
      <c r="HY284" s="148"/>
      <c r="HZ284" s="148"/>
      <c r="IA284" s="148"/>
      <c r="IB284" s="148"/>
      <c r="IC284" s="148"/>
      <c r="ID284" s="148"/>
      <c r="IE284" s="148"/>
      <c r="IF284" s="148"/>
      <c r="IG284" s="148"/>
      <c r="IH284" s="148"/>
      <c r="II284" s="148"/>
      <c r="IJ284" s="148"/>
      <c r="IK284" s="148"/>
      <c r="IL284" s="148"/>
      <c r="IM284" s="148"/>
      <c r="IN284" s="148"/>
      <c r="IO284" s="148"/>
      <c r="IP284" s="148"/>
      <c r="IQ284" s="148"/>
      <c r="IR284" s="148"/>
      <c r="IS284" s="148"/>
      <c r="IT284" s="148"/>
      <c r="IU284" s="148"/>
      <c r="IV284" s="148"/>
    </row>
    <row r="285" spans="1:256">
      <c r="A285" s="842"/>
      <c r="B285" s="845"/>
      <c r="C285" s="178" t="s">
        <v>1</v>
      </c>
      <c r="D285" s="180">
        <f>E285+M285</f>
        <v>406350</v>
      </c>
      <c r="E285" s="181">
        <f>F285+I285+J285+K285+L285</f>
        <v>310000</v>
      </c>
      <c r="F285" s="181">
        <f>G285+H285</f>
        <v>0</v>
      </c>
      <c r="G285" s="181"/>
      <c r="H285" s="181"/>
      <c r="I285" s="181"/>
      <c r="J285" s="181"/>
      <c r="K285" s="181">
        <f>145000+165000</f>
        <v>310000</v>
      </c>
      <c r="L285" s="181"/>
      <c r="M285" s="181">
        <f>N285+P285</f>
        <v>96350</v>
      </c>
      <c r="N285" s="181">
        <f>1350+95000</f>
        <v>96350</v>
      </c>
      <c r="O285" s="181">
        <v>96350</v>
      </c>
      <c r="P285" s="181"/>
      <c r="Q285" s="182"/>
      <c r="R285" s="182"/>
      <c r="S285" s="182"/>
      <c r="T285" s="182"/>
      <c r="U285" s="182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  <c r="GB285" s="148"/>
      <c r="GC285" s="148"/>
      <c r="GD285" s="148"/>
      <c r="GE285" s="148"/>
      <c r="GF285" s="148"/>
      <c r="GG285" s="148"/>
      <c r="GH285" s="148"/>
      <c r="GI285" s="148"/>
      <c r="GJ285" s="148"/>
      <c r="GK285" s="148"/>
      <c r="GL285" s="148"/>
      <c r="GM285" s="148"/>
      <c r="GN285" s="148"/>
      <c r="GO285" s="148"/>
      <c r="GP285" s="148"/>
      <c r="GQ285" s="148"/>
      <c r="GR285" s="148"/>
      <c r="GS285" s="148"/>
      <c r="GT285" s="148"/>
      <c r="GU285" s="148"/>
      <c r="GV285" s="148"/>
      <c r="GW285" s="148"/>
      <c r="GX285" s="148"/>
      <c r="GY285" s="148"/>
      <c r="GZ285" s="148"/>
      <c r="HA285" s="148"/>
      <c r="HB285" s="148"/>
      <c r="HC285" s="148"/>
      <c r="HD285" s="148"/>
      <c r="HE285" s="148"/>
      <c r="HF285" s="148"/>
      <c r="HG285" s="148"/>
      <c r="HH285" s="148"/>
      <c r="HI285" s="148"/>
      <c r="HJ285" s="148"/>
      <c r="HK285" s="148"/>
      <c r="HL285" s="148"/>
      <c r="HM285" s="148"/>
      <c r="HN285" s="148"/>
      <c r="HO285" s="148"/>
      <c r="HP285" s="148"/>
      <c r="HQ285" s="148"/>
      <c r="HR285" s="148"/>
      <c r="HS285" s="148"/>
      <c r="HT285" s="148"/>
      <c r="HU285" s="148"/>
      <c r="HV285" s="148"/>
      <c r="HW285" s="148"/>
      <c r="HX285" s="148"/>
      <c r="HY285" s="148"/>
      <c r="HZ285" s="148"/>
      <c r="IA285" s="148"/>
      <c r="IB285" s="148"/>
      <c r="IC285" s="148"/>
      <c r="ID285" s="148"/>
      <c r="IE285" s="148"/>
      <c r="IF285" s="148"/>
      <c r="IG285" s="148"/>
      <c r="IH285" s="148"/>
      <c r="II285" s="148"/>
      <c r="IJ285" s="148"/>
      <c r="IK285" s="148"/>
      <c r="IL285" s="148"/>
      <c r="IM285" s="148"/>
      <c r="IN285" s="148"/>
      <c r="IO285" s="148"/>
      <c r="IP285" s="148"/>
      <c r="IQ285" s="148"/>
      <c r="IR285" s="148"/>
      <c r="IS285" s="148"/>
      <c r="IT285" s="148"/>
      <c r="IU285" s="148"/>
      <c r="IV285" s="148"/>
    </row>
    <row r="286" spans="1:256">
      <c r="A286" s="843"/>
      <c r="B286" s="846"/>
      <c r="C286" s="178" t="s">
        <v>2</v>
      </c>
      <c r="D286" s="180">
        <f>D284+D285</f>
        <v>406350</v>
      </c>
      <c r="E286" s="181">
        <f t="shared" ref="E286:P286" si="117">E284+E285</f>
        <v>310000</v>
      </c>
      <c r="F286" s="181">
        <f t="shared" si="117"/>
        <v>0</v>
      </c>
      <c r="G286" s="181">
        <f t="shared" si="117"/>
        <v>0</v>
      </c>
      <c r="H286" s="181">
        <f t="shared" si="117"/>
        <v>0</v>
      </c>
      <c r="I286" s="181">
        <f t="shared" si="117"/>
        <v>0</v>
      </c>
      <c r="J286" s="181">
        <f t="shared" si="117"/>
        <v>0</v>
      </c>
      <c r="K286" s="181">
        <f t="shared" si="117"/>
        <v>310000</v>
      </c>
      <c r="L286" s="181">
        <f t="shared" si="117"/>
        <v>0</v>
      </c>
      <c r="M286" s="181">
        <f t="shared" si="117"/>
        <v>96350</v>
      </c>
      <c r="N286" s="181">
        <f t="shared" si="117"/>
        <v>96350</v>
      </c>
      <c r="O286" s="181">
        <f t="shared" si="117"/>
        <v>96350</v>
      </c>
      <c r="P286" s="181">
        <f t="shared" si="117"/>
        <v>0</v>
      </c>
      <c r="Q286" s="182"/>
      <c r="R286" s="182"/>
      <c r="S286" s="182"/>
      <c r="T286" s="182"/>
      <c r="U286" s="182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  <c r="GB286" s="148"/>
      <c r="GC286" s="148"/>
      <c r="GD286" s="148"/>
      <c r="GE286" s="148"/>
      <c r="GF286" s="148"/>
      <c r="GG286" s="148"/>
      <c r="GH286" s="148"/>
      <c r="GI286" s="148"/>
      <c r="GJ286" s="148"/>
      <c r="GK286" s="148"/>
      <c r="GL286" s="148"/>
      <c r="GM286" s="148"/>
      <c r="GN286" s="148"/>
      <c r="GO286" s="148"/>
      <c r="GP286" s="148"/>
      <c r="GQ286" s="148"/>
      <c r="GR286" s="148"/>
      <c r="GS286" s="148"/>
      <c r="GT286" s="148"/>
      <c r="GU286" s="148"/>
      <c r="GV286" s="148"/>
      <c r="GW286" s="148"/>
      <c r="GX286" s="148"/>
      <c r="GY286" s="148"/>
      <c r="GZ286" s="148"/>
      <c r="HA286" s="148"/>
      <c r="HB286" s="148"/>
      <c r="HC286" s="148"/>
      <c r="HD286" s="148"/>
      <c r="HE286" s="148"/>
      <c r="HF286" s="148"/>
      <c r="HG286" s="148"/>
      <c r="HH286" s="148"/>
      <c r="HI286" s="148"/>
      <c r="HJ286" s="148"/>
      <c r="HK286" s="148"/>
      <c r="HL286" s="148"/>
      <c r="HM286" s="148"/>
      <c r="HN286" s="148"/>
      <c r="HO286" s="148"/>
      <c r="HP286" s="148"/>
      <c r="HQ286" s="148"/>
      <c r="HR286" s="148"/>
      <c r="HS286" s="148"/>
      <c r="HT286" s="148"/>
      <c r="HU286" s="148"/>
      <c r="HV286" s="148"/>
      <c r="HW286" s="148"/>
      <c r="HX286" s="148"/>
      <c r="HY286" s="148"/>
      <c r="HZ286" s="148"/>
      <c r="IA286" s="148"/>
      <c r="IB286" s="148"/>
      <c r="IC286" s="148"/>
      <c r="ID286" s="148"/>
      <c r="IE286" s="148"/>
      <c r="IF286" s="148"/>
      <c r="IG286" s="148"/>
      <c r="IH286" s="148"/>
      <c r="II286" s="148"/>
      <c r="IJ286" s="148"/>
      <c r="IK286" s="148"/>
      <c r="IL286" s="148"/>
      <c r="IM286" s="148"/>
      <c r="IN286" s="148"/>
      <c r="IO286" s="148"/>
      <c r="IP286" s="148"/>
      <c r="IQ286" s="148"/>
      <c r="IR286" s="148"/>
      <c r="IS286" s="148"/>
      <c r="IT286" s="148"/>
      <c r="IU286" s="148"/>
      <c r="IV286" s="148"/>
    </row>
    <row r="287" spans="1:256">
      <c r="A287" s="841">
        <v>85231</v>
      </c>
      <c r="B287" s="844" t="s">
        <v>296</v>
      </c>
      <c r="C287" s="178" t="s">
        <v>0</v>
      </c>
      <c r="D287" s="180">
        <f>E287+M287</f>
        <v>800000</v>
      </c>
      <c r="E287" s="181">
        <f>F287+I287+J287+K287+L287</f>
        <v>800000</v>
      </c>
      <c r="F287" s="181">
        <f>G287+H287</f>
        <v>800000</v>
      </c>
      <c r="G287" s="181">
        <v>0</v>
      </c>
      <c r="H287" s="181">
        <v>800000</v>
      </c>
      <c r="I287" s="181">
        <v>0</v>
      </c>
      <c r="J287" s="181">
        <v>0</v>
      </c>
      <c r="K287" s="181">
        <v>0</v>
      </c>
      <c r="L287" s="181">
        <v>0</v>
      </c>
      <c r="M287" s="181">
        <f>N287+P287</f>
        <v>0</v>
      </c>
      <c r="N287" s="181">
        <v>0</v>
      </c>
      <c r="O287" s="181">
        <v>0</v>
      </c>
      <c r="P287" s="181">
        <v>0</v>
      </c>
      <c r="Q287" s="182"/>
      <c r="R287" s="182"/>
      <c r="S287" s="182"/>
      <c r="T287" s="182"/>
      <c r="U287" s="182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  <c r="GB287" s="148"/>
      <c r="GC287" s="148"/>
      <c r="GD287" s="148"/>
      <c r="GE287" s="148"/>
      <c r="GF287" s="148"/>
      <c r="GG287" s="148"/>
      <c r="GH287" s="148"/>
      <c r="GI287" s="148"/>
      <c r="GJ287" s="148"/>
      <c r="GK287" s="148"/>
      <c r="GL287" s="148"/>
      <c r="GM287" s="148"/>
      <c r="GN287" s="148"/>
      <c r="GO287" s="148"/>
      <c r="GP287" s="148"/>
      <c r="GQ287" s="148"/>
      <c r="GR287" s="148"/>
      <c r="GS287" s="148"/>
      <c r="GT287" s="148"/>
      <c r="GU287" s="148"/>
      <c r="GV287" s="148"/>
      <c r="GW287" s="148"/>
      <c r="GX287" s="148"/>
      <c r="GY287" s="148"/>
      <c r="GZ287" s="148"/>
      <c r="HA287" s="148"/>
      <c r="HB287" s="148"/>
      <c r="HC287" s="148"/>
      <c r="HD287" s="148"/>
      <c r="HE287" s="148"/>
      <c r="HF287" s="148"/>
      <c r="HG287" s="148"/>
      <c r="HH287" s="148"/>
      <c r="HI287" s="148"/>
      <c r="HJ287" s="148"/>
      <c r="HK287" s="148"/>
      <c r="HL287" s="148"/>
      <c r="HM287" s="148"/>
      <c r="HN287" s="148"/>
      <c r="HO287" s="148"/>
      <c r="HP287" s="148"/>
      <c r="HQ287" s="148"/>
      <c r="HR287" s="148"/>
      <c r="HS287" s="148"/>
      <c r="HT287" s="148"/>
      <c r="HU287" s="148"/>
      <c r="HV287" s="148"/>
      <c r="HW287" s="148"/>
      <c r="HX287" s="148"/>
      <c r="HY287" s="148"/>
      <c r="HZ287" s="148"/>
      <c r="IA287" s="148"/>
      <c r="IB287" s="148"/>
      <c r="IC287" s="148"/>
      <c r="ID287" s="148"/>
      <c r="IE287" s="148"/>
      <c r="IF287" s="148"/>
      <c r="IG287" s="148"/>
      <c r="IH287" s="148"/>
      <c r="II287" s="148"/>
      <c r="IJ287" s="148"/>
      <c r="IK287" s="148"/>
      <c r="IL287" s="148"/>
      <c r="IM287" s="148"/>
      <c r="IN287" s="148"/>
      <c r="IO287" s="148"/>
      <c r="IP287" s="148"/>
      <c r="IQ287" s="148"/>
      <c r="IR287" s="148"/>
      <c r="IS287" s="148"/>
      <c r="IT287" s="148"/>
      <c r="IU287" s="148"/>
      <c r="IV287" s="148"/>
    </row>
    <row r="288" spans="1:256">
      <c r="A288" s="842"/>
      <c r="B288" s="845"/>
      <c r="C288" s="178" t="s">
        <v>1</v>
      </c>
      <c r="D288" s="180">
        <f>E288+M288</f>
        <v>700000</v>
      </c>
      <c r="E288" s="181">
        <f>F288+I288+J288+K288+L288</f>
        <v>700000</v>
      </c>
      <c r="F288" s="181">
        <f>G288+H288</f>
        <v>700000</v>
      </c>
      <c r="G288" s="181"/>
      <c r="H288" s="181">
        <v>700000</v>
      </c>
      <c r="I288" s="181"/>
      <c r="J288" s="181"/>
      <c r="K288" s="181"/>
      <c r="L288" s="181"/>
      <c r="M288" s="181">
        <f>N288+P288</f>
        <v>0</v>
      </c>
      <c r="N288" s="181"/>
      <c r="O288" s="181"/>
      <c r="P288" s="181"/>
      <c r="Q288" s="182"/>
      <c r="R288" s="182"/>
      <c r="S288" s="182"/>
      <c r="T288" s="182"/>
      <c r="U288" s="182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  <c r="GB288" s="148"/>
      <c r="GC288" s="148"/>
      <c r="GD288" s="148"/>
      <c r="GE288" s="148"/>
      <c r="GF288" s="148"/>
      <c r="GG288" s="148"/>
      <c r="GH288" s="148"/>
      <c r="GI288" s="148"/>
      <c r="GJ288" s="148"/>
      <c r="GK288" s="148"/>
      <c r="GL288" s="148"/>
      <c r="GM288" s="148"/>
      <c r="GN288" s="148"/>
      <c r="GO288" s="148"/>
      <c r="GP288" s="148"/>
      <c r="GQ288" s="148"/>
      <c r="GR288" s="148"/>
      <c r="GS288" s="148"/>
      <c r="GT288" s="148"/>
      <c r="GU288" s="148"/>
      <c r="GV288" s="148"/>
      <c r="GW288" s="148"/>
      <c r="GX288" s="148"/>
      <c r="GY288" s="148"/>
      <c r="GZ288" s="148"/>
      <c r="HA288" s="148"/>
      <c r="HB288" s="148"/>
      <c r="HC288" s="148"/>
      <c r="HD288" s="148"/>
      <c r="HE288" s="148"/>
      <c r="HF288" s="148"/>
      <c r="HG288" s="148"/>
      <c r="HH288" s="148"/>
      <c r="HI288" s="148"/>
      <c r="HJ288" s="148"/>
      <c r="HK288" s="148"/>
      <c r="HL288" s="148"/>
      <c r="HM288" s="148"/>
      <c r="HN288" s="148"/>
      <c r="HO288" s="148"/>
      <c r="HP288" s="148"/>
      <c r="HQ288" s="148"/>
      <c r="HR288" s="148"/>
      <c r="HS288" s="148"/>
      <c r="HT288" s="148"/>
      <c r="HU288" s="148"/>
      <c r="HV288" s="148"/>
      <c r="HW288" s="148"/>
      <c r="HX288" s="148"/>
      <c r="HY288" s="148"/>
      <c r="HZ288" s="148"/>
      <c r="IA288" s="148"/>
      <c r="IB288" s="148"/>
      <c r="IC288" s="148"/>
      <c r="ID288" s="148"/>
      <c r="IE288" s="148"/>
      <c r="IF288" s="148"/>
      <c r="IG288" s="148"/>
      <c r="IH288" s="148"/>
      <c r="II288" s="148"/>
      <c r="IJ288" s="148"/>
      <c r="IK288" s="148"/>
      <c r="IL288" s="148"/>
      <c r="IM288" s="148"/>
      <c r="IN288" s="148"/>
      <c r="IO288" s="148"/>
      <c r="IP288" s="148"/>
      <c r="IQ288" s="148"/>
      <c r="IR288" s="148"/>
      <c r="IS288" s="148"/>
      <c r="IT288" s="148"/>
      <c r="IU288" s="148"/>
      <c r="IV288" s="148"/>
    </row>
    <row r="289" spans="1:256">
      <c r="A289" s="843"/>
      <c r="B289" s="846"/>
      <c r="C289" s="178" t="s">
        <v>2</v>
      </c>
      <c r="D289" s="180">
        <f>D287+D288</f>
        <v>1500000</v>
      </c>
      <c r="E289" s="181">
        <f t="shared" ref="E289:P289" si="118">E287+E288</f>
        <v>1500000</v>
      </c>
      <c r="F289" s="181">
        <f t="shared" si="118"/>
        <v>1500000</v>
      </c>
      <c r="G289" s="181">
        <f t="shared" si="118"/>
        <v>0</v>
      </c>
      <c r="H289" s="181">
        <f t="shared" si="118"/>
        <v>1500000</v>
      </c>
      <c r="I289" s="181">
        <f t="shared" si="118"/>
        <v>0</v>
      </c>
      <c r="J289" s="181">
        <f t="shared" si="118"/>
        <v>0</v>
      </c>
      <c r="K289" s="181">
        <f t="shared" si="118"/>
        <v>0</v>
      </c>
      <c r="L289" s="181">
        <f t="shared" si="118"/>
        <v>0</v>
      </c>
      <c r="M289" s="181">
        <f t="shared" si="118"/>
        <v>0</v>
      </c>
      <c r="N289" s="181">
        <f t="shared" si="118"/>
        <v>0</v>
      </c>
      <c r="O289" s="181">
        <f t="shared" si="118"/>
        <v>0</v>
      </c>
      <c r="P289" s="181">
        <f t="shared" si="118"/>
        <v>0</v>
      </c>
      <c r="Q289" s="182"/>
      <c r="R289" s="182"/>
      <c r="S289" s="182"/>
      <c r="T289" s="182"/>
      <c r="U289" s="182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  <c r="GB289" s="148"/>
      <c r="GC289" s="148"/>
      <c r="GD289" s="148"/>
      <c r="GE289" s="148"/>
      <c r="GF289" s="148"/>
      <c r="GG289" s="148"/>
      <c r="GH289" s="148"/>
      <c r="GI289" s="148"/>
      <c r="GJ289" s="148"/>
      <c r="GK289" s="148"/>
      <c r="GL289" s="148"/>
      <c r="GM289" s="148"/>
      <c r="GN289" s="148"/>
      <c r="GO289" s="148"/>
      <c r="GP289" s="148"/>
      <c r="GQ289" s="148"/>
      <c r="GR289" s="148"/>
      <c r="GS289" s="148"/>
      <c r="GT289" s="148"/>
      <c r="GU289" s="148"/>
      <c r="GV289" s="148"/>
      <c r="GW289" s="148"/>
      <c r="GX289" s="148"/>
      <c r="GY289" s="148"/>
      <c r="GZ289" s="148"/>
      <c r="HA289" s="148"/>
      <c r="HB289" s="148"/>
      <c r="HC289" s="148"/>
      <c r="HD289" s="148"/>
      <c r="HE289" s="148"/>
      <c r="HF289" s="148"/>
      <c r="HG289" s="148"/>
      <c r="HH289" s="148"/>
      <c r="HI289" s="148"/>
      <c r="HJ289" s="148"/>
      <c r="HK289" s="148"/>
      <c r="HL289" s="148"/>
      <c r="HM289" s="148"/>
      <c r="HN289" s="148"/>
      <c r="HO289" s="148"/>
      <c r="HP289" s="148"/>
      <c r="HQ289" s="148"/>
      <c r="HR289" s="148"/>
      <c r="HS289" s="148"/>
      <c r="HT289" s="148"/>
      <c r="HU289" s="148"/>
      <c r="HV289" s="148"/>
      <c r="HW289" s="148"/>
      <c r="HX289" s="148"/>
      <c r="HY289" s="148"/>
      <c r="HZ289" s="148"/>
      <c r="IA289" s="148"/>
      <c r="IB289" s="148"/>
      <c r="IC289" s="148"/>
      <c r="ID289" s="148"/>
      <c r="IE289" s="148"/>
      <c r="IF289" s="148"/>
      <c r="IG289" s="148"/>
      <c r="IH289" s="148"/>
      <c r="II289" s="148"/>
      <c r="IJ289" s="148"/>
      <c r="IK289" s="148"/>
      <c r="IL289" s="148"/>
      <c r="IM289" s="148"/>
      <c r="IN289" s="148"/>
      <c r="IO289" s="148"/>
      <c r="IP289" s="148"/>
      <c r="IQ289" s="148"/>
      <c r="IR289" s="148"/>
      <c r="IS289" s="148"/>
      <c r="IT289" s="148"/>
      <c r="IU289" s="148"/>
      <c r="IV289" s="148"/>
    </row>
    <row r="290" spans="1:256">
      <c r="A290" s="841">
        <v>85295</v>
      </c>
      <c r="B290" s="844" t="s">
        <v>108</v>
      </c>
      <c r="C290" s="178" t="s">
        <v>0</v>
      </c>
      <c r="D290" s="180">
        <f>E290+M290</f>
        <v>45587206</v>
      </c>
      <c r="E290" s="181">
        <f>F290+I290+J290+K290+L290</f>
        <v>23954138</v>
      </c>
      <c r="F290" s="181">
        <f>G290+H290</f>
        <v>25000</v>
      </c>
      <c r="G290" s="181">
        <v>0</v>
      </c>
      <c r="H290" s="181">
        <f>26384870-26359870</f>
        <v>25000</v>
      </c>
      <c r="I290" s="181">
        <v>0</v>
      </c>
      <c r="J290" s="181">
        <v>45000</v>
      </c>
      <c r="K290" s="181">
        <v>23884138</v>
      </c>
      <c r="L290" s="181">
        <v>0</v>
      </c>
      <c r="M290" s="181">
        <f>N290+P290</f>
        <v>21633068</v>
      </c>
      <c r="N290" s="181">
        <v>21633068</v>
      </c>
      <c r="O290" s="181">
        <v>21633068</v>
      </c>
      <c r="P290" s="181">
        <v>0</v>
      </c>
      <c r="Q290" s="182"/>
      <c r="R290" s="182"/>
      <c r="S290" s="182"/>
      <c r="T290" s="182"/>
      <c r="U290" s="182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  <c r="GB290" s="148"/>
      <c r="GC290" s="148"/>
      <c r="GD290" s="148"/>
      <c r="GE290" s="148"/>
      <c r="GF290" s="148"/>
      <c r="GG290" s="148"/>
      <c r="GH290" s="148"/>
      <c r="GI290" s="148"/>
      <c r="GJ290" s="148"/>
      <c r="GK290" s="148"/>
      <c r="GL290" s="148"/>
      <c r="GM290" s="148"/>
      <c r="GN290" s="148"/>
      <c r="GO290" s="148"/>
      <c r="GP290" s="148"/>
      <c r="GQ290" s="148"/>
      <c r="GR290" s="148"/>
      <c r="GS290" s="148"/>
      <c r="GT290" s="148"/>
      <c r="GU290" s="148"/>
      <c r="GV290" s="148"/>
      <c r="GW290" s="148"/>
      <c r="GX290" s="148"/>
      <c r="GY290" s="148"/>
      <c r="GZ290" s="148"/>
      <c r="HA290" s="148"/>
      <c r="HB290" s="148"/>
      <c r="HC290" s="148"/>
      <c r="HD290" s="148"/>
      <c r="HE290" s="148"/>
      <c r="HF290" s="148"/>
      <c r="HG290" s="148"/>
      <c r="HH290" s="148"/>
      <c r="HI290" s="148"/>
      <c r="HJ290" s="148"/>
      <c r="HK290" s="148"/>
      <c r="HL290" s="148"/>
      <c r="HM290" s="148"/>
      <c r="HN290" s="148"/>
      <c r="HO290" s="148"/>
      <c r="HP290" s="148"/>
      <c r="HQ290" s="148"/>
      <c r="HR290" s="148"/>
      <c r="HS290" s="148"/>
      <c r="HT290" s="148"/>
      <c r="HU290" s="148"/>
      <c r="HV290" s="148"/>
      <c r="HW290" s="148"/>
      <c r="HX290" s="148"/>
      <c r="HY290" s="148"/>
      <c r="HZ290" s="148"/>
      <c r="IA290" s="148"/>
      <c r="IB290" s="148"/>
      <c r="IC290" s="148"/>
      <c r="ID290" s="148"/>
      <c r="IE290" s="148"/>
      <c r="IF290" s="148"/>
      <c r="IG290" s="148"/>
      <c r="IH290" s="148"/>
      <c r="II290" s="148"/>
      <c r="IJ290" s="148"/>
      <c r="IK290" s="148"/>
      <c r="IL290" s="148"/>
      <c r="IM290" s="148"/>
      <c r="IN290" s="148"/>
      <c r="IO290" s="148"/>
      <c r="IP290" s="148"/>
      <c r="IQ290" s="148"/>
      <c r="IR290" s="148"/>
      <c r="IS290" s="148"/>
      <c r="IT290" s="148"/>
      <c r="IU290" s="148"/>
      <c r="IV290" s="148"/>
    </row>
    <row r="291" spans="1:256">
      <c r="A291" s="842"/>
      <c r="B291" s="845"/>
      <c r="C291" s="178" t="s">
        <v>1</v>
      </c>
      <c r="D291" s="180">
        <f>E291+M291</f>
        <v>600141</v>
      </c>
      <c r="E291" s="181">
        <f>F291+I291+J291+K291+L291</f>
        <v>-1016284</v>
      </c>
      <c r="F291" s="181">
        <f>G291+H291</f>
        <v>0</v>
      </c>
      <c r="G291" s="181"/>
      <c r="H291" s="181"/>
      <c r="I291" s="181"/>
      <c r="J291" s="181"/>
      <c r="K291" s="181">
        <f>85254-1519859+79091+299495+1342+158+34211+4024</f>
        <v>-1016284</v>
      </c>
      <c r="L291" s="181"/>
      <c r="M291" s="181">
        <f>N291+P291</f>
        <v>1616425</v>
      </c>
      <c r="N291" s="181">
        <f>913646-44117+746896</f>
        <v>1616425</v>
      </c>
      <c r="O291" s="181">
        <f>-44117+746896</f>
        <v>702779</v>
      </c>
      <c r="P291" s="181"/>
      <c r="Q291" s="182"/>
      <c r="R291" s="182"/>
      <c r="S291" s="182"/>
      <c r="T291" s="182"/>
      <c r="U291" s="182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  <c r="GB291" s="148"/>
      <c r="GC291" s="148"/>
      <c r="GD291" s="148"/>
      <c r="GE291" s="148"/>
      <c r="GF291" s="148"/>
      <c r="GG291" s="148"/>
      <c r="GH291" s="148"/>
      <c r="GI291" s="148"/>
      <c r="GJ291" s="148"/>
      <c r="GK291" s="148"/>
      <c r="GL291" s="148"/>
      <c r="GM291" s="148"/>
      <c r="GN291" s="148"/>
      <c r="GO291" s="148"/>
      <c r="GP291" s="148"/>
      <c r="GQ291" s="148"/>
      <c r="GR291" s="148"/>
      <c r="GS291" s="148"/>
      <c r="GT291" s="148"/>
      <c r="GU291" s="148"/>
      <c r="GV291" s="148"/>
      <c r="GW291" s="148"/>
      <c r="GX291" s="148"/>
      <c r="GY291" s="148"/>
      <c r="GZ291" s="148"/>
      <c r="HA291" s="148"/>
      <c r="HB291" s="148"/>
      <c r="HC291" s="148"/>
      <c r="HD291" s="148"/>
      <c r="HE291" s="148"/>
      <c r="HF291" s="148"/>
      <c r="HG291" s="148"/>
      <c r="HH291" s="148"/>
      <c r="HI291" s="148"/>
      <c r="HJ291" s="148"/>
      <c r="HK291" s="148"/>
      <c r="HL291" s="148"/>
      <c r="HM291" s="148"/>
      <c r="HN291" s="148"/>
      <c r="HO291" s="148"/>
      <c r="HP291" s="148"/>
      <c r="HQ291" s="148"/>
      <c r="HR291" s="148"/>
      <c r="HS291" s="148"/>
      <c r="HT291" s="148"/>
      <c r="HU291" s="148"/>
      <c r="HV291" s="148"/>
      <c r="HW291" s="148"/>
      <c r="HX291" s="148"/>
      <c r="HY291" s="148"/>
      <c r="HZ291" s="148"/>
      <c r="IA291" s="148"/>
      <c r="IB291" s="148"/>
      <c r="IC291" s="148"/>
      <c r="ID291" s="148"/>
      <c r="IE291" s="148"/>
      <c r="IF291" s="148"/>
      <c r="IG291" s="148"/>
      <c r="IH291" s="148"/>
      <c r="II291" s="148"/>
      <c r="IJ291" s="148"/>
      <c r="IK291" s="148"/>
      <c r="IL291" s="148"/>
      <c r="IM291" s="148"/>
      <c r="IN291" s="148"/>
      <c r="IO291" s="148"/>
      <c r="IP291" s="148"/>
      <c r="IQ291" s="148"/>
      <c r="IR291" s="148"/>
      <c r="IS291" s="148"/>
      <c r="IT291" s="148"/>
      <c r="IU291" s="148"/>
      <c r="IV291" s="148"/>
    </row>
    <row r="292" spans="1:256">
      <c r="A292" s="843"/>
      <c r="B292" s="846"/>
      <c r="C292" s="178" t="s">
        <v>2</v>
      </c>
      <c r="D292" s="180">
        <f>D290+D291</f>
        <v>46187347</v>
      </c>
      <c r="E292" s="181">
        <f t="shared" ref="E292:P292" si="119">E290+E291</f>
        <v>22937854</v>
      </c>
      <c r="F292" s="181">
        <f t="shared" si="119"/>
        <v>25000</v>
      </c>
      <c r="G292" s="181">
        <f t="shared" si="119"/>
        <v>0</v>
      </c>
      <c r="H292" s="181">
        <f t="shared" si="119"/>
        <v>25000</v>
      </c>
      <c r="I292" s="181">
        <f t="shared" si="119"/>
        <v>0</v>
      </c>
      <c r="J292" s="181">
        <f t="shared" si="119"/>
        <v>45000</v>
      </c>
      <c r="K292" s="181">
        <f t="shared" si="119"/>
        <v>22867854</v>
      </c>
      <c r="L292" s="181">
        <f t="shared" si="119"/>
        <v>0</v>
      </c>
      <c r="M292" s="181">
        <f t="shared" si="119"/>
        <v>23249493</v>
      </c>
      <c r="N292" s="181">
        <f t="shared" si="119"/>
        <v>23249493</v>
      </c>
      <c r="O292" s="181">
        <f>O290+O291</f>
        <v>22335847</v>
      </c>
      <c r="P292" s="181">
        <f t="shared" si="119"/>
        <v>0</v>
      </c>
      <c r="Q292" s="182"/>
      <c r="R292" s="182"/>
      <c r="S292" s="182"/>
      <c r="T292" s="182"/>
      <c r="U292" s="182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  <c r="HN292" s="148"/>
      <c r="HO292" s="148"/>
      <c r="HP292" s="148"/>
      <c r="HQ292" s="148"/>
      <c r="HR292" s="148"/>
      <c r="HS292" s="148"/>
      <c r="HT292" s="148"/>
      <c r="HU292" s="148"/>
      <c r="HV292" s="148"/>
      <c r="HW292" s="148"/>
      <c r="HX292" s="148"/>
      <c r="HY292" s="148"/>
      <c r="HZ292" s="148"/>
      <c r="IA292" s="148"/>
      <c r="IB292" s="148"/>
      <c r="IC292" s="148"/>
      <c r="ID292" s="148"/>
      <c r="IE292" s="148"/>
      <c r="IF292" s="148"/>
      <c r="IG292" s="148"/>
      <c r="IH292" s="148"/>
      <c r="II292" s="148"/>
      <c r="IJ292" s="148"/>
      <c r="IK292" s="148"/>
      <c r="IL292" s="148"/>
      <c r="IM292" s="148"/>
      <c r="IN292" s="148"/>
      <c r="IO292" s="148"/>
      <c r="IP292" s="148"/>
      <c r="IQ292" s="148"/>
      <c r="IR292" s="148"/>
      <c r="IS292" s="148"/>
      <c r="IT292" s="148"/>
      <c r="IU292" s="148"/>
      <c r="IV292" s="148"/>
    </row>
    <row r="293" spans="1:256" ht="16.5" customHeight="1">
      <c r="A293" s="835">
        <v>853</v>
      </c>
      <c r="B293" s="838" t="s">
        <v>297</v>
      </c>
      <c r="C293" s="196" t="s">
        <v>0</v>
      </c>
      <c r="D293" s="174">
        <f t="shared" ref="D293:P294" si="120">D296+D299+D305+D308+D302</f>
        <v>37175874</v>
      </c>
      <c r="E293" s="175">
        <f t="shared" si="120"/>
        <v>36705874</v>
      </c>
      <c r="F293" s="175">
        <f t="shared" si="120"/>
        <v>23498457</v>
      </c>
      <c r="G293" s="175">
        <f t="shared" si="120"/>
        <v>13569286</v>
      </c>
      <c r="H293" s="175">
        <f t="shared" si="120"/>
        <v>9929171</v>
      </c>
      <c r="I293" s="175">
        <f t="shared" si="120"/>
        <v>750000</v>
      </c>
      <c r="J293" s="175">
        <f t="shared" si="120"/>
        <v>13400</v>
      </c>
      <c r="K293" s="175">
        <f t="shared" si="120"/>
        <v>12444017</v>
      </c>
      <c r="L293" s="175">
        <f t="shared" si="120"/>
        <v>0</v>
      </c>
      <c r="M293" s="175">
        <f t="shared" si="120"/>
        <v>470000</v>
      </c>
      <c r="N293" s="175">
        <f t="shared" si="120"/>
        <v>220000</v>
      </c>
      <c r="O293" s="175">
        <f t="shared" si="120"/>
        <v>0</v>
      </c>
      <c r="P293" s="175">
        <f t="shared" si="120"/>
        <v>250000</v>
      </c>
      <c r="Q293" s="188"/>
      <c r="R293" s="188"/>
      <c r="S293" s="188"/>
      <c r="T293" s="188"/>
      <c r="U293" s="188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  <c r="FF293" s="189"/>
      <c r="FG293" s="189"/>
      <c r="FH293" s="189"/>
      <c r="FI293" s="189"/>
      <c r="FJ293" s="189"/>
      <c r="FK293" s="189"/>
      <c r="FL293" s="189"/>
      <c r="FM293" s="189"/>
      <c r="FN293" s="189"/>
      <c r="FO293" s="189"/>
      <c r="FP293" s="189"/>
      <c r="FQ293" s="189"/>
      <c r="FR293" s="189"/>
      <c r="FS293" s="189"/>
      <c r="FT293" s="189"/>
      <c r="FU293" s="189"/>
      <c r="FV293" s="189"/>
      <c r="FW293" s="189"/>
      <c r="FX293" s="189"/>
      <c r="FY293" s="189"/>
      <c r="FZ293" s="189"/>
      <c r="GA293" s="189"/>
      <c r="GB293" s="189"/>
      <c r="GC293" s="189"/>
      <c r="GD293" s="189"/>
      <c r="GE293" s="189"/>
      <c r="GF293" s="189"/>
      <c r="GG293" s="189"/>
      <c r="GH293" s="189"/>
      <c r="GI293" s="189"/>
      <c r="GJ293" s="189"/>
      <c r="GK293" s="189"/>
      <c r="GL293" s="189"/>
      <c r="GM293" s="189"/>
      <c r="GN293" s="189"/>
      <c r="GO293" s="189"/>
      <c r="GP293" s="189"/>
      <c r="GQ293" s="189"/>
      <c r="GR293" s="189"/>
      <c r="GS293" s="189"/>
      <c r="GT293" s="189"/>
      <c r="GU293" s="189"/>
      <c r="GV293" s="189"/>
      <c r="GW293" s="189"/>
      <c r="GX293" s="189"/>
      <c r="GY293" s="189"/>
      <c r="GZ293" s="189"/>
      <c r="HA293" s="189"/>
      <c r="HB293" s="189"/>
      <c r="HC293" s="189"/>
      <c r="HD293" s="189"/>
      <c r="HE293" s="189"/>
      <c r="HF293" s="189"/>
      <c r="HG293" s="189"/>
      <c r="HH293" s="189"/>
      <c r="HI293" s="189"/>
      <c r="HJ293" s="189"/>
      <c r="HK293" s="189"/>
      <c r="HL293" s="189"/>
      <c r="HM293" s="189"/>
      <c r="HN293" s="189"/>
      <c r="HO293" s="189"/>
      <c r="HP293" s="189"/>
      <c r="HQ293" s="189"/>
      <c r="HR293" s="189"/>
      <c r="HS293" s="189"/>
      <c r="HT293" s="189"/>
      <c r="HU293" s="189"/>
      <c r="HV293" s="189"/>
      <c r="HW293" s="189"/>
      <c r="HX293" s="189"/>
      <c r="HY293" s="189"/>
      <c r="HZ293" s="189"/>
      <c r="IA293" s="189"/>
      <c r="IB293" s="189"/>
      <c r="IC293" s="189"/>
      <c r="ID293" s="189"/>
      <c r="IE293" s="189"/>
      <c r="IF293" s="189"/>
      <c r="IG293" s="189"/>
      <c r="IH293" s="189"/>
      <c r="II293" s="189"/>
      <c r="IJ293" s="189"/>
      <c r="IK293" s="189"/>
      <c r="IL293" s="189"/>
      <c r="IM293" s="189"/>
      <c r="IN293" s="189"/>
      <c r="IO293" s="189"/>
      <c r="IP293" s="189"/>
      <c r="IQ293" s="189"/>
      <c r="IR293" s="189"/>
      <c r="IS293" s="189"/>
      <c r="IT293" s="189"/>
      <c r="IU293" s="189"/>
      <c r="IV293" s="189"/>
    </row>
    <row r="294" spans="1:256" ht="16.5" customHeight="1">
      <c r="A294" s="836"/>
      <c r="B294" s="839"/>
      <c r="C294" s="196" t="s">
        <v>1</v>
      </c>
      <c r="D294" s="174">
        <f t="shared" si="120"/>
        <v>3645004</v>
      </c>
      <c r="E294" s="175">
        <f t="shared" si="120"/>
        <v>2318474</v>
      </c>
      <c r="F294" s="175">
        <f t="shared" si="120"/>
        <v>2012474</v>
      </c>
      <c r="G294" s="175">
        <f t="shared" si="120"/>
        <v>361304</v>
      </c>
      <c r="H294" s="175">
        <f t="shared" si="120"/>
        <v>1651170</v>
      </c>
      <c r="I294" s="175">
        <f t="shared" si="120"/>
        <v>180000</v>
      </c>
      <c r="J294" s="175">
        <f t="shared" si="120"/>
        <v>1000</v>
      </c>
      <c r="K294" s="175">
        <f t="shared" si="120"/>
        <v>125000</v>
      </c>
      <c r="L294" s="175">
        <f t="shared" si="120"/>
        <v>0</v>
      </c>
      <c r="M294" s="175">
        <f t="shared" si="120"/>
        <v>1326530</v>
      </c>
      <c r="N294" s="175">
        <f t="shared" si="120"/>
        <v>1326530</v>
      </c>
      <c r="O294" s="175">
        <f t="shared" si="120"/>
        <v>46530</v>
      </c>
      <c r="P294" s="175">
        <f t="shared" si="120"/>
        <v>0</v>
      </c>
      <c r="Q294" s="188"/>
      <c r="R294" s="188"/>
      <c r="S294" s="188"/>
      <c r="T294" s="188"/>
      <c r="U294" s="188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  <c r="FF294" s="189"/>
      <c r="FG294" s="189"/>
      <c r="FH294" s="189"/>
      <c r="FI294" s="189"/>
      <c r="FJ294" s="189"/>
      <c r="FK294" s="189"/>
      <c r="FL294" s="189"/>
      <c r="FM294" s="189"/>
      <c r="FN294" s="189"/>
      <c r="FO294" s="189"/>
      <c r="FP294" s="189"/>
      <c r="FQ294" s="189"/>
      <c r="FR294" s="189"/>
      <c r="FS294" s="189"/>
      <c r="FT294" s="189"/>
      <c r="FU294" s="189"/>
      <c r="FV294" s="189"/>
      <c r="FW294" s="189"/>
      <c r="FX294" s="189"/>
      <c r="FY294" s="189"/>
      <c r="FZ294" s="189"/>
      <c r="GA294" s="189"/>
      <c r="GB294" s="189"/>
      <c r="GC294" s="189"/>
      <c r="GD294" s="189"/>
      <c r="GE294" s="189"/>
      <c r="GF294" s="189"/>
      <c r="GG294" s="189"/>
      <c r="GH294" s="189"/>
      <c r="GI294" s="189"/>
      <c r="GJ294" s="189"/>
      <c r="GK294" s="189"/>
      <c r="GL294" s="189"/>
      <c r="GM294" s="189"/>
      <c r="GN294" s="189"/>
      <c r="GO294" s="189"/>
      <c r="GP294" s="189"/>
      <c r="GQ294" s="189"/>
      <c r="GR294" s="189"/>
      <c r="GS294" s="189"/>
      <c r="GT294" s="189"/>
      <c r="GU294" s="189"/>
      <c r="GV294" s="189"/>
      <c r="GW294" s="189"/>
      <c r="GX294" s="189"/>
      <c r="GY294" s="189"/>
      <c r="GZ294" s="189"/>
      <c r="HA294" s="189"/>
      <c r="HB294" s="189"/>
      <c r="HC294" s="189"/>
      <c r="HD294" s="189"/>
      <c r="HE294" s="189"/>
      <c r="HF294" s="189"/>
      <c r="HG294" s="189"/>
      <c r="HH294" s="189"/>
      <c r="HI294" s="189"/>
      <c r="HJ294" s="189"/>
      <c r="HK294" s="189"/>
      <c r="HL294" s="189"/>
      <c r="HM294" s="189"/>
      <c r="HN294" s="189"/>
      <c r="HO294" s="189"/>
      <c r="HP294" s="189"/>
      <c r="HQ294" s="189"/>
      <c r="HR294" s="189"/>
      <c r="HS294" s="189"/>
      <c r="HT294" s="189"/>
      <c r="HU294" s="189"/>
      <c r="HV294" s="189"/>
      <c r="HW294" s="189"/>
      <c r="HX294" s="189"/>
      <c r="HY294" s="189"/>
      <c r="HZ294" s="189"/>
      <c r="IA294" s="189"/>
      <c r="IB294" s="189"/>
      <c r="IC294" s="189"/>
      <c r="ID294" s="189"/>
      <c r="IE294" s="189"/>
      <c r="IF294" s="189"/>
      <c r="IG294" s="189"/>
      <c r="IH294" s="189"/>
      <c r="II294" s="189"/>
      <c r="IJ294" s="189"/>
      <c r="IK294" s="189"/>
      <c r="IL294" s="189"/>
      <c r="IM294" s="189"/>
      <c r="IN294" s="189"/>
      <c r="IO294" s="189"/>
      <c r="IP294" s="189"/>
      <c r="IQ294" s="189"/>
      <c r="IR294" s="189"/>
      <c r="IS294" s="189"/>
      <c r="IT294" s="189"/>
      <c r="IU294" s="189"/>
      <c r="IV294" s="189"/>
    </row>
    <row r="295" spans="1:256" ht="16.5" customHeight="1">
      <c r="A295" s="837"/>
      <c r="B295" s="840"/>
      <c r="C295" s="196" t="s">
        <v>2</v>
      </c>
      <c r="D295" s="174">
        <f>D293+D294</f>
        <v>40820878</v>
      </c>
      <c r="E295" s="175">
        <f t="shared" ref="E295:P295" si="121">E293+E294</f>
        <v>39024348</v>
      </c>
      <c r="F295" s="175">
        <f t="shared" si="121"/>
        <v>25510931</v>
      </c>
      <c r="G295" s="175">
        <f t="shared" si="121"/>
        <v>13930590</v>
      </c>
      <c r="H295" s="175">
        <f t="shared" si="121"/>
        <v>11580341</v>
      </c>
      <c r="I295" s="175">
        <f t="shared" si="121"/>
        <v>930000</v>
      </c>
      <c r="J295" s="175">
        <f t="shared" si="121"/>
        <v>14400</v>
      </c>
      <c r="K295" s="175">
        <f t="shared" si="121"/>
        <v>12569017</v>
      </c>
      <c r="L295" s="175">
        <f t="shared" si="121"/>
        <v>0</v>
      </c>
      <c r="M295" s="175">
        <f t="shared" si="121"/>
        <v>1796530</v>
      </c>
      <c r="N295" s="175">
        <f t="shared" si="121"/>
        <v>1546530</v>
      </c>
      <c r="O295" s="175">
        <f t="shared" si="121"/>
        <v>46530</v>
      </c>
      <c r="P295" s="175">
        <f t="shared" si="121"/>
        <v>250000</v>
      </c>
      <c r="Q295" s="188"/>
      <c r="R295" s="188"/>
      <c r="S295" s="188"/>
      <c r="T295" s="188"/>
      <c r="U295" s="188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  <c r="FF295" s="189"/>
      <c r="FG295" s="189"/>
      <c r="FH295" s="189"/>
      <c r="FI295" s="189"/>
      <c r="FJ295" s="189"/>
      <c r="FK295" s="189"/>
      <c r="FL295" s="189"/>
      <c r="FM295" s="189"/>
      <c r="FN295" s="189"/>
      <c r="FO295" s="189"/>
      <c r="FP295" s="189"/>
      <c r="FQ295" s="189"/>
      <c r="FR295" s="189"/>
      <c r="FS295" s="189"/>
      <c r="FT295" s="189"/>
      <c r="FU295" s="189"/>
      <c r="FV295" s="189"/>
      <c r="FW295" s="189"/>
      <c r="FX295" s="189"/>
      <c r="FY295" s="189"/>
      <c r="FZ295" s="189"/>
      <c r="GA295" s="189"/>
      <c r="GB295" s="189"/>
      <c r="GC295" s="189"/>
      <c r="GD295" s="189"/>
      <c r="GE295" s="189"/>
      <c r="GF295" s="189"/>
      <c r="GG295" s="189"/>
      <c r="GH295" s="189"/>
      <c r="GI295" s="189"/>
      <c r="GJ295" s="189"/>
      <c r="GK295" s="189"/>
      <c r="GL295" s="189"/>
      <c r="GM295" s="189"/>
      <c r="GN295" s="189"/>
      <c r="GO295" s="189"/>
      <c r="GP295" s="189"/>
      <c r="GQ295" s="189"/>
      <c r="GR295" s="189"/>
      <c r="GS295" s="189"/>
      <c r="GT295" s="189"/>
      <c r="GU295" s="189"/>
      <c r="GV295" s="189"/>
      <c r="GW295" s="189"/>
      <c r="GX295" s="189"/>
      <c r="GY295" s="189"/>
      <c r="GZ295" s="189"/>
      <c r="HA295" s="189"/>
      <c r="HB295" s="189"/>
      <c r="HC295" s="189"/>
      <c r="HD295" s="189"/>
      <c r="HE295" s="189"/>
      <c r="HF295" s="189"/>
      <c r="HG295" s="189"/>
      <c r="HH295" s="189"/>
      <c r="HI295" s="189"/>
      <c r="HJ295" s="189"/>
      <c r="HK295" s="189"/>
      <c r="HL295" s="189"/>
      <c r="HM295" s="189"/>
      <c r="HN295" s="189"/>
      <c r="HO295" s="189"/>
      <c r="HP295" s="189"/>
      <c r="HQ295" s="189"/>
      <c r="HR295" s="189"/>
      <c r="HS295" s="189"/>
      <c r="HT295" s="189"/>
      <c r="HU295" s="189"/>
      <c r="HV295" s="189"/>
      <c r="HW295" s="189"/>
      <c r="HX295" s="189"/>
      <c r="HY295" s="189"/>
      <c r="HZ295" s="189"/>
      <c r="IA295" s="189"/>
      <c r="IB295" s="189"/>
      <c r="IC295" s="189"/>
      <c r="ID295" s="189"/>
      <c r="IE295" s="189"/>
      <c r="IF295" s="189"/>
      <c r="IG295" s="189"/>
      <c r="IH295" s="189"/>
      <c r="II295" s="189"/>
      <c r="IJ295" s="189"/>
      <c r="IK295" s="189"/>
      <c r="IL295" s="189"/>
      <c r="IM295" s="189"/>
      <c r="IN295" s="189"/>
      <c r="IO295" s="189"/>
      <c r="IP295" s="189"/>
      <c r="IQ295" s="189"/>
      <c r="IR295" s="189"/>
      <c r="IS295" s="189"/>
      <c r="IT295" s="189"/>
      <c r="IU295" s="189"/>
      <c r="IV295" s="189"/>
    </row>
    <row r="296" spans="1:256">
      <c r="A296" s="862">
        <v>85311</v>
      </c>
      <c r="B296" s="856" t="s">
        <v>298</v>
      </c>
      <c r="C296" s="178" t="s">
        <v>0</v>
      </c>
      <c r="D296" s="170">
        <f>E296+M296</f>
        <v>600000</v>
      </c>
      <c r="E296" s="171">
        <f>F296+I296+J296+K296+L296</f>
        <v>600000</v>
      </c>
      <c r="F296" s="171">
        <f>G296+H296</f>
        <v>0</v>
      </c>
      <c r="G296" s="171">
        <v>0</v>
      </c>
      <c r="H296" s="171">
        <v>0</v>
      </c>
      <c r="I296" s="171">
        <v>600000</v>
      </c>
      <c r="J296" s="171">
        <v>0</v>
      </c>
      <c r="K296" s="171">
        <v>0</v>
      </c>
      <c r="L296" s="171">
        <v>0</v>
      </c>
      <c r="M296" s="171">
        <f>N296+P296</f>
        <v>0</v>
      </c>
      <c r="N296" s="171">
        <v>0</v>
      </c>
      <c r="O296" s="171">
        <v>0</v>
      </c>
      <c r="P296" s="171">
        <v>0</v>
      </c>
      <c r="Q296" s="172"/>
      <c r="R296" s="172"/>
      <c r="S296" s="172"/>
      <c r="T296" s="172"/>
      <c r="U296" s="172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3"/>
      <c r="CA296" s="163"/>
      <c r="CB296" s="163"/>
      <c r="CC296" s="163"/>
      <c r="CD296" s="163"/>
      <c r="CE296" s="163"/>
      <c r="CF296" s="163"/>
      <c r="CG296" s="163"/>
      <c r="CH296" s="163"/>
      <c r="CI296" s="163"/>
      <c r="CJ296" s="163"/>
      <c r="CK296" s="163"/>
      <c r="CL296" s="163"/>
      <c r="CM296" s="163"/>
      <c r="CN296" s="163"/>
      <c r="CO296" s="163"/>
      <c r="CP296" s="163"/>
      <c r="CQ296" s="163"/>
      <c r="CR296" s="163"/>
      <c r="CS296" s="163"/>
      <c r="CT296" s="163"/>
      <c r="CU296" s="163"/>
      <c r="CV296" s="163"/>
      <c r="CW296" s="163"/>
      <c r="CX296" s="163"/>
      <c r="CY296" s="163"/>
      <c r="CZ296" s="163"/>
      <c r="DA296" s="163"/>
      <c r="DB296" s="163"/>
      <c r="DC296" s="163"/>
      <c r="DD296" s="163"/>
      <c r="DE296" s="163"/>
      <c r="DF296" s="163"/>
      <c r="DG296" s="163"/>
      <c r="DH296" s="163"/>
      <c r="DI296" s="163"/>
      <c r="DJ296" s="163"/>
      <c r="DK296" s="163"/>
      <c r="DL296" s="163"/>
      <c r="DM296" s="163"/>
      <c r="DN296" s="163"/>
      <c r="DO296" s="163"/>
      <c r="DP296" s="163"/>
      <c r="DQ296" s="163"/>
      <c r="DR296" s="163"/>
      <c r="DS296" s="163"/>
      <c r="DT296" s="163"/>
      <c r="DU296" s="163"/>
      <c r="DV296" s="163"/>
      <c r="DW296" s="163"/>
      <c r="DX296" s="163"/>
      <c r="DY296" s="163"/>
      <c r="DZ296" s="163"/>
      <c r="EA296" s="163"/>
      <c r="EB296" s="163"/>
      <c r="EC296" s="163"/>
      <c r="ED296" s="163"/>
      <c r="EE296" s="163"/>
      <c r="EF296" s="163"/>
      <c r="EG296" s="163"/>
      <c r="EH296" s="163"/>
      <c r="EI296" s="163"/>
      <c r="EJ296" s="163"/>
      <c r="EK296" s="163"/>
      <c r="EL296" s="163"/>
      <c r="EM296" s="163"/>
      <c r="EN296" s="163"/>
      <c r="EO296" s="163"/>
      <c r="EP296" s="163"/>
      <c r="EQ296" s="163"/>
      <c r="ER296" s="163"/>
      <c r="ES296" s="163"/>
      <c r="ET296" s="163"/>
      <c r="EU296" s="163"/>
      <c r="EV296" s="163"/>
      <c r="EW296" s="163"/>
      <c r="EX296" s="163"/>
      <c r="EY296" s="163"/>
      <c r="EZ296" s="163"/>
      <c r="FA296" s="163"/>
      <c r="FB296" s="163"/>
      <c r="FC296" s="163"/>
      <c r="FD296" s="163"/>
      <c r="FE296" s="163"/>
      <c r="FF296" s="163"/>
      <c r="FG296" s="163"/>
      <c r="FH296" s="163"/>
      <c r="FI296" s="163"/>
      <c r="FJ296" s="163"/>
      <c r="FK296" s="163"/>
      <c r="FL296" s="163"/>
      <c r="FM296" s="163"/>
      <c r="FN296" s="163"/>
      <c r="FO296" s="163"/>
      <c r="FP296" s="163"/>
      <c r="FQ296" s="163"/>
      <c r="FR296" s="163"/>
      <c r="FS296" s="163"/>
      <c r="FT296" s="163"/>
      <c r="FU296" s="163"/>
      <c r="FV296" s="163"/>
      <c r="FW296" s="163"/>
      <c r="FX296" s="163"/>
      <c r="FY296" s="163"/>
      <c r="FZ296" s="163"/>
      <c r="GA296" s="163"/>
      <c r="GB296" s="163"/>
      <c r="GC296" s="163"/>
      <c r="GD296" s="163"/>
      <c r="GE296" s="163"/>
      <c r="GF296" s="163"/>
      <c r="GG296" s="163"/>
      <c r="GH296" s="163"/>
      <c r="GI296" s="163"/>
      <c r="GJ296" s="163"/>
      <c r="GK296" s="163"/>
      <c r="GL296" s="163"/>
      <c r="GM296" s="163"/>
      <c r="GN296" s="163"/>
      <c r="GO296" s="163"/>
      <c r="GP296" s="163"/>
      <c r="GQ296" s="163"/>
      <c r="GR296" s="163"/>
      <c r="GS296" s="163"/>
      <c r="GT296" s="163"/>
      <c r="GU296" s="163"/>
      <c r="GV296" s="163"/>
      <c r="GW296" s="163"/>
      <c r="GX296" s="163"/>
      <c r="GY296" s="163"/>
      <c r="GZ296" s="163"/>
      <c r="HA296" s="163"/>
      <c r="HB296" s="163"/>
      <c r="HC296" s="163"/>
      <c r="HD296" s="163"/>
      <c r="HE296" s="163"/>
      <c r="HF296" s="163"/>
      <c r="HG296" s="163"/>
      <c r="HH296" s="163"/>
      <c r="HI296" s="163"/>
      <c r="HJ296" s="163"/>
      <c r="HK296" s="163"/>
      <c r="HL296" s="163"/>
      <c r="HM296" s="163"/>
      <c r="HN296" s="163"/>
      <c r="HO296" s="163"/>
      <c r="HP296" s="163"/>
      <c r="HQ296" s="163"/>
      <c r="HR296" s="163"/>
      <c r="HS296" s="163"/>
      <c r="HT296" s="163"/>
      <c r="HU296" s="163"/>
      <c r="HV296" s="163"/>
      <c r="HW296" s="163"/>
      <c r="HX296" s="163"/>
      <c r="HY296" s="163"/>
      <c r="HZ296" s="163"/>
      <c r="IA296" s="163"/>
      <c r="IB296" s="163"/>
      <c r="IC296" s="163"/>
      <c r="ID296" s="163"/>
      <c r="IE296" s="163"/>
      <c r="IF296" s="163"/>
      <c r="IG296" s="163"/>
      <c r="IH296" s="163"/>
      <c r="II296" s="163"/>
      <c r="IJ296" s="163"/>
      <c r="IK296" s="163"/>
      <c r="IL296" s="163"/>
      <c r="IM296" s="163"/>
      <c r="IN296" s="163"/>
      <c r="IO296" s="163"/>
      <c r="IP296" s="163"/>
      <c r="IQ296" s="163"/>
      <c r="IR296" s="163"/>
      <c r="IS296" s="163"/>
      <c r="IT296" s="163"/>
      <c r="IU296" s="163"/>
      <c r="IV296" s="163"/>
    </row>
    <row r="297" spans="1:256">
      <c r="A297" s="863"/>
      <c r="B297" s="857"/>
      <c r="C297" s="178" t="s">
        <v>1</v>
      </c>
      <c r="D297" s="170">
        <f>E297+M297</f>
        <v>180000</v>
      </c>
      <c r="E297" s="171">
        <f>F297+I297+J297+K297+L297</f>
        <v>180000</v>
      </c>
      <c r="F297" s="171">
        <f>G297+H297</f>
        <v>0</v>
      </c>
      <c r="G297" s="171"/>
      <c r="H297" s="171"/>
      <c r="I297" s="171">
        <v>180000</v>
      </c>
      <c r="J297" s="171"/>
      <c r="K297" s="171"/>
      <c r="L297" s="171"/>
      <c r="M297" s="171">
        <f>N297+P297</f>
        <v>0</v>
      </c>
      <c r="N297" s="171"/>
      <c r="O297" s="171"/>
      <c r="P297" s="171"/>
      <c r="Q297" s="172"/>
      <c r="R297" s="172"/>
      <c r="S297" s="172"/>
      <c r="T297" s="172"/>
      <c r="U297" s="172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3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  <c r="DZ297" s="163"/>
      <c r="EA297" s="163"/>
      <c r="EB297" s="163"/>
      <c r="EC297" s="163"/>
      <c r="ED297" s="163"/>
      <c r="EE297" s="163"/>
      <c r="EF297" s="163"/>
      <c r="EG297" s="163"/>
      <c r="EH297" s="163"/>
      <c r="EI297" s="163"/>
      <c r="EJ297" s="163"/>
      <c r="EK297" s="163"/>
      <c r="EL297" s="163"/>
      <c r="EM297" s="163"/>
      <c r="EN297" s="163"/>
      <c r="EO297" s="163"/>
      <c r="EP297" s="163"/>
      <c r="EQ297" s="163"/>
      <c r="ER297" s="163"/>
      <c r="ES297" s="163"/>
      <c r="ET297" s="163"/>
      <c r="EU297" s="163"/>
      <c r="EV297" s="163"/>
      <c r="EW297" s="163"/>
      <c r="EX297" s="163"/>
      <c r="EY297" s="163"/>
      <c r="EZ297" s="163"/>
      <c r="FA297" s="163"/>
      <c r="FB297" s="163"/>
      <c r="FC297" s="163"/>
      <c r="FD297" s="163"/>
      <c r="FE297" s="163"/>
      <c r="FF297" s="163"/>
      <c r="FG297" s="163"/>
      <c r="FH297" s="163"/>
      <c r="FI297" s="163"/>
      <c r="FJ297" s="163"/>
      <c r="FK297" s="163"/>
      <c r="FL297" s="163"/>
      <c r="FM297" s="163"/>
      <c r="FN297" s="163"/>
      <c r="FO297" s="163"/>
      <c r="FP297" s="163"/>
      <c r="FQ297" s="163"/>
      <c r="FR297" s="163"/>
      <c r="FS297" s="163"/>
      <c r="FT297" s="163"/>
      <c r="FU297" s="163"/>
      <c r="FV297" s="163"/>
      <c r="FW297" s="163"/>
      <c r="FX297" s="163"/>
      <c r="FY297" s="163"/>
      <c r="FZ297" s="163"/>
      <c r="GA297" s="163"/>
      <c r="GB297" s="163"/>
      <c r="GC297" s="163"/>
      <c r="GD297" s="163"/>
      <c r="GE297" s="163"/>
      <c r="GF297" s="163"/>
      <c r="GG297" s="163"/>
      <c r="GH297" s="163"/>
      <c r="GI297" s="163"/>
      <c r="GJ297" s="163"/>
      <c r="GK297" s="163"/>
      <c r="GL297" s="163"/>
      <c r="GM297" s="163"/>
      <c r="GN297" s="163"/>
      <c r="GO297" s="163"/>
      <c r="GP297" s="163"/>
      <c r="GQ297" s="163"/>
      <c r="GR297" s="163"/>
      <c r="GS297" s="163"/>
      <c r="GT297" s="163"/>
      <c r="GU297" s="163"/>
      <c r="GV297" s="163"/>
      <c r="GW297" s="163"/>
      <c r="GX297" s="163"/>
      <c r="GY297" s="163"/>
      <c r="GZ297" s="163"/>
      <c r="HA297" s="163"/>
      <c r="HB297" s="163"/>
      <c r="HC297" s="163"/>
      <c r="HD297" s="163"/>
      <c r="HE297" s="163"/>
      <c r="HF297" s="163"/>
      <c r="HG297" s="163"/>
      <c r="HH297" s="163"/>
      <c r="HI297" s="163"/>
      <c r="HJ297" s="163"/>
      <c r="HK297" s="163"/>
      <c r="HL297" s="163"/>
      <c r="HM297" s="163"/>
      <c r="HN297" s="163"/>
      <c r="HO297" s="163"/>
      <c r="HP297" s="163"/>
      <c r="HQ297" s="163"/>
      <c r="HR297" s="163"/>
      <c r="HS297" s="163"/>
      <c r="HT297" s="163"/>
      <c r="HU297" s="163"/>
      <c r="HV297" s="163"/>
      <c r="HW297" s="163"/>
      <c r="HX297" s="163"/>
      <c r="HY297" s="163"/>
      <c r="HZ297" s="163"/>
      <c r="IA297" s="163"/>
      <c r="IB297" s="163"/>
      <c r="IC297" s="163"/>
      <c r="ID297" s="163"/>
      <c r="IE297" s="163"/>
      <c r="IF297" s="163"/>
      <c r="IG297" s="163"/>
      <c r="IH297" s="163"/>
      <c r="II297" s="163"/>
      <c r="IJ297" s="163"/>
      <c r="IK297" s="163"/>
      <c r="IL297" s="163"/>
      <c r="IM297" s="163"/>
      <c r="IN297" s="163"/>
      <c r="IO297" s="163"/>
      <c r="IP297" s="163"/>
      <c r="IQ297" s="163"/>
      <c r="IR297" s="163"/>
      <c r="IS297" s="163"/>
      <c r="IT297" s="163"/>
      <c r="IU297" s="163"/>
      <c r="IV297" s="163"/>
    </row>
    <row r="298" spans="1:256">
      <c r="A298" s="864"/>
      <c r="B298" s="858"/>
      <c r="C298" s="178" t="s">
        <v>2</v>
      </c>
      <c r="D298" s="170">
        <f>D296+D297</f>
        <v>780000</v>
      </c>
      <c r="E298" s="171">
        <f t="shared" ref="E298:P298" si="122">E296+E297</f>
        <v>780000</v>
      </c>
      <c r="F298" s="171">
        <f t="shared" si="122"/>
        <v>0</v>
      </c>
      <c r="G298" s="171">
        <f t="shared" si="122"/>
        <v>0</v>
      </c>
      <c r="H298" s="171">
        <f t="shared" si="122"/>
        <v>0</v>
      </c>
      <c r="I298" s="171">
        <f t="shared" si="122"/>
        <v>780000</v>
      </c>
      <c r="J298" s="171">
        <f t="shared" si="122"/>
        <v>0</v>
      </c>
      <c r="K298" s="171">
        <f t="shared" si="122"/>
        <v>0</v>
      </c>
      <c r="L298" s="171">
        <f t="shared" si="122"/>
        <v>0</v>
      </c>
      <c r="M298" s="171">
        <f t="shared" si="122"/>
        <v>0</v>
      </c>
      <c r="N298" s="171">
        <f t="shared" si="122"/>
        <v>0</v>
      </c>
      <c r="O298" s="171">
        <f t="shared" si="122"/>
        <v>0</v>
      </c>
      <c r="P298" s="171">
        <f t="shared" si="122"/>
        <v>0</v>
      </c>
      <c r="Q298" s="172"/>
      <c r="R298" s="172"/>
      <c r="S298" s="172"/>
      <c r="T298" s="172"/>
      <c r="U298" s="172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3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  <c r="DH298" s="163"/>
      <c r="DI298" s="163"/>
      <c r="DJ298" s="163"/>
      <c r="DK298" s="163"/>
      <c r="DL298" s="163"/>
      <c r="DM298" s="163"/>
      <c r="DN298" s="163"/>
      <c r="DO298" s="163"/>
      <c r="DP298" s="163"/>
      <c r="DQ298" s="163"/>
      <c r="DR298" s="163"/>
      <c r="DS298" s="163"/>
      <c r="DT298" s="163"/>
      <c r="DU298" s="163"/>
      <c r="DV298" s="163"/>
      <c r="DW298" s="163"/>
      <c r="DX298" s="163"/>
      <c r="DY298" s="163"/>
      <c r="DZ298" s="163"/>
      <c r="EA298" s="163"/>
      <c r="EB298" s="163"/>
      <c r="EC298" s="163"/>
      <c r="ED298" s="163"/>
      <c r="EE298" s="163"/>
      <c r="EF298" s="163"/>
      <c r="EG298" s="163"/>
      <c r="EH298" s="163"/>
      <c r="EI298" s="163"/>
      <c r="EJ298" s="163"/>
      <c r="EK298" s="163"/>
      <c r="EL298" s="163"/>
      <c r="EM298" s="163"/>
      <c r="EN298" s="163"/>
      <c r="EO298" s="163"/>
      <c r="EP298" s="163"/>
      <c r="EQ298" s="163"/>
      <c r="ER298" s="163"/>
      <c r="ES298" s="163"/>
      <c r="ET298" s="163"/>
      <c r="EU298" s="163"/>
      <c r="EV298" s="163"/>
      <c r="EW298" s="163"/>
      <c r="EX298" s="163"/>
      <c r="EY298" s="163"/>
      <c r="EZ298" s="163"/>
      <c r="FA298" s="163"/>
      <c r="FB298" s="163"/>
      <c r="FC298" s="163"/>
      <c r="FD298" s="163"/>
      <c r="FE298" s="163"/>
      <c r="FF298" s="163"/>
      <c r="FG298" s="163"/>
      <c r="FH298" s="163"/>
      <c r="FI298" s="163"/>
      <c r="FJ298" s="163"/>
      <c r="FK298" s="163"/>
      <c r="FL298" s="163"/>
      <c r="FM298" s="163"/>
      <c r="FN298" s="163"/>
      <c r="FO298" s="163"/>
      <c r="FP298" s="163"/>
      <c r="FQ298" s="163"/>
      <c r="FR298" s="163"/>
      <c r="FS298" s="163"/>
      <c r="FT298" s="163"/>
      <c r="FU298" s="163"/>
      <c r="FV298" s="163"/>
      <c r="FW298" s="163"/>
      <c r="FX298" s="163"/>
      <c r="FY298" s="163"/>
      <c r="FZ298" s="163"/>
      <c r="GA298" s="163"/>
      <c r="GB298" s="163"/>
      <c r="GC298" s="163"/>
      <c r="GD298" s="163"/>
      <c r="GE298" s="163"/>
      <c r="GF298" s="163"/>
      <c r="GG298" s="163"/>
      <c r="GH298" s="163"/>
      <c r="GI298" s="163"/>
      <c r="GJ298" s="163"/>
      <c r="GK298" s="163"/>
      <c r="GL298" s="163"/>
      <c r="GM298" s="163"/>
      <c r="GN298" s="163"/>
      <c r="GO298" s="163"/>
      <c r="GP298" s="163"/>
      <c r="GQ298" s="163"/>
      <c r="GR298" s="163"/>
      <c r="GS298" s="163"/>
      <c r="GT298" s="163"/>
      <c r="GU298" s="163"/>
      <c r="GV298" s="163"/>
      <c r="GW298" s="163"/>
      <c r="GX298" s="163"/>
      <c r="GY298" s="163"/>
      <c r="GZ298" s="163"/>
      <c r="HA298" s="163"/>
      <c r="HB298" s="163"/>
      <c r="HC298" s="163"/>
      <c r="HD298" s="163"/>
      <c r="HE298" s="163"/>
      <c r="HF298" s="163"/>
      <c r="HG298" s="163"/>
      <c r="HH298" s="163"/>
      <c r="HI298" s="163"/>
      <c r="HJ298" s="163"/>
      <c r="HK298" s="163"/>
      <c r="HL298" s="163"/>
      <c r="HM298" s="163"/>
      <c r="HN298" s="163"/>
      <c r="HO298" s="163"/>
      <c r="HP298" s="163"/>
      <c r="HQ298" s="163"/>
      <c r="HR298" s="163"/>
      <c r="HS298" s="163"/>
      <c r="HT298" s="163"/>
      <c r="HU298" s="163"/>
      <c r="HV298" s="163"/>
      <c r="HW298" s="163"/>
      <c r="HX298" s="163"/>
      <c r="HY298" s="163"/>
      <c r="HZ298" s="163"/>
      <c r="IA298" s="163"/>
      <c r="IB298" s="163"/>
      <c r="IC298" s="163"/>
      <c r="ID298" s="163"/>
      <c r="IE298" s="163"/>
      <c r="IF298" s="163"/>
      <c r="IG298" s="163"/>
      <c r="IH298" s="163"/>
      <c r="II298" s="163"/>
      <c r="IJ298" s="163"/>
      <c r="IK298" s="163"/>
      <c r="IL298" s="163"/>
      <c r="IM298" s="163"/>
      <c r="IN298" s="163"/>
      <c r="IO298" s="163"/>
      <c r="IP298" s="163"/>
      <c r="IQ298" s="163"/>
      <c r="IR298" s="163"/>
      <c r="IS298" s="163"/>
      <c r="IT298" s="163"/>
      <c r="IU298" s="163"/>
      <c r="IV298" s="163"/>
    </row>
    <row r="299" spans="1:256">
      <c r="A299" s="862">
        <v>85324</v>
      </c>
      <c r="B299" s="856" t="s">
        <v>149</v>
      </c>
      <c r="C299" s="178" t="s">
        <v>0</v>
      </c>
      <c r="D299" s="170">
        <f>E299+M299</f>
        <v>440550</v>
      </c>
      <c r="E299" s="171">
        <f>F299+I299+J299+K299+L299</f>
        <v>440550</v>
      </c>
      <c r="F299" s="171">
        <f>G299+H299</f>
        <v>440550</v>
      </c>
      <c r="G299" s="171">
        <v>376550</v>
      </c>
      <c r="H299" s="171">
        <f>440550-376550</f>
        <v>64000</v>
      </c>
      <c r="I299" s="171">
        <v>0</v>
      </c>
      <c r="J299" s="171">
        <v>0</v>
      </c>
      <c r="K299" s="171">
        <v>0</v>
      </c>
      <c r="L299" s="171">
        <v>0</v>
      </c>
      <c r="M299" s="171">
        <f>N299+P299</f>
        <v>0</v>
      </c>
      <c r="N299" s="171">
        <v>0</v>
      </c>
      <c r="O299" s="171">
        <v>0</v>
      </c>
      <c r="P299" s="171">
        <v>0</v>
      </c>
      <c r="Q299" s="172"/>
      <c r="R299" s="172"/>
      <c r="S299" s="172"/>
      <c r="T299" s="172"/>
      <c r="U299" s="172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3"/>
      <c r="CG299" s="163"/>
      <c r="CH299" s="163"/>
      <c r="CI299" s="163"/>
      <c r="CJ299" s="163"/>
      <c r="CK299" s="163"/>
      <c r="CL299" s="163"/>
      <c r="CM299" s="163"/>
      <c r="CN299" s="163"/>
      <c r="CO299" s="163"/>
      <c r="CP299" s="163"/>
      <c r="CQ299" s="163"/>
      <c r="CR299" s="163"/>
      <c r="CS299" s="163"/>
      <c r="CT299" s="163"/>
      <c r="CU299" s="163"/>
      <c r="CV299" s="163"/>
      <c r="CW299" s="163"/>
      <c r="CX299" s="163"/>
      <c r="CY299" s="163"/>
      <c r="CZ299" s="163"/>
      <c r="DA299" s="163"/>
      <c r="DB299" s="163"/>
      <c r="DC299" s="163"/>
      <c r="DD299" s="163"/>
      <c r="DE299" s="163"/>
      <c r="DF299" s="163"/>
      <c r="DG299" s="163"/>
      <c r="DH299" s="163"/>
      <c r="DI299" s="163"/>
      <c r="DJ299" s="163"/>
      <c r="DK299" s="163"/>
      <c r="DL299" s="163"/>
      <c r="DM299" s="163"/>
      <c r="DN299" s="163"/>
      <c r="DO299" s="163"/>
      <c r="DP299" s="163"/>
      <c r="DQ299" s="163"/>
      <c r="DR299" s="163"/>
      <c r="DS299" s="163"/>
      <c r="DT299" s="163"/>
      <c r="DU299" s="163"/>
      <c r="DV299" s="163"/>
      <c r="DW299" s="163"/>
      <c r="DX299" s="163"/>
      <c r="DY299" s="163"/>
      <c r="DZ299" s="163"/>
      <c r="EA299" s="163"/>
      <c r="EB299" s="163"/>
      <c r="EC299" s="163"/>
      <c r="ED299" s="163"/>
      <c r="EE299" s="163"/>
      <c r="EF299" s="163"/>
      <c r="EG299" s="163"/>
      <c r="EH299" s="163"/>
      <c r="EI299" s="163"/>
      <c r="EJ299" s="163"/>
      <c r="EK299" s="163"/>
      <c r="EL299" s="163"/>
      <c r="EM299" s="163"/>
      <c r="EN299" s="163"/>
      <c r="EO299" s="163"/>
      <c r="EP299" s="163"/>
      <c r="EQ299" s="163"/>
      <c r="ER299" s="163"/>
      <c r="ES299" s="163"/>
      <c r="ET299" s="163"/>
      <c r="EU299" s="163"/>
      <c r="EV299" s="163"/>
      <c r="EW299" s="163"/>
      <c r="EX299" s="163"/>
      <c r="EY299" s="163"/>
      <c r="EZ299" s="163"/>
      <c r="FA299" s="163"/>
      <c r="FB299" s="163"/>
      <c r="FC299" s="163"/>
      <c r="FD299" s="163"/>
      <c r="FE299" s="163"/>
      <c r="FF299" s="163"/>
      <c r="FG299" s="163"/>
      <c r="FH299" s="163"/>
      <c r="FI299" s="163"/>
      <c r="FJ299" s="163"/>
      <c r="FK299" s="163"/>
      <c r="FL299" s="163"/>
      <c r="FM299" s="163"/>
      <c r="FN299" s="163"/>
      <c r="FO299" s="163"/>
      <c r="FP299" s="163"/>
      <c r="FQ299" s="163"/>
      <c r="FR299" s="163"/>
      <c r="FS299" s="163"/>
      <c r="FT299" s="163"/>
      <c r="FU299" s="163"/>
      <c r="FV299" s="163"/>
      <c r="FW299" s="163"/>
      <c r="FX299" s="163"/>
      <c r="FY299" s="163"/>
      <c r="FZ299" s="163"/>
      <c r="GA299" s="163"/>
      <c r="GB299" s="163"/>
      <c r="GC299" s="163"/>
      <c r="GD299" s="163"/>
      <c r="GE299" s="163"/>
      <c r="GF299" s="163"/>
      <c r="GG299" s="163"/>
      <c r="GH299" s="163"/>
      <c r="GI299" s="163"/>
      <c r="GJ299" s="163"/>
      <c r="GK299" s="163"/>
      <c r="GL299" s="163"/>
      <c r="GM299" s="163"/>
      <c r="GN299" s="163"/>
      <c r="GO299" s="163"/>
      <c r="GP299" s="163"/>
      <c r="GQ299" s="163"/>
      <c r="GR299" s="163"/>
      <c r="GS299" s="163"/>
      <c r="GT299" s="163"/>
      <c r="GU299" s="163"/>
      <c r="GV299" s="163"/>
      <c r="GW299" s="163"/>
      <c r="GX299" s="163"/>
      <c r="GY299" s="163"/>
      <c r="GZ299" s="163"/>
      <c r="HA299" s="163"/>
      <c r="HB299" s="163"/>
      <c r="HC299" s="163"/>
      <c r="HD299" s="163"/>
      <c r="HE299" s="163"/>
      <c r="HF299" s="163"/>
      <c r="HG299" s="163"/>
      <c r="HH299" s="163"/>
      <c r="HI299" s="163"/>
      <c r="HJ299" s="163"/>
      <c r="HK299" s="163"/>
      <c r="HL299" s="163"/>
      <c r="HM299" s="163"/>
      <c r="HN299" s="163"/>
      <c r="HO299" s="163"/>
      <c r="HP299" s="163"/>
      <c r="HQ299" s="163"/>
      <c r="HR299" s="163"/>
      <c r="HS299" s="163"/>
      <c r="HT299" s="163"/>
      <c r="HU299" s="163"/>
      <c r="HV299" s="163"/>
      <c r="HW299" s="163"/>
      <c r="HX299" s="163"/>
      <c r="HY299" s="163"/>
      <c r="HZ299" s="163"/>
      <c r="IA299" s="163"/>
      <c r="IB299" s="163"/>
      <c r="IC299" s="163"/>
      <c r="ID299" s="163"/>
      <c r="IE299" s="163"/>
      <c r="IF299" s="163"/>
      <c r="IG299" s="163"/>
      <c r="IH299" s="163"/>
      <c r="II299" s="163"/>
      <c r="IJ299" s="163"/>
      <c r="IK299" s="163"/>
      <c r="IL299" s="163"/>
      <c r="IM299" s="163"/>
      <c r="IN299" s="163"/>
      <c r="IO299" s="163"/>
      <c r="IP299" s="163"/>
      <c r="IQ299" s="163"/>
      <c r="IR299" s="163"/>
      <c r="IS299" s="163"/>
      <c r="IT299" s="163"/>
      <c r="IU299" s="163"/>
      <c r="IV299" s="163"/>
    </row>
    <row r="300" spans="1:256">
      <c r="A300" s="863"/>
      <c r="B300" s="857"/>
      <c r="C300" s="178" t="s">
        <v>1</v>
      </c>
      <c r="D300" s="170">
        <f>E300+M300</f>
        <v>276474</v>
      </c>
      <c r="E300" s="171">
        <f>F300+I300+J300+K300+L300</f>
        <v>276474</v>
      </c>
      <c r="F300" s="171">
        <f>G300+H300</f>
        <v>276474</v>
      </c>
      <c r="G300" s="171">
        <f>219387-45000+37713+5374</f>
        <v>217474</v>
      </c>
      <c r="H300" s="171">
        <f>10000+4000+45000</f>
        <v>59000</v>
      </c>
      <c r="I300" s="171"/>
      <c r="J300" s="171"/>
      <c r="K300" s="171"/>
      <c r="L300" s="171"/>
      <c r="M300" s="171">
        <f>N300+P300</f>
        <v>0</v>
      </c>
      <c r="N300" s="171"/>
      <c r="O300" s="171"/>
      <c r="P300" s="171"/>
      <c r="Q300" s="172"/>
      <c r="R300" s="172"/>
      <c r="S300" s="172"/>
      <c r="T300" s="172"/>
      <c r="U300" s="172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3"/>
      <c r="CA300" s="163"/>
      <c r="CB300" s="163"/>
      <c r="CC300" s="163"/>
      <c r="CD300" s="163"/>
      <c r="CE300" s="163"/>
      <c r="CF300" s="163"/>
      <c r="CG300" s="163"/>
      <c r="CH300" s="163"/>
      <c r="CI300" s="163"/>
      <c r="CJ300" s="163"/>
      <c r="CK300" s="163"/>
      <c r="CL300" s="163"/>
      <c r="CM300" s="163"/>
      <c r="CN300" s="163"/>
      <c r="CO300" s="163"/>
      <c r="CP300" s="163"/>
      <c r="CQ300" s="163"/>
      <c r="CR300" s="163"/>
      <c r="CS300" s="163"/>
      <c r="CT300" s="163"/>
      <c r="CU300" s="163"/>
      <c r="CV300" s="163"/>
      <c r="CW300" s="163"/>
      <c r="CX300" s="163"/>
      <c r="CY300" s="163"/>
      <c r="CZ300" s="163"/>
      <c r="DA300" s="163"/>
      <c r="DB300" s="163"/>
      <c r="DC300" s="163"/>
      <c r="DD300" s="163"/>
      <c r="DE300" s="163"/>
      <c r="DF300" s="163"/>
      <c r="DG300" s="163"/>
      <c r="DH300" s="163"/>
      <c r="DI300" s="163"/>
      <c r="DJ300" s="163"/>
      <c r="DK300" s="163"/>
      <c r="DL300" s="163"/>
      <c r="DM300" s="163"/>
      <c r="DN300" s="163"/>
      <c r="DO300" s="163"/>
      <c r="DP300" s="163"/>
      <c r="DQ300" s="163"/>
      <c r="DR300" s="163"/>
      <c r="DS300" s="163"/>
      <c r="DT300" s="163"/>
      <c r="DU300" s="163"/>
      <c r="DV300" s="163"/>
      <c r="DW300" s="163"/>
      <c r="DX300" s="163"/>
      <c r="DY300" s="163"/>
      <c r="DZ300" s="163"/>
      <c r="EA300" s="163"/>
      <c r="EB300" s="163"/>
      <c r="EC300" s="163"/>
      <c r="ED300" s="163"/>
      <c r="EE300" s="163"/>
      <c r="EF300" s="163"/>
      <c r="EG300" s="163"/>
      <c r="EH300" s="163"/>
      <c r="EI300" s="163"/>
      <c r="EJ300" s="163"/>
      <c r="EK300" s="163"/>
      <c r="EL300" s="163"/>
      <c r="EM300" s="163"/>
      <c r="EN300" s="163"/>
      <c r="EO300" s="163"/>
      <c r="EP300" s="163"/>
      <c r="EQ300" s="163"/>
      <c r="ER300" s="163"/>
      <c r="ES300" s="163"/>
      <c r="ET300" s="163"/>
      <c r="EU300" s="163"/>
      <c r="EV300" s="163"/>
      <c r="EW300" s="163"/>
      <c r="EX300" s="163"/>
      <c r="EY300" s="163"/>
      <c r="EZ300" s="163"/>
      <c r="FA300" s="163"/>
      <c r="FB300" s="163"/>
      <c r="FC300" s="163"/>
      <c r="FD300" s="163"/>
      <c r="FE300" s="163"/>
      <c r="FF300" s="163"/>
      <c r="FG300" s="163"/>
      <c r="FH300" s="163"/>
      <c r="FI300" s="163"/>
      <c r="FJ300" s="163"/>
      <c r="FK300" s="163"/>
      <c r="FL300" s="163"/>
      <c r="FM300" s="163"/>
      <c r="FN300" s="163"/>
      <c r="FO300" s="163"/>
      <c r="FP300" s="163"/>
      <c r="FQ300" s="163"/>
      <c r="FR300" s="163"/>
      <c r="FS300" s="163"/>
      <c r="FT300" s="163"/>
      <c r="FU300" s="163"/>
      <c r="FV300" s="163"/>
      <c r="FW300" s="163"/>
      <c r="FX300" s="163"/>
      <c r="FY300" s="163"/>
      <c r="FZ300" s="163"/>
      <c r="GA300" s="163"/>
      <c r="GB300" s="163"/>
      <c r="GC300" s="163"/>
      <c r="GD300" s="163"/>
      <c r="GE300" s="163"/>
      <c r="GF300" s="163"/>
      <c r="GG300" s="163"/>
      <c r="GH300" s="163"/>
      <c r="GI300" s="163"/>
      <c r="GJ300" s="163"/>
      <c r="GK300" s="163"/>
      <c r="GL300" s="163"/>
      <c r="GM300" s="163"/>
      <c r="GN300" s="163"/>
      <c r="GO300" s="163"/>
      <c r="GP300" s="163"/>
      <c r="GQ300" s="163"/>
      <c r="GR300" s="163"/>
      <c r="GS300" s="163"/>
      <c r="GT300" s="163"/>
      <c r="GU300" s="163"/>
      <c r="GV300" s="163"/>
      <c r="GW300" s="163"/>
      <c r="GX300" s="163"/>
      <c r="GY300" s="163"/>
      <c r="GZ300" s="163"/>
      <c r="HA300" s="163"/>
      <c r="HB300" s="163"/>
      <c r="HC300" s="163"/>
      <c r="HD300" s="163"/>
      <c r="HE300" s="163"/>
      <c r="HF300" s="163"/>
      <c r="HG300" s="163"/>
      <c r="HH300" s="163"/>
      <c r="HI300" s="163"/>
      <c r="HJ300" s="163"/>
      <c r="HK300" s="163"/>
      <c r="HL300" s="163"/>
      <c r="HM300" s="163"/>
      <c r="HN300" s="163"/>
      <c r="HO300" s="163"/>
      <c r="HP300" s="163"/>
      <c r="HQ300" s="163"/>
      <c r="HR300" s="163"/>
      <c r="HS300" s="163"/>
      <c r="HT300" s="163"/>
      <c r="HU300" s="163"/>
      <c r="HV300" s="163"/>
      <c r="HW300" s="163"/>
      <c r="HX300" s="163"/>
      <c r="HY300" s="163"/>
      <c r="HZ300" s="163"/>
      <c r="IA300" s="163"/>
      <c r="IB300" s="163"/>
      <c r="IC300" s="163"/>
      <c r="ID300" s="163"/>
      <c r="IE300" s="163"/>
      <c r="IF300" s="163"/>
      <c r="IG300" s="163"/>
      <c r="IH300" s="163"/>
      <c r="II300" s="163"/>
      <c r="IJ300" s="163"/>
      <c r="IK300" s="163"/>
      <c r="IL300" s="163"/>
      <c r="IM300" s="163"/>
      <c r="IN300" s="163"/>
      <c r="IO300" s="163"/>
      <c r="IP300" s="163"/>
      <c r="IQ300" s="163"/>
      <c r="IR300" s="163"/>
      <c r="IS300" s="163"/>
      <c r="IT300" s="163"/>
      <c r="IU300" s="163"/>
      <c r="IV300" s="163"/>
    </row>
    <row r="301" spans="1:256">
      <c r="A301" s="864"/>
      <c r="B301" s="858"/>
      <c r="C301" s="178" t="s">
        <v>2</v>
      </c>
      <c r="D301" s="170">
        <f>D299+D300</f>
        <v>717024</v>
      </c>
      <c r="E301" s="171">
        <f t="shared" ref="E301:P301" si="123">E299+E300</f>
        <v>717024</v>
      </c>
      <c r="F301" s="171">
        <f t="shared" si="123"/>
        <v>717024</v>
      </c>
      <c r="G301" s="171">
        <f t="shared" si="123"/>
        <v>594024</v>
      </c>
      <c r="H301" s="171">
        <f t="shared" si="123"/>
        <v>123000</v>
      </c>
      <c r="I301" s="171">
        <f t="shared" si="123"/>
        <v>0</v>
      </c>
      <c r="J301" s="171">
        <f t="shared" si="123"/>
        <v>0</v>
      </c>
      <c r="K301" s="171">
        <f t="shared" si="123"/>
        <v>0</v>
      </c>
      <c r="L301" s="171">
        <f t="shared" si="123"/>
        <v>0</v>
      </c>
      <c r="M301" s="171">
        <f t="shared" si="123"/>
        <v>0</v>
      </c>
      <c r="N301" s="171">
        <f t="shared" si="123"/>
        <v>0</v>
      </c>
      <c r="O301" s="171">
        <f t="shared" si="123"/>
        <v>0</v>
      </c>
      <c r="P301" s="171">
        <f t="shared" si="123"/>
        <v>0</v>
      </c>
      <c r="Q301" s="172"/>
      <c r="R301" s="172"/>
      <c r="S301" s="172"/>
      <c r="T301" s="172"/>
      <c r="U301" s="172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3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  <c r="DH301" s="163"/>
      <c r="DI301" s="163"/>
      <c r="DJ301" s="163"/>
      <c r="DK301" s="163"/>
      <c r="DL301" s="163"/>
      <c r="DM301" s="163"/>
      <c r="DN301" s="163"/>
      <c r="DO301" s="163"/>
      <c r="DP301" s="163"/>
      <c r="DQ301" s="163"/>
      <c r="DR301" s="163"/>
      <c r="DS301" s="163"/>
      <c r="DT301" s="163"/>
      <c r="DU301" s="163"/>
      <c r="DV301" s="163"/>
      <c r="DW301" s="163"/>
      <c r="DX301" s="163"/>
      <c r="DY301" s="163"/>
      <c r="DZ301" s="163"/>
      <c r="EA301" s="163"/>
      <c r="EB301" s="163"/>
      <c r="EC301" s="163"/>
      <c r="ED301" s="163"/>
      <c r="EE301" s="163"/>
      <c r="EF301" s="163"/>
      <c r="EG301" s="163"/>
      <c r="EH301" s="163"/>
      <c r="EI301" s="163"/>
      <c r="EJ301" s="163"/>
      <c r="EK301" s="163"/>
      <c r="EL301" s="163"/>
      <c r="EM301" s="163"/>
      <c r="EN301" s="163"/>
      <c r="EO301" s="163"/>
      <c r="EP301" s="163"/>
      <c r="EQ301" s="163"/>
      <c r="ER301" s="163"/>
      <c r="ES301" s="163"/>
      <c r="ET301" s="163"/>
      <c r="EU301" s="163"/>
      <c r="EV301" s="163"/>
      <c r="EW301" s="163"/>
      <c r="EX301" s="163"/>
      <c r="EY301" s="163"/>
      <c r="EZ301" s="163"/>
      <c r="FA301" s="163"/>
      <c r="FB301" s="163"/>
      <c r="FC301" s="163"/>
      <c r="FD301" s="163"/>
      <c r="FE301" s="163"/>
      <c r="FF301" s="163"/>
      <c r="FG301" s="163"/>
      <c r="FH301" s="163"/>
      <c r="FI301" s="163"/>
      <c r="FJ301" s="163"/>
      <c r="FK301" s="163"/>
      <c r="FL301" s="163"/>
      <c r="FM301" s="163"/>
      <c r="FN301" s="163"/>
      <c r="FO301" s="163"/>
      <c r="FP301" s="163"/>
      <c r="FQ301" s="163"/>
      <c r="FR301" s="163"/>
      <c r="FS301" s="163"/>
      <c r="FT301" s="163"/>
      <c r="FU301" s="163"/>
      <c r="FV301" s="163"/>
      <c r="FW301" s="163"/>
      <c r="FX301" s="163"/>
      <c r="FY301" s="163"/>
      <c r="FZ301" s="163"/>
      <c r="GA301" s="163"/>
      <c r="GB301" s="163"/>
      <c r="GC301" s="163"/>
      <c r="GD301" s="163"/>
      <c r="GE301" s="163"/>
      <c r="GF301" s="163"/>
      <c r="GG301" s="163"/>
      <c r="GH301" s="163"/>
      <c r="GI301" s="163"/>
      <c r="GJ301" s="163"/>
      <c r="GK301" s="163"/>
      <c r="GL301" s="163"/>
      <c r="GM301" s="163"/>
      <c r="GN301" s="163"/>
      <c r="GO301" s="163"/>
      <c r="GP301" s="163"/>
      <c r="GQ301" s="163"/>
      <c r="GR301" s="163"/>
      <c r="GS301" s="163"/>
      <c r="GT301" s="163"/>
      <c r="GU301" s="163"/>
      <c r="GV301" s="163"/>
      <c r="GW301" s="163"/>
      <c r="GX301" s="163"/>
      <c r="GY301" s="163"/>
      <c r="GZ301" s="163"/>
      <c r="HA301" s="163"/>
      <c r="HB301" s="163"/>
      <c r="HC301" s="163"/>
      <c r="HD301" s="163"/>
      <c r="HE301" s="163"/>
      <c r="HF301" s="163"/>
      <c r="HG301" s="163"/>
      <c r="HH301" s="163"/>
      <c r="HI301" s="163"/>
      <c r="HJ301" s="163"/>
      <c r="HK301" s="163"/>
      <c r="HL301" s="163"/>
      <c r="HM301" s="163"/>
      <c r="HN301" s="163"/>
      <c r="HO301" s="163"/>
      <c r="HP301" s="163"/>
      <c r="HQ301" s="163"/>
      <c r="HR301" s="163"/>
      <c r="HS301" s="163"/>
      <c r="HT301" s="163"/>
      <c r="HU301" s="163"/>
      <c r="HV301" s="163"/>
      <c r="HW301" s="163"/>
      <c r="HX301" s="163"/>
      <c r="HY301" s="163"/>
      <c r="HZ301" s="163"/>
      <c r="IA301" s="163"/>
      <c r="IB301" s="163"/>
      <c r="IC301" s="163"/>
      <c r="ID301" s="163"/>
      <c r="IE301" s="163"/>
      <c r="IF301" s="163"/>
      <c r="IG301" s="163"/>
      <c r="IH301" s="163"/>
      <c r="II301" s="163"/>
      <c r="IJ301" s="163"/>
      <c r="IK301" s="163"/>
      <c r="IL301" s="163"/>
      <c r="IM301" s="163"/>
      <c r="IN301" s="163"/>
      <c r="IO301" s="163"/>
      <c r="IP301" s="163"/>
      <c r="IQ301" s="163"/>
      <c r="IR301" s="163"/>
      <c r="IS301" s="163"/>
      <c r="IT301" s="163"/>
      <c r="IU301" s="163"/>
      <c r="IV301" s="163"/>
    </row>
    <row r="302" spans="1:256" hidden="1">
      <c r="A302" s="862">
        <v>85325</v>
      </c>
      <c r="B302" s="856" t="s">
        <v>299</v>
      </c>
      <c r="C302" s="178" t="s">
        <v>0</v>
      </c>
      <c r="D302" s="170">
        <f>E302+M302</f>
        <v>1620000</v>
      </c>
      <c r="E302" s="171">
        <f>F302+I302+J302+K302+L302</f>
        <v>1620000</v>
      </c>
      <c r="F302" s="171">
        <f>G302+H302</f>
        <v>1617000</v>
      </c>
      <c r="G302" s="171">
        <v>1318000</v>
      </c>
      <c r="H302" s="171">
        <f>1620000-1321000</f>
        <v>299000</v>
      </c>
      <c r="I302" s="171">
        <v>0</v>
      </c>
      <c r="J302" s="171">
        <v>3000</v>
      </c>
      <c r="K302" s="171">
        <v>0</v>
      </c>
      <c r="L302" s="171">
        <v>0</v>
      </c>
      <c r="M302" s="171">
        <f>N302+P302</f>
        <v>0</v>
      </c>
      <c r="N302" s="171">
        <v>0</v>
      </c>
      <c r="O302" s="171">
        <v>0</v>
      </c>
      <c r="P302" s="171">
        <v>0</v>
      </c>
      <c r="Q302" s="172"/>
      <c r="R302" s="172"/>
      <c r="S302" s="172"/>
      <c r="T302" s="172"/>
      <c r="U302" s="172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3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3"/>
      <c r="CG302" s="163"/>
      <c r="CH302" s="163"/>
      <c r="CI302" s="163"/>
      <c r="CJ302" s="163"/>
      <c r="CK302" s="163"/>
      <c r="CL302" s="163"/>
      <c r="CM302" s="163"/>
      <c r="CN302" s="163"/>
      <c r="CO302" s="163"/>
      <c r="CP302" s="163"/>
      <c r="CQ302" s="163"/>
      <c r="CR302" s="163"/>
      <c r="CS302" s="163"/>
      <c r="CT302" s="163"/>
      <c r="CU302" s="163"/>
      <c r="CV302" s="163"/>
      <c r="CW302" s="163"/>
      <c r="CX302" s="163"/>
      <c r="CY302" s="163"/>
      <c r="CZ302" s="163"/>
      <c r="DA302" s="163"/>
      <c r="DB302" s="163"/>
      <c r="DC302" s="163"/>
      <c r="DD302" s="163"/>
      <c r="DE302" s="163"/>
      <c r="DF302" s="163"/>
      <c r="DG302" s="163"/>
      <c r="DH302" s="163"/>
      <c r="DI302" s="163"/>
      <c r="DJ302" s="163"/>
      <c r="DK302" s="163"/>
      <c r="DL302" s="163"/>
      <c r="DM302" s="163"/>
      <c r="DN302" s="163"/>
      <c r="DO302" s="163"/>
      <c r="DP302" s="163"/>
      <c r="DQ302" s="163"/>
      <c r="DR302" s="163"/>
      <c r="DS302" s="163"/>
      <c r="DT302" s="163"/>
      <c r="DU302" s="163"/>
      <c r="DV302" s="163"/>
      <c r="DW302" s="163"/>
      <c r="DX302" s="163"/>
      <c r="DY302" s="163"/>
      <c r="DZ302" s="163"/>
      <c r="EA302" s="163"/>
      <c r="EB302" s="163"/>
      <c r="EC302" s="163"/>
      <c r="ED302" s="163"/>
      <c r="EE302" s="163"/>
      <c r="EF302" s="163"/>
      <c r="EG302" s="163"/>
      <c r="EH302" s="163"/>
      <c r="EI302" s="163"/>
      <c r="EJ302" s="163"/>
      <c r="EK302" s="163"/>
      <c r="EL302" s="163"/>
      <c r="EM302" s="163"/>
      <c r="EN302" s="163"/>
      <c r="EO302" s="163"/>
      <c r="EP302" s="163"/>
      <c r="EQ302" s="163"/>
      <c r="ER302" s="163"/>
      <c r="ES302" s="163"/>
      <c r="ET302" s="163"/>
      <c r="EU302" s="163"/>
      <c r="EV302" s="163"/>
      <c r="EW302" s="163"/>
      <c r="EX302" s="163"/>
      <c r="EY302" s="163"/>
      <c r="EZ302" s="163"/>
      <c r="FA302" s="163"/>
      <c r="FB302" s="163"/>
      <c r="FC302" s="163"/>
      <c r="FD302" s="163"/>
      <c r="FE302" s="163"/>
      <c r="FF302" s="163"/>
      <c r="FG302" s="163"/>
      <c r="FH302" s="163"/>
      <c r="FI302" s="163"/>
      <c r="FJ302" s="163"/>
      <c r="FK302" s="163"/>
      <c r="FL302" s="163"/>
      <c r="FM302" s="163"/>
      <c r="FN302" s="163"/>
      <c r="FO302" s="163"/>
      <c r="FP302" s="163"/>
      <c r="FQ302" s="163"/>
      <c r="FR302" s="163"/>
      <c r="FS302" s="163"/>
      <c r="FT302" s="163"/>
      <c r="FU302" s="163"/>
      <c r="FV302" s="163"/>
      <c r="FW302" s="163"/>
      <c r="FX302" s="163"/>
      <c r="FY302" s="163"/>
      <c r="FZ302" s="163"/>
      <c r="GA302" s="163"/>
      <c r="GB302" s="163"/>
      <c r="GC302" s="163"/>
      <c r="GD302" s="163"/>
      <c r="GE302" s="163"/>
      <c r="GF302" s="163"/>
      <c r="GG302" s="163"/>
      <c r="GH302" s="163"/>
      <c r="GI302" s="163"/>
      <c r="GJ302" s="163"/>
      <c r="GK302" s="163"/>
      <c r="GL302" s="163"/>
      <c r="GM302" s="163"/>
      <c r="GN302" s="163"/>
      <c r="GO302" s="163"/>
      <c r="GP302" s="163"/>
      <c r="GQ302" s="163"/>
      <c r="GR302" s="163"/>
      <c r="GS302" s="163"/>
      <c r="GT302" s="163"/>
      <c r="GU302" s="163"/>
      <c r="GV302" s="163"/>
      <c r="GW302" s="163"/>
      <c r="GX302" s="163"/>
      <c r="GY302" s="163"/>
      <c r="GZ302" s="163"/>
      <c r="HA302" s="163"/>
      <c r="HB302" s="163"/>
      <c r="HC302" s="163"/>
      <c r="HD302" s="163"/>
      <c r="HE302" s="163"/>
      <c r="HF302" s="163"/>
      <c r="HG302" s="163"/>
      <c r="HH302" s="163"/>
      <c r="HI302" s="163"/>
      <c r="HJ302" s="163"/>
      <c r="HK302" s="163"/>
      <c r="HL302" s="163"/>
      <c r="HM302" s="163"/>
      <c r="HN302" s="163"/>
      <c r="HO302" s="163"/>
      <c r="HP302" s="163"/>
      <c r="HQ302" s="163"/>
      <c r="HR302" s="163"/>
      <c r="HS302" s="163"/>
      <c r="HT302" s="163"/>
      <c r="HU302" s="163"/>
      <c r="HV302" s="163"/>
      <c r="HW302" s="163"/>
      <c r="HX302" s="163"/>
      <c r="HY302" s="163"/>
      <c r="HZ302" s="163"/>
      <c r="IA302" s="163"/>
      <c r="IB302" s="163"/>
      <c r="IC302" s="163"/>
      <c r="ID302" s="163"/>
      <c r="IE302" s="163"/>
      <c r="IF302" s="163"/>
      <c r="IG302" s="163"/>
      <c r="IH302" s="163"/>
      <c r="II302" s="163"/>
      <c r="IJ302" s="163"/>
      <c r="IK302" s="163"/>
      <c r="IL302" s="163"/>
      <c r="IM302" s="163"/>
      <c r="IN302" s="163"/>
      <c r="IO302" s="163"/>
      <c r="IP302" s="163"/>
      <c r="IQ302" s="163"/>
      <c r="IR302" s="163"/>
      <c r="IS302" s="163"/>
      <c r="IT302" s="163"/>
      <c r="IU302" s="163"/>
      <c r="IV302" s="163"/>
    </row>
    <row r="303" spans="1:256" hidden="1">
      <c r="A303" s="863"/>
      <c r="B303" s="857"/>
      <c r="C303" s="178" t="s">
        <v>1</v>
      </c>
      <c r="D303" s="170">
        <f>E303+M303</f>
        <v>0</v>
      </c>
      <c r="E303" s="171">
        <f>F303+I303+J303+K303+L303</f>
        <v>0</v>
      </c>
      <c r="F303" s="171">
        <f>G303+H303</f>
        <v>0</v>
      </c>
      <c r="G303" s="171"/>
      <c r="H303" s="171"/>
      <c r="I303" s="171"/>
      <c r="J303" s="171"/>
      <c r="K303" s="171"/>
      <c r="L303" s="171"/>
      <c r="M303" s="171">
        <f>N303+P303</f>
        <v>0</v>
      </c>
      <c r="N303" s="171"/>
      <c r="O303" s="171"/>
      <c r="P303" s="171"/>
      <c r="Q303" s="172"/>
      <c r="R303" s="172"/>
      <c r="S303" s="172"/>
      <c r="T303" s="172"/>
      <c r="U303" s="172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  <c r="IU303" s="163"/>
      <c r="IV303" s="163"/>
    </row>
    <row r="304" spans="1:256" hidden="1">
      <c r="A304" s="864"/>
      <c r="B304" s="858"/>
      <c r="C304" s="178" t="s">
        <v>2</v>
      </c>
      <c r="D304" s="170">
        <f>D302+D303</f>
        <v>1620000</v>
      </c>
      <c r="E304" s="171">
        <f t="shared" ref="E304:P304" si="124">E302+E303</f>
        <v>1620000</v>
      </c>
      <c r="F304" s="171">
        <f t="shared" si="124"/>
        <v>1617000</v>
      </c>
      <c r="G304" s="171">
        <f t="shared" si="124"/>
        <v>1318000</v>
      </c>
      <c r="H304" s="171">
        <f t="shared" si="124"/>
        <v>299000</v>
      </c>
      <c r="I304" s="171">
        <f t="shared" si="124"/>
        <v>0</v>
      </c>
      <c r="J304" s="171">
        <f t="shared" si="124"/>
        <v>3000</v>
      </c>
      <c r="K304" s="171">
        <f t="shared" si="124"/>
        <v>0</v>
      </c>
      <c r="L304" s="171">
        <f t="shared" si="124"/>
        <v>0</v>
      </c>
      <c r="M304" s="171">
        <f t="shared" si="124"/>
        <v>0</v>
      </c>
      <c r="N304" s="171">
        <f t="shared" si="124"/>
        <v>0</v>
      </c>
      <c r="O304" s="171">
        <f t="shared" si="124"/>
        <v>0</v>
      </c>
      <c r="P304" s="171">
        <f t="shared" si="124"/>
        <v>0</v>
      </c>
      <c r="Q304" s="172"/>
      <c r="R304" s="172"/>
      <c r="S304" s="172"/>
      <c r="T304" s="172"/>
      <c r="U304" s="172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63"/>
      <c r="BD304" s="163"/>
      <c r="BE304" s="163"/>
      <c r="BF304" s="163"/>
      <c r="BG304" s="163"/>
      <c r="BH304" s="163"/>
      <c r="BI304" s="163"/>
      <c r="BJ304" s="163"/>
      <c r="BK304" s="163"/>
      <c r="BL304" s="163"/>
      <c r="BM304" s="163"/>
      <c r="BN304" s="163"/>
      <c r="BO304" s="163"/>
      <c r="BP304" s="163"/>
      <c r="BQ304" s="163"/>
      <c r="BR304" s="163"/>
      <c r="BS304" s="163"/>
      <c r="BT304" s="163"/>
      <c r="BU304" s="163"/>
      <c r="BV304" s="163"/>
      <c r="BW304" s="163"/>
      <c r="BX304" s="163"/>
      <c r="BY304" s="163"/>
      <c r="BZ304" s="163"/>
      <c r="CA304" s="163"/>
      <c r="CB304" s="163"/>
      <c r="CC304" s="163"/>
      <c r="CD304" s="163"/>
      <c r="CE304" s="163"/>
      <c r="CF304" s="163"/>
      <c r="CG304" s="163"/>
      <c r="CH304" s="163"/>
      <c r="CI304" s="163"/>
      <c r="CJ304" s="163"/>
      <c r="CK304" s="163"/>
      <c r="CL304" s="163"/>
      <c r="CM304" s="163"/>
      <c r="CN304" s="163"/>
      <c r="CO304" s="163"/>
      <c r="CP304" s="163"/>
      <c r="CQ304" s="163"/>
      <c r="CR304" s="163"/>
      <c r="CS304" s="163"/>
      <c r="CT304" s="163"/>
      <c r="CU304" s="163"/>
      <c r="CV304" s="163"/>
      <c r="CW304" s="163"/>
      <c r="CX304" s="163"/>
      <c r="CY304" s="163"/>
      <c r="CZ304" s="163"/>
      <c r="DA304" s="163"/>
      <c r="DB304" s="163"/>
      <c r="DC304" s="163"/>
      <c r="DD304" s="163"/>
      <c r="DE304" s="163"/>
      <c r="DF304" s="163"/>
      <c r="DG304" s="163"/>
      <c r="DH304" s="163"/>
      <c r="DI304" s="163"/>
      <c r="DJ304" s="163"/>
      <c r="DK304" s="163"/>
      <c r="DL304" s="163"/>
      <c r="DM304" s="163"/>
      <c r="DN304" s="163"/>
      <c r="DO304" s="163"/>
      <c r="DP304" s="163"/>
      <c r="DQ304" s="163"/>
      <c r="DR304" s="163"/>
      <c r="DS304" s="163"/>
      <c r="DT304" s="163"/>
      <c r="DU304" s="163"/>
      <c r="DV304" s="163"/>
      <c r="DW304" s="163"/>
      <c r="DX304" s="163"/>
      <c r="DY304" s="163"/>
      <c r="DZ304" s="163"/>
      <c r="EA304" s="163"/>
      <c r="EB304" s="163"/>
      <c r="EC304" s="163"/>
      <c r="ED304" s="163"/>
      <c r="EE304" s="163"/>
      <c r="EF304" s="163"/>
      <c r="EG304" s="163"/>
      <c r="EH304" s="163"/>
      <c r="EI304" s="163"/>
      <c r="EJ304" s="163"/>
      <c r="EK304" s="163"/>
      <c r="EL304" s="163"/>
      <c r="EM304" s="163"/>
      <c r="EN304" s="163"/>
      <c r="EO304" s="163"/>
      <c r="EP304" s="163"/>
      <c r="EQ304" s="163"/>
      <c r="ER304" s="163"/>
      <c r="ES304" s="163"/>
      <c r="ET304" s="163"/>
      <c r="EU304" s="163"/>
      <c r="EV304" s="163"/>
      <c r="EW304" s="163"/>
      <c r="EX304" s="163"/>
      <c r="EY304" s="163"/>
      <c r="EZ304" s="163"/>
      <c r="FA304" s="163"/>
      <c r="FB304" s="163"/>
      <c r="FC304" s="163"/>
      <c r="FD304" s="163"/>
      <c r="FE304" s="163"/>
      <c r="FF304" s="163"/>
      <c r="FG304" s="163"/>
      <c r="FH304" s="163"/>
      <c r="FI304" s="163"/>
      <c r="FJ304" s="163"/>
      <c r="FK304" s="163"/>
      <c r="FL304" s="163"/>
      <c r="FM304" s="163"/>
      <c r="FN304" s="163"/>
      <c r="FO304" s="163"/>
      <c r="FP304" s="163"/>
      <c r="FQ304" s="163"/>
      <c r="FR304" s="163"/>
      <c r="FS304" s="163"/>
      <c r="FT304" s="163"/>
      <c r="FU304" s="163"/>
      <c r="FV304" s="163"/>
      <c r="FW304" s="163"/>
      <c r="FX304" s="163"/>
      <c r="FY304" s="163"/>
      <c r="FZ304" s="163"/>
      <c r="GA304" s="163"/>
      <c r="GB304" s="163"/>
      <c r="GC304" s="163"/>
      <c r="GD304" s="163"/>
      <c r="GE304" s="163"/>
      <c r="GF304" s="163"/>
      <c r="GG304" s="163"/>
      <c r="GH304" s="163"/>
      <c r="GI304" s="163"/>
      <c r="GJ304" s="163"/>
      <c r="GK304" s="163"/>
      <c r="GL304" s="163"/>
      <c r="GM304" s="163"/>
      <c r="GN304" s="163"/>
      <c r="GO304" s="163"/>
      <c r="GP304" s="163"/>
      <c r="GQ304" s="163"/>
      <c r="GR304" s="163"/>
      <c r="GS304" s="163"/>
      <c r="GT304" s="163"/>
      <c r="GU304" s="163"/>
      <c r="GV304" s="163"/>
      <c r="GW304" s="163"/>
      <c r="GX304" s="163"/>
      <c r="GY304" s="163"/>
      <c r="GZ304" s="163"/>
      <c r="HA304" s="163"/>
      <c r="HB304" s="163"/>
      <c r="HC304" s="163"/>
      <c r="HD304" s="163"/>
      <c r="HE304" s="163"/>
      <c r="HF304" s="163"/>
      <c r="HG304" s="163"/>
      <c r="HH304" s="163"/>
      <c r="HI304" s="163"/>
      <c r="HJ304" s="163"/>
      <c r="HK304" s="163"/>
      <c r="HL304" s="163"/>
      <c r="HM304" s="163"/>
      <c r="HN304" s="163"/>
      <c r="HO304" s="163"/>
      <c r="HP304" s="163"/>
      <c r="HQ304" s="163"/>
      <c r="HR304" s="163"/>
      <c r="HS304" s="163"/>
      <c r="HT304" s="163"/>
      <c r="HU304" s="163"/>
      <c r="HV304" s="163"/>
      <c r="HW304" s="163"/>
      <c r="HX304" s="163"/>
      <c r="HY304" s="163"/>
      <c r="HZ304" s="163"/>
      <c r="IA304" s="163"/>
      <c r="IB304" s="163"/>
      <c r="IC304" s="163"/>
      <c r="ID304" s="163"/>
      <c r="IE304" s="163"/>
      <c r="IF304" s="163"/>
      <c r="IG304" s="163"/>
      <c r="IH304" s="163"/>
      <c r="II304" s="163"/>
      <c r="IJ304" s="163"/>
      <c r="IK304" s="163"/>
      <c r="IL304" s="163"/>
      <c r="IM304" s="163"/>
      <c r="IN304" s="163"/>
      <c r="IO304" s="163"/>
      <c r="IP304" s="163"/>
      <c r="IQ304" s="163"/>
      <c r="IR304" s="163"/>
      <c r="IS304" s="163"/>
      <c r="IT304" s="163"/>
      <c r="IU304" s="163"/>
      <c r="IV304" s="163"/>
    </row>
    <row r="305" spans="1:256">
      <c r="A305" s="841">
        <v>85332</v>
      </c>
      <c r="B305" s="844" t="s">
        <v>300</v>
      </c>
      <c r="C305" s="178" t="s">
        <v>0</v>
      </c>
      <c r="D305" s="180">
        <f>E305+M305</f>
        <v>18139137</v>
      </c>
      <c r="E305" s="181">
        <f>F305+I305+J305+K305+L305</f>
        <v>17919137</v>
      </c>
      <c r="F305" s="181">
        <f>G305+H305</f>
        <v>13674913</v>
      </c>
      <c r="G305" s="181">
        <v>11474306</v>
      </c>
      <c r="H305" s="181">
        <v>2200607</v>
      </c>
      <c r="I305" s="181">
        <v>0</v>
      </c>
      <c r="J305" s="181">
        <v>10400</v>
      </c>
      <c r="K305" s="181">
        <v>4233824</v>
      </c>
      <c r="L305" s="181">
        <v>0</v>
      </c>
      <c r="M305" s="181">
        <f>N305+P305</f>
        <v>220000</v>
      </c>
      <c r="N305" s="181">
        <v>220000</v>
      </c>
      <c r="O305" s="181">
        <v>0</v>
      </c>
      <c r="P305" s="181">
        <v>0</v>
      </c>
      <c r="Q305" s="182"/>
      <c r="R305" s="182"/>
      <c r="S305" s="182"/>
      <c r="T305" s="182"/>
      <c r="U305" s="182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  <c r="GR305" s="148"/>
      <c r="GS305" s="148"/>
      <c r="GT305" s="148"/>
      <c r="GU305" s="148"/>
      <c r="GV305" s="148"/>
      <c r="GW305" s="148"/>
      <c r="GX305" s="148"/>
      <c r="GY305" s="148"/>
      <c r="GZ305" s="148"/>
      <c r="HA305" s="148"/>
      <c r="HB305" s="148"/>
      <c r="HC305" s="148"/>
      <c r="HD305" s="148"/>
      <c r="HE305" s="148"/>
      <c r="HF305" s="148"/>
      <c r="HG305" s="148"/>
      <c r="HH305" s="148"/>
      <c r="HI305" s="148"/>
      <c r="HJ305" s="148"/>
      <c r="HK305" s="148"/>
      <c r="HL305" s="148"/>
      <c r="HM305" s="148"/>
      <c r="HN305" s="148"/>
      <c r="HO305" s="148"/>
      <c r="HP305" s="148"/>
      <c r="HQ305" s="148"/>
      <c r="HR305" s="148"/>
      <c r="HS305" s="148"/>
      <c r="HT305" s="148"/>
      <c r="HU305" s="148"/>
      <c r="HV305" s="148"/>
      <c r="HW305" s="148"/>
      <c r="HX305" s="148"/>
      <c r="HY305" s="148"/>
      <c r="HZ305" s="148"/>
      <c r="IA305" s="148"/>
      <c r="IB305" s="148"/>
      <c r="IC305" s="148"/>
      <c r="ID305" s="148"/>
      <c r="IE305" s="148"/>
      <c r="IF305" s="148"/>
      <c r="IG305" s="148"/>
      <c r="IH305" s="148"/>
      <c r="II305" s="148"/>
      <c r="IJ305" s="148"/>
      <c r="IK305" s="148"/>
      <c r="IL305" s="148"/>
      <c r="IM305" s="148"/>
      <c r="IN305" s="148"/>
      <c r="IO305" s="148"/>
      <c r="IP305" s="148"/>
      <c r="IQ305" s="148"/>
      <c r="IR305" s="148"/>
      <c r="IS305" s="148"/>
      <c r="IT305" s="148"/>
      <c r="IU305" s="148"/>
      <c r="IV305" s="148"/>
    </row>
    <row r="306" spans="1:256">
      <c r="A306" s="842"/>
      <c r="B306" s="845"/>
      <c r="C306" s="178" t="s">
        <v>1</v>
      </c>
      <c r="D306" s="180">
        <f>E306+M306</f>
        <v>130000</v>
      </c>
      <c r="E306" s="181">
        <f>F306+I306+J306+K306+L306</f>
        <v>130000</v>
      </c>
      <c r="F306" s="181">
        <f>G306+H306</f>
        <v>130000</v>
      </c>
      <c r="G306" s="181"/>
      <c r="H306" s="181">
        <f>130000</f>
        <v>130000</v>
      </c>
      <c r="I306" s="181"/>
      <c r="J306" s="181"/>
      <c r="K306" s="181"/>
      <c r="L306" s="181"/>
      <c r="M306" s="181">
        <f>N306+P306</f>
        <v>0</v>
      </c>
      <c r="N306" s="181"/>
      <c r="O306" s="181"/>
      <c r="P306" s="181"/>
      <c r="Q306" s="182"/>
      <c r="R306" s="182"/>
      <c r="S306" s="182"/>
      <c r="T306" s="182"/>
      <c r="U306" s="182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8"/>
      <c r="GF306" s="148"/>
      <c r="GG306" s="148"/>
      <c r="GH306" s="148"/>
      <c r="GI306" s="148"/>
      <c r="GJ306" s="148"/>
      <c r="GK306" s="148"/>
      <c r="GL306" s="148"/>
      <c r="GM306" s="148"/>
      <c r="GN306" s="148"/>
      <c r="GO306" s="148"/>
      <c r="GP306" s="148"/>
      <c r="GQ306" s="148"/>
      <c r="GR306" s="148"/>
      <c r="GS306" s="148"/>
      <c r="GT306" s="148"/>
      <c r="GU306" s="148"/>
      <c r="GV306" s="148"/>
      <c r="GW306" s="148"/>
      <c r="GX306" s="148"/>
      <c r="GY306" s="148"/>
      <c r="GZ306" s="148"/>
      <c r="HA306" s="148"/>
      <c r="HB306" s="148"/>
      <c r="HC306" s="148"/>
      <c r="HD306" s="148"/>
      <c r="HE306" s="148"/>
      <c r="HF306" s="148"/>
      <c r="HG306" s="148"/>
      <c r="HH306" s="148"/>
      <c r="HI306" s="148"/>
      <c r="HJ306" s="148"/>
      <c r="HK306" s="148"/>
      <c r="HL306" s="148"/>
      <c r="HM306" s="148"/>
      <c r="HN306" s="148"/>
      <c r="HO306" s="148"/>
      <c r="HP306" s="148"/>
      <c r="HQ306" s="148"/>
      <c r="HR306" s="148"/>
      <c r="HS306" s="148"/>
      <c r="HT306" s="148"/>
      <c r="HU306" s="148"/>
      <c r="HV306" s="148"/>
      <c r="HW306" s="148"/>
      <c r="HX306" s="148"/>
      <c r="HY306" s="148"/>
      <c r="HZ306" s="148"/>
      <c r="IA306" s="148"/>
      <c r="IB306" s="148"/>
      <c r="IC306" s="148"/>
      <c r="ID306" s="148"/>
      <c r="IE306" s="148"/>
      <c r="IF306" s="148"/>
      <c r="IG306" s="148"/>
      <c r="IH306" s="148"/>
      <c r="II306" s="148"/>
      <c r="IJ306" s="148"/>
      <c r="IK306" s="148"/>
      <c r="IL306" s="148"/>
      <c r="IM306" s="148"/>
      <c r="IN306" s="148"/>
      <c r="IO306" s="148"/>
      <c r="IP306" s="148"/>
      <c r="IQ306" s="148"/>
      <c r="IR306" s="148"/>
      <c r="IS306" s="148"/>
      <c r="IT306" s="148"/>
      <c r="IU306" s="148"/>
      <c r="IV306" s="148"/>
    </row>
    <row r="307" spans="1:256">
      <c r="A307" s="843"/>
      <c r="B307" s="846"/>
      <c r="C307" s="178" t="s">
        <v>2</v>
      </c>
      <c r="D307" s="180">
        <f>D305+D306</f>
        <v>18269137</v>
      </c>
      <c r="E307" s="181">
        <f t="shared" ref="E307:P307" si="125">E305+E306</f>
        <v>18049137</v>
      </c>
      <c r="F307" s="181">
        <f t="shared" si="125"/>
        <v>13804913</v>
      </c>
      <c r="G307" s="181">
        <f t="shared" si="125"/>
        <v>11474306</v>
      </c>
      <c r="H307" s="181">
        <f t="shared" si="125"/>
        <v>2330607</v>
      </c>
      <c r="I307" s="181">
        <f t="shared" si="125"/>
        <v>0</v>
      </c>
      <c r="J307" s="181">
        <f t="shared" si="125"/>
        <v>10400</v>
      </c>
      <c r="K307" s="181">
        <f t="shared" si="125"/>
        <v>4233824</v>
      </c>
      <c r="L307" s="181">
        <f t="shared" si="125"/>
        <v>0</v>
      </c>
      <c r="M307" s="181">
        <f t="shared" si="125"/>
        <v>220000</v>
      </c>
      <c r="N307" s="181">
        <f t="shared" si="125"/>
        <v>220000</v>
      </c>
      <c r="O307" s="181">
        <f t="shared" si="125"/>
        <v>0</v>
      </c>
      <c r="P307" s="181">
        <f t="shared" si="125"/>
        <v>0</v>
      </c>
      <c r="Q307" s="182"/>
      <c r="R307" s="182"/>
      <c r="S307" s="182"/>
      <c r="T307" s="182"/>
      <c r="U307" s="182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  <c r="GR307" s="148"/>
      <c r="GS307" s="148"/>
      <c r="GT307" s="148"/>
      <c r="GU307" s="148"/>
      <c r="GV307" s="148"/>
      <c r="GW307" s="148"/>
      <c r="GX307" s="148"/>
      <c r="GY307" s="148"/>
      <c r="GZ307" s="148"/>
      <c r="HA307" s="148"/>
      <c r="HB307" s="148"/>
      <c r="HC307" s="148"/>
      <c r="HD307" s="148"/>
      <c r="HE307" s="148"/>
      <c r="HF307" s="148"/>
      <c r="HG307" s="148"/>
      <c r="HH307" s="148"/>
      <c r="HI307" s="148"/>
      <c r="HJ307" s="148"/>
      <c r="HK307" s="148"/>
      <c r="HL307" s="148"/>
      <c r="HM307" s="148"/>
      <c r="HN307" s="148"/>
      <c r="HO307" s="148"/>
      <c r="HP307" s="148"/>
      <c r="HQ307" s="148"/>
      <c r="HR307" s="148"/>
      <c r="HS307" s="148"/>
      <c r="HT307" s="148"/>
      <c r="HU307" s="148"/>
      <c r="HV307" s="148"/>
      <c r="HW307" s="148"/>
      <c r="HX307" s="148"/>
      <c r="HY307" s="148"/>
      <c r="HZ307" s="148"/>
      <c r="IA307" s="148"/>
      <c r="IB307" s="148"/>
      <c r="IC307" s="148"/>
      <c r="ID307" s="148"/>
      <c r="IE307" s="148"/>
      <c r="IF307" s="148"/>
      <c r="IG307" s="148"/>
      <c r="IH307" s="148"/>
      <c r="II307" s="148"/>
      <c r="IJ307" s="148"/>
      <c r="IK307" s="148"/>
      <c r="IL307" s="148"/>
      <c r="IM307" s="148"/>
      <c r="IN307" s="148"/>
      <c r="IO307" s="148"/>
      <c r="IP307" s="148"/>
      <c r="IQ307" s="148"/>
      <c r="IR307" s="148"/>
      <c r="IS307" s="148"/>
      <c r="IT307" s="148"/>
      <c r="IU307" s="148"/>
      <c r="IV307" s="148"/>
    </row>
    <row r="308" spans="1:256">
      <c r="A308" s="841">
        <v>85395</v>
      </c>
      <c r="B308" s="844" t="s">
        <v>108</v>
      </c>
      <c r="C308" s="178" t="s">
        <v>0</v>
      </c>
      <c r="D308" s="180">
        <f>E308+M308</f>
        <v>16376187</v>
      </c>
      <c r="E308" s="181">
        <f>F308+I308+J308+K308+L308</f>
        <v>16126187</v>
      </c>
      <c r="F308" s="181">
        <f>G308+H308</f>
        <v>7765994</v>
      </c>
      <c r="G308" s="181">
        <v>400430</v>
      </c>
      <c r="H308" s="181">
        <v>7365564</v>
      </c>
      <c r="I308" s="181">
        <v>150000</v>
      </c>
      <c r="J308" s="181">
        <v>0</v>
      </c>
      <c r="K308" s="181">
        <v>8210193</v>
      </c>
      <c r="L308" s="181">
        <v>0</v>
      </c>
      <c r="M308" s="181">
        <f>N308+P308</f>
        <v>250000</v>
      </c>
      <c r="N308" s="181">
        <v>0</v>
      </c>
      <c r="O308" s="181">
        <v>0</v>
      </c>
      <c r="P308" s="181">
        <v>250000</v>
      </c>
      <c r="Q308" s="182"/>
      <c r="R308" s="182"/>
      <c r="S308" s="182"/>
      <c r="T308" s="182"/>
      <c r="U308" s="182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  <c r="GB308" s="148"/>
      <c r="GC308" s="148"/>
      <c r="GD308" s="148"/>
      <c r="GE308" s="148"/>
      <c r="GF308" s="148"/>
      <c r="GG308" s="148"/>
      <c r="GH308" s="148"/>
      <c r="GI308" s="148"/>
      <c r="GJ308" s="148"/>
      <c r="GK308" s="148"/>
      <c r="GL308" s="148"/>
      <c r="GM308" s="148"/>
      <c r="GN308" s="148"/>
      <c r="GO308" s="148"/>
      <c r="GP308" s="148"/>
      <c r="GQ308" s="148"/>
      <c r="GR308" s="148"/>
      <c r="GS308" s="148"/>
      <c r="GT308" s="148"/>
      <c r="GU308" s="148"/>
      <c r="GV308" s="148"/>
      <c r="GW308" s="148"/>
      <c r="GX308" s="148"/>
      <c r="GY308" s="148"/>
      <c r="GZ308" s="148"/>
      <c r="HA308" s="148"/>
      <c r="HB308" s="148"/>
      <c r="HC308" s="148"/>
      <c r="HD308" s="148"/>
      <c r="HE308" s="148"/>
      <c r="HF308" s="148"/>
      <c r="HG308" s="148"/>
      <c r="HH308" s="148"/>
      <c r="HI308" s="148"/>
      <c r="HJ308" s="148"/>
      <c r="HK308" s="148"/>
      <c r="HL308" s="148"/>
      <c r="HM308" s="148"/>
      <c r="HN308" s="148"/>
      <c r="HO308" s="148"/>
      <c r="HP308" s="148"/>
      <c r="HQ308" s="148"/>
      <c r="HR308" s="148"/>
      <c r="HS308" s="148"/>
      <c r="HT308" s="148"/>
      <c r="HU308" s="148"/>
      <c r="HV308" s="148"/>
      <c r="HW308" s="148"/>
      <c r="HX308" s="148"/>
      <c r="HY308" s="148"/>
      <c r="HZ308" s="148"/>
      <c r="IA308" s="148"/>
      <c r="IB308" s="148"/>
      <c r="IC308" s="148"/>
      <c r="ID308" s="148"/>
      <c r="IE308" s="148"/>
      <c r="IF308" s="148"/>
      <c r="IG308" s="148"/>
      <c r="IH308" s="148"/>
      <c r="II308" s="148"/>
      <c r="IJ308" s="148"/>
      <c r="IK308" s="148"/>
      <c r="IL308" s="148"/>
      <c r="IM308" s="148"/>
      <c r="IN308" s="148"/>
      <c r="IO308" s="148"/>
      <c r="IP308" s="148"/>
      <c r="IQ308" s="148"/>
      <c r="IR308" s="148"/>
      <c r="IS308" s="148"/>
      <c r="IT308" s="148"/>
      <c r="IU308" s="148"/>
      <c r="IV308" s="148"/>
    </row>
    <row r="309" spans="1:256">
      <c r="A309" s="842"/>
      <c r="B309" s="845"/>
      <c r="C309" s="178" t="s">
        <v>1</v>
      </c>
      <c r="D309" s="180">
        <f>E309+M309</f>
        <v>3058530</v>
      </c>
      <c r="E309" s="181">
        <f>F309+I309+J309+K309+L309</f>
        <v>1732000</v>
      </c>
      <c r="F309" s="181">
        <f>G309+H309</f>
        <v>1606000</v>
      </c>
      <c r="G309" s="181">
        <f>110000+10500+23330</f>
        <v>143830</v>
      </c>
      <c r="H309" s="181">
        <f>69000+500+500+36000+1000+1273970+81200</f>
        <v>1462170</v>
      </c>
      <c r="I309" s="181"/>
      <c r="J309" s="181">
        <v>1000</v>
      </c>
      <c r="K309" s="181">
        <f>2873+5891+125000-15768-4844-2801-846-386-119+27290+2710-11184-2816+45-45</f>
        <v>125000</v>
      </c>
      <c r="L309" s="181"/>
      <c r="M309" s="181">
        <f>N309+P309</f>
        <v>1326530</v>
      </c>
      <c r="N309" s="181">
        <f>1280000+46530</f>
        <v>1326530</v>
      </c>
      <c r="O309" s="181">
        <v>46530</v>
      </c>
      <c r="P309" s="181"/>
      <c r="Q309" s="182"/>
      <c r="R309" s="182"/>
      <c r="S309" s="182"/>
      <c r="T309" s="182"/>
      <c r="U309" s="182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  <c r="GB309" s="148"/>
      <c r="GC309" s="148"/>
      <c r="GD309" s="148"/>
      <c r="GE309" s="148"/>
      <c r="GF309" s="148"/>
      <c r="GG309" s="148"/>
      <c r="GH309" s="148"/>
      <c r="GI309" s="148"/>
      <c r="GJ309" s="148"/>
      <c r="GK309" s="148"/>
      <c r="GL309" s="148"/>
      <c r="GM309" s="148"/>
      <c r="GN309" s="148"/>
      <c r="GO309" s="148"/>
      <c r="GP309" s="148"/>
      <c r="GQ309" s="148"/>
      <c r="GR309" s="148"/>
      <c r="GS309" s="148"/>
      <c r="GT309" s="148"/>
      <c r="GU309" s="148"/>
      <c r="GV309" s="148"/>
      <c r="GW309" s="148"/>
      <c r="GX309" s="148"/>
      <c r="GY309" s="148"/>
      <c r="GZ309" s="148"/>
      <c r="HA309" s="148"/>
      <c r="HB309" s="148"/>
      <c r="HC309" s="148"/>
      <c r="HD309" s="148"/>
      <c r="HE309" s="148"/>
      <c r="HF309" s="148"/>
      <c r="HG309" s="148"/>
      <c r="HH309" s="148"/>
      <c r="HI309" s="148"/>
      <c r="HJ309" s="148"/>
      <c r="HK309" s="148"/>
      <c r="HL309" s="148"/>
      <c r="HM309" s="148"/>
      <c r="HN309" s="148"/>
      <c r="HO309" s="148"/>
      <c r="HP309" s="148"/>
      <c r="HQ309" s="148"/>
      <c r="HR309" s="148"/>
      <c r="HS309" s="148"/>
      <c r="HT309" s="148"/>
      <c r="HU309" s="148"/>
      <c r="HV309" s="148"/>
      <c r="HW309" s="148"/>
      <c r="HX309" s="148"/>
      <c r="HY309" s="148"/>
      <c r="HZ309" s="148"/>
      <c r="IA309" s="148"/>
      <c r="IB309" s="148"/>
      <c r="IC309" s="148"/>
      <c r="ID309" s="148"/>
      <c r="IE309" s="148"/>
      <c r="IF309" s="148"/>
      <c r="IG309" s="148"/>
      <c r="IH309" s="148"/>
      <c r="II309" s="148"/>
      <c r="IJ309" s="148"/>
      <c r="IK309" s="148"/>
      <c r="IL309" s="148"/>
      <c r="IM309" s="148"/>
      <c r="IN309" s="148"/>
      <c r="IO309" s="148"/>
      <c r="IP309" s="148"/>
      <c r="IQ309" s="148"/>
      <c r="IR309" s="148"/>
      <c r="IS309" s="148"/>
      <c r="IT309" s="148"/>
      <c r="IU309" s="148"/>
      <c r="IV309" s="148"/>
    </row>
    <row r="310" spans="1:256">
      <c r="A310" s="843"/>
      <c r="B310" s="846"/>
      <c r="C310" s="178" t="s">
        <v>2</v>
      </c>
      <c r="D310" s="180">
        <f>D308+D309</f>
        <v>19434717</v>
      </c>
      <c r="E310" s="181">
        <f t="shared" ref="E310:P310" si="126">E308+E309</f>
        <v>17858187</v>
      </c>
      <c r="F310" s="181">
        <f t="shared" si="126"/>
        <v>9371994</v>
      </c>
      <c r="G310" s="181">
        <f t="shared" si="126"/>
        <v>544260</v>
      </c>
      <c r="H310" s="181">
        <f t="shared" si="126"/>
        <v>8827734</v>
      </c>
      <c r="I310" s="181">
        <f t="shared" si="126"/>
        <v>150000</v>
      </c>
      <c r="J310" s="181">
        <f t="shared" si="126"/>
        <v>1000</v>
      </c>
      <c r="K310" s="181">
        <f t="shared" si="126"/>
        <v>8335193</v>
      </c>
      <c r="L310" s="181">
        <f t="shared" si="126"/>
        <v>0</v>
      </c>
      <c r="M310" s="181">
        <f t="shared" si="126"/>
        <v>1576530</v>
      </c>
      <c r="N310" s="181">
        <f t="shared" si="126"/>
        <v>1326530</v>
      </c>
      <c r="O310" s="181">
        <f t="shared" si="126"/>
        <v>46530</v>
      </c>
      <c r="P310" s="181">
        <f t="shared" si="126"/>
        <v>250000</v>
      </c>
      <c r="Q310" s="182"/>
      <c r="R310" s="182"/>
      <c r="S310" s="182"/>
      <c r="T310" s="182"/>
      <c r="U310" s="182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  <c r="GB310" s="148"/>
      <c r="GC310" s="148"/>
      <c r="GD310" s="148"/>
      <c r="GE310" s="148"/>
      <c r="GF310" s="148"/>
      <c r="GG310" s="148"/>
      <c r="GH310" s="148"/>
      <c r="GI310" s="148"/>
      <c r="GJ310" s="148"/>
      <c r="GK310" s="148"/>
      <c r="GL310" s="148"/>
      <c r="GM310" s="148"/>
      <c r="GN310" s="148"/>
      <c r="GO310" s="148"/>
      <c r="GP310" s="148"/>
      <c r="GQ310" s="148"/>
      <c r="GR310" s="148"/>
      <c r="GS310" s="148"/>
      <c r="GT310" s="148"/>
      <c r="GU310" s="148"/>
      <c r="GV310" s="148"/>
      <c r="GW310" s="148"/>
      <c r="GX310" s="148"/>
      <c r="GY310" s="148"/>
      <c r="GZ310" s="148"/>
      <c r="HA310" s="148"/>
      <c r="HB310" s="148"/>
      <c r="HC310" s="148"/>
      <c r="HD310" s="148"/>
      <c r="HE310" s="148"/>
      <c r="HF310" s="148"/>
      <c r="HG310" s="148"/>
      <c r="HH310" s="148"/>
      <c r="HI310" s="148"/>
      <c r="HJ310" s="148"/>
      <c r="HK310" s="148"/>
      <c r="HL310" s="148"/>
      <c r="HM310" s="148"/>
      <c r="HN310" s="148"/>
      <c r="HO310" s="148"/>
      <c r="HP310" s="148"/>
      <c r="HQ310" s="148"/>
      <c r="HR310" s="148"/>
      <c r="HS310" s="148"/>
      <c r="HT310" s="148"/>
      <c r="HU310" s="148"/>
      <c r="HV310" s="148"/>
      <c r="HW310" s="148"/>
      <c r="HX310" s="148"/>
      <c r="HY310" s="148"/>
      <c r="HZ310" s="148"/>
      <c r="IA310" s="148"/>
      <c r="IB310" s="148"/>
      <c r="IC310" s="148"/>
      <c r="ID310" s="148"/>
      <c r="IE310" s="148"/>
      <c r="IF310" s="148"/>
      <c r="IG310" s="148"/>
      <c r="IH310" s="148"/>
      <c r="II310" s="148"/>
      <c r="IJ310" s="148"/>
      <c r="IK310" s="148"/>
      <c r="IL310" s="148"/>
      <c r="IM310" s="148"/>
      <c r="IN310" s="148"/>
      <c r="IO310" s="148"/>
      <c r="IP310" s="148"/>
      <c r="IQ310" s="148"/>
      <c r="IR310" s="148"/>
      <c r="IS310" s="148"/>
      <c r="IT310" s="148"/>
      <c r="IU310" s="148"/>
      <c r="IV310" s="148"/>
    </row>
    <row r="311" spans="1:256" ht="16.5" customHeight="1">
      <c r="A311" s="835">
        <v>854</v>
      </c>
      <c r="B311" s="838" t="s">
        <v>301</v>
      </c>
      <c r="C311" s="183" t="s">
        <v>0</v>
      </c>
      <c r="D311" s="174">
        <f t="shared" ref="D311:P312" si="127">D314+D320+D323+D326+D332+D335+D317+D329</f>
        <v>50742655</v>
      </c>
      <c r="E311" s="175">
        <f t="shared" si="127"/>
        <v>42915175</v>
      </c>
      <c r="F311" s="175">
        <f t="shared" si="127"/>
        <v>35774365</v>
      </c>
      <c r="G311" s="175">
        <f t="shared" si="127"/>
        <v>29565556</v>
      </c>
      <c r="H311" s="175">
        <f t="shared" si="127"/>
        <v>6208809</v>
      </c>
      <c r="I311" s="175">
        <f t="shared" si="127"/>
        <v>278400</v>
      </c>
      <c r="J311" s="175">
        <f t="shared" si="127"/>
        <v>658130</v>
      </c>
      <c r="K311" s="175">
        <f t="shared" si="127"/>
        <v>6204280</v>
      </c>
      <c r="L311" s="175">
        <f t="shared" si="127"/>
        <v>0</v>
      </c>
      <c r="M311" s="175">
        <f t="shared" si="127"/>
        <v>7827480</v>
      </c>
      <c r="N311" s="175">
        <f t="shared" si="127"/>
        <v>7827480</v>
      </c>
      <c r="O311" s="175">
        <f t="shared" si="127"/>
        <v>0</v>
      </c>
      <c r="P311" s="175">
        <f t="shared" si="127"/>
        <v>0</v>
      </c>
      <c r="Q311" s="188"/>
      <c r="R311" s="188"/>
      <c r="S311" s="188"/>
      <c r="T311" s="188"/>
      <c r="U311" s="188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  <c r="FF311" s="189"/>
      <c r="FG311" s="189"/>
      <c r="FH311" s="189"/>
      <c r="FI311" s="189"/>
      <c r="FJ311" s="189"/>
      <c r="FK311" s="189"/>
      <c r="FL311" s="189"/>
      <c r="FM311" s="189"/>
      <c r="FN311" s="189"/>
      <c r="FO311" s="189"/>
      <c r="FP311" s="189"/>
      <c r="FQ311" s="189"/>
      <c r="FR311" s="189"/>
      <c r="FS311" s="189"/>
      <c r="FT311" s="189"/>
      <c r="FU311" s="189"/>
      <c r="FV311" s="189"/>
      <c r="FW311" s="189"/>
      <c r="FX311" s="189"/>
      <c r="FY311" s="189"/>
      <c r="FZ311" s="189"/>
      <c r="GA311" s="189"/>
      <c r="GB311" s="189"/>
      <c r="GC311" s="189"/>
      <c r="GD311" s="189"/>
      <c r="GE311" s="189"/>
      <c r="GF311" s="189"/>
      <c r="GG311" s="189"/>
      <c r="GH311" s="189"/>
      <c r="GI311" s="189"/>
      <c r="GJ311" s="189"/>
      <c r="GK311" s="189"/>
      <c r="GL311" s="189"/>
      <c r="GM311" s="189"/>
      <c r="GN311" s="189"/>
      <c r="GO311" s="189"/>
      <c r="GP311" s="189"/>
      <c r="GQ311" s="189"/>
      <c r="GR311" s="189"/>
      <c r="GS311" s="189"/>
      <c r="GT311" s="189"/>
      <c r="GU311" s="189"/>
      <c r="GV311" s="189"/>
      <c r="GW311" s="189"/>
      <c r="GX311" s="189"/>
      <c r="GY311" s="189"/>
      <c r="GZ311" s="189"/>
      <c r="HA311" s="189"/>
      <c r="HB311" s="189"/>
      <c r="HC311" s="189"/>
      <c r="HD311" s="189"/>
      <c r="HE311" s="189"/>
      <c r="HF311" s="189"/>
      <c r="HG311" s="189"/>
      <c r="HH311" s="189"/>
      <c r="HI311" s="189"/>
      <c r="HJ311" s="189"/>
      <c r="HK311" s="189"/>
      <c r="HL311" s="189"/>
      <c r="HM311" s="189"/>
      <c r="HN311" s="189"/>
      <c r="HO311" s="189"/>
      <c r="HP311" s="189"/>
      <c r="HQ311" s="189"/>
      <c r="HR311" s="189"/>
      <c r="HS311" s="189"/>
      <c r="HT311" s="189"/>
      <c r="HU311" s="189"/>
      <c r="HV311" s="189"/>
      <c r="HW311" s="189"/>
      <c r="HX311" s="189"/>
      <c r="HY311" s="189"/>
      <c r="HZ311" s="189"/>
      <c r="IA311" s="189"/>
      <c r="IB311" s="189"/>
      <c r="IC311" s="189"/>
      <c r="ID311" s="189"/>
      <c r="IE311" s="189"/>
      <c r="IF311" s="189"/>
      <c r="IG311" s="189"/>
      <c r="IH311" s="189"/>
      <c r="II311" s="189"/>
      <c r="IJ311" s="189"/>
      <c r="IK311" s="189"/>
      <c r="IL311" s="189"/>
      <c r="IM311" s="189"/>
      <c r="IN311" s="189"/>
      <c r="IO311" s="189"/>
      <c r="IP311" s="189"/>
      <c r="IQ311" s="189"/>
      <c r="IR311" s="189"/>
      <c r="IS311" s="189"/>
      <c r="IT311" s="189"/>
      <c r="IU311" s="189"/>
      <c r="IV311" s="189"/>
    </row>
    <row r="312" spans="1:256" ht="16.5" customHeight="1">
      <c r="A312" s="836"/>
      <c r="B312" s="839"/>
      <c r="C312" s="183" t="s">
        <v>1</v>
      </c>
      <c r="D312" s="174">
        <f t="shared" si="127"/>
        <v>-1955707</v>
      </c>
      <c r="E312" s="175">
        <f t="shared" si="127"/>
        <v>97977</v>
      </c>
      <c r="F312" s="175">
        <f t="shared" si="127"/>
        <v>97977</v>
      </c>
      <c r="G312" s="175">
        <f t="shared" si="127"/>
        <v>0</v>
      </c>
      <c r="H312" s="175">
        <f t="shared" si="127"/>
        <v>97977</v>
      </c>
      <c r="I312" s="175">
        <f t="shared" si="127"/>
        <v>0</v>
      </c>
      <c r="J312" s="175">
        <f t="shared" si="127"/>
        <v>0</v>
      </c>
      <c r="K312" s="175">
        <f t="shared" si="127"/>
        <v>0</v>
      </c>
      <c r="L312" s="175">
        <f t="shared" si="127"/>
        <v>0</v>
      </c>
      <c r="M312" s="175">
        <f t="shared" si="127"/>
        <v>-2053684</v>
      </c>
      <c r="N312" s="175">
        <f t="shared" si="127"/>
        <v>-2053684</v>
      </c>
      <c r="O312" s="175">
        <f t="shared" si="127"/>
        <v>0</v>
      </c>
      <c r="P312" s="175">
        <f t="shared" si="127"/>
        <v>0</v>
      </c>
      <c r="Q312" s="188"/>
      <c r="R312" s="188"/>
      <c r="S312" s="188"/>
      <c r="T312" s="188"/>
      <c r="U312" s="188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  <c r="FF312" s="189"/>
      <c r="FG312" s="189"/>
      <c r="FH312" s="189"/>
      <c r="FI312" s="189"/>
      <c r="FJ312" s="189"/>
      <c r="FK312" s="189"/>
      <c r="FL312" s="189"/>
      <c r="FM312" s="189"/>
      <c r="FN312" s="189"/>
      <c r="FO312" s="189"/>
      <c r="FP312" s="189"/>
      <c r="FQ312" s="189"/>
      <c r="FR312" s="189"/>
      <c r="FS312" s="189"/>
      <c r="FT312" s="189"/>
      <c r="FU312" s="189"/>
      <c r="FV312" s="189"/>
      <c r="FW312" s="189"/>
      <c r="FX312" s="189"/>
      <c r="FY312" s="189"/>
      <c r="FZ312" s="189"/>
      <c r="GA312" s="189"/>
      <c r="GB312" s="189"/>
      <c r="GC312" s="189"/>
      <c r="GD312" s="189"/>
      <c r="GE312" s="189"/>
      <c r="GF312" s="189"/>
      <c r="GG312" s="189"/>
      <c r="GH312" s="189"/>
      <c r="GI312" s="189"/>
      <c r="GJ312" s="189"/>
      <c r="GK312" s="189"/>
      <c r="GL312" s="189"/>
      <c r="GM312" s="189"/>
      <c r="GN312" s="189"/>
      <c r="GO312" s="189"/>
      <c r="GP312" s="189"/>
      <c r="GQ312" s="189"/>
      <c r="GR312" s="189"/>
      <c r="GS312" s="189"/>
      <c r="GT312" s="189"/>
      <c r="GU312" s="189"/>
      <c r="GV312" s="189"/>
      <c r="GW312" s="189"/>
      <c r="GX312" s="189"/>
      <c r="GY312" s="189"/>
      <c r="GZ312" s="189"/>
      <c r="HA312" s="189"/>
      <c r="HB312" s="189"/>
      <c r="HC312" s="189"/>
      <c r="HD312" s="189"/>
      <c r="HE312" s="189"/>
      <c r="HF312" s="189"/>
      <c r="HG312" s="189"/>
      <c r="HH312" s="189"/>
      <c r="HI312" s="189"/>
      <c r="HJ312" s="189"/>
      <c r="HK312" s="189"/>
      <c r="HL312" s="189"/>
      <c r="HM312" s="189"/>
      <c r="HN312" s="189"/>
      <c r="HO312" s="189"/>
      <c r="HP312" s="189"/>
      <c r="HQ312" s="189"/>
      <c r="HR312" s="189"/>
      <c r="HS312" s="189"/>
      <c r="HT312" s="189"/>
      <c r="HU312" s="189"/>
      <c r="HV312" s="189"/>
      <c r="HW312" s="189"/>
      <c r="HX312" s="189"/>
      <c r="HY312" s="189"/>
      <c r="HZ312" s="189"/>
      <c r="IA312" s="189"/>
      <c r="IB312" s="189"/>
      <c r="IC312" s="189"/>
      <c r="ID312" s="189"/>
      <c r="IE312" s="189"/>
      <c r="IF312" s="189"/>
      <c r="IG312" s="189"/>
      <c r="IH312" s="189"/>
      <c r="II312" s="189"/>
      <c r="IJ312" s="189"/>
      <c r="IK312" s="189"/>
      <c r="IL312" s="189"/>
      <c r="IM312" s="189"/>
      <c r="IN312" s="189"/>
      <c r="IO312" s="189"/>
      <c r="IP312" s="189"/>
      <c r="IQ312" s="189"/>
      <c r="IR312" s="189"/>
      <c r="IS312" s="189"/>
      <c r="IT312" s="189"/>
      <c r="IU312" s="189"/>
      <c r="IV312" s="189"/>
    </row>
    <row r="313" spans="1:256" ht="16.5" customHeight="1">
      <c r="A313" s="837"/>
      <c r="B313" s="840"/>
      <c r="C313" s="183" t="s">
        <v>2</v>
      </c>
      <c r="D313" s="174">
        <f>D311+D312</f>
        <v>48786948</v>
      </c>
      <c r="E313" s="175">
        <f t="shared" ref="E313:P313" si="128">E311+E312</f>
        <v>43013152</v>
      </c>
      <c r="F313" s="175">
        <f t="shared" si="128"/>
        <v>35872342</v>
      </c>
      <c r="G313" s="175">
        <f t="shared" si="128"/>
        <v>29565556</v>
      </c>
      <c r="H313" s="175">
        <f t="shared" si="128"/>
        <v>6306786</v>
      </c>
      <c r="I313" s="175">
        <f t="shared" si="128"/>
        <v>278400</v>
      </c>
      <c r="J313" s="175">
        <f t="shared" si="128"/>
        <v>658130</v>
      </c>
      <c r="K313" s="175">
        <f t="shared" si="128"/>
        <v>6204280</v>
      </c>
      <c r="L313" s="175">
        <f t="shared" si="128"/>
        <v>0</v>
      </c>
      <c r="M313" s="175">
        <f t="shared" si="128"/>
        <v>5773796</v>
      </c>
      <c r="N313" s="175">
        <f t="shared" si="128"/>
        <v>5773796</v>
      </c>
      <c r="O313" s="175">
        <f t="shared" si="128"/>
        <v>0</v>
      </c>
      <c r="P313" s="175">
        <f t="shared" si="128"/>
        <v>0</v>
      </c>
      <c r="Q313" s="188"/>
      <c r="R313" s="188"/>
      <c r="S313" s="188"/>
      <c r="T313" s="188"/>
      <c r="U313" s="188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  <c r="FF313" s="189"/>
      <c r="FG313" s="189"/>
      <c r="FH313" s="189"/>
      <c r="FI313" s="189"/>
      <c r="FJ313" s="189"/>
      <c r="FK313" s="189"/>
      <c r="FL313" s="189"/>
      <c r="FM313" s="189"/>
      <c r="FN313" s="189"/>
      <c r="FO313" s="189"/>
      <c r="FP313" s="189"/>
      <c r="FQ313" s="189"/>
      <c r="FR313" s="189"/>
      <c r="FS313" s="189"/>
      <c r="FT313" s="189"/>
      <c r="FU313" s="189"/>
      <c r="FV313" s="189"/>
      <c r="FW313" s="189"/>
      <c r="FX313" s="189"/>
      <c r="FY313" s="189"/>
      <c r="FZ313" s="189"/>
      <c r="GA313" s="189"/>
      <c r="GB313" s="189"/>
      <c r="GC313" s="189"/>
      <c r="GD313" s="189"/>
      <c r="GE313" s="189"/>
      <c r="GF313" s="189"/>
      <c r="GG313" s="189"/>
      <c r="GH313" s="189"/>
      <c r="GI313" s="189"/>
      <c r="GJ313" s="189"/>
      <c r="GK313" s="189"/>
      <c r="GL313" s="189"/>
      <c r="GM313" s="189"/>
      <c r="GN313" s="189"/>
      <c r="GO313" s="189"/>
      <c r="GP313" s="189"/>
      <c r="GQ313" s="189"/>
      <c r="GR313" s="189"/>
      <c r="GS313" s="189"/>
      <c r="GT313" s="189"/>
      <c r="GU313" s="189"/>
      <c r="GV313" s="189"/>
      <c r="GW313" s="189"/>
      <c r="GX313" s="189"/>
      <c r="GY313" s="189"/>
      <c r="GZ313" s="189"/>
      <c r="HA313" s="189"/>
      <c r="HB313" s="189"/>
      <c r="HC313" s="189"/>
      <c r="HD313" s="189"/>
      <c r="HE313" s="189"/>
      <c r="HF313" s="189"/>
      <c r="HG313" s="189"/>
      <c r="HH313" s="189"/>
      <c r="HI313" s="189"/>
      <c r="HJ313" s="189"/>
      <c r="HK313" s="189"/>
      <c r="HL313" s="189"/>
      <c r="HM313" s="189"/>
      <c r="HN313" s="189"/>
      <c r="HO313" s="189"/>
      <c r="HP313" s="189"/>
      <c r="HQ313" s="189"/>
      <c r="HR313" s="189"/>
      <c r="HS313" s="189"/>
      <c r="HT313" s="189"/>
      <c r="HU313" s="189"/>
      <c r="HV313" s="189"/>
      <c r="HW313" s="189"/>
      <c r="HX313" s="189"/>
      <c r="HY313" s="189"/>
      <c r="HZ313" s="189"/>
      <c r="IA313" s="189"/>
      <c r="IB313" s="189"/>
      <c r="IC313" s="189"/>
      <c r="ID313" s="189"/>
      <c r="IE313" s="189"/>
      <c r="IF313" s="189"/>
      <c r="IG313" s="189"/>
      <c r="IH313" s="189"/>
      <c r="II313" s="189"/>
      <c r="IJ313" s="189"/>
      <c r="IK313" s="189"/>
      <c r="IL313" s="189"/>
      <c r="IM313" s="189"/>
      <c r="IN313" s="189"/>
      <c r="IO313" s="189"/>
      <c r="IP313" s="189"/>
      <c r="IQ313" s="189"/>
      <c r="IR313" s="189"/>
      <c r="IS313" s="189"/>
      <c r="IT313" s="189"/>
      <c r="IU313" s="189"/>
      <c r="IV313" s="189"/>
    </row>
    <row r="314" spans="1:256">
      <c r="A314" s="841">
        <v>85403</v>
      </c>
      <c r="B314" s="844" t="s">
        <v>302</v>
      </c>
      <c r="C314" s="178" t="s">
        <v>0</v>
      </c>
      <c r="D314" s="180">
        <f t="shared" ref="D314:D336" si="129">E314+M314</f>
        <v>36400286</v>
      </c>
      <c r="E314" s="181">
        <f t="shared" ref="E314:E336" si="130">F314+I314+J314+K314+L314</f>
        <v>28872806</v>
      </c>
      <c r="F314" s="181">
        <f t="shared" ref="F314:F336" si="131">G314+H314</f>
        <v>28857676</v>
      </c>
      <c r="G314" s="181">
        <v>25245038</v>
      </c>
      <c r="H314" s="181">
        <v>3612638</v>
      </c>
      <c r="I314" s="181">
        <v>0</v>
      </c>
      <c r="J314" s="181">
        <v>15130</v>
      </c>
      <c r="K314" s="181">
        <v>0</v>
      </c>
      <c r="L314" s="181">
        <v>0</v>
      </c>
      <c r="M314" s="181">
        <f t="shared" ref="M314:M336" si="132">N314+P314</f>
        <v>7527480</v>
      </c>
      <c r="N314" s="181">
        <v>7527480</v>
      </c>
      <c r="O314" s="181">
        <v>0</v>
      </c>
      <c r="P314" s="181">
        <v>0</v>
      </c>
      <c r="Q314" s="182"/>
      <c r="R314" s="182"/>
      <c r="S314" s="182"/>
      <c r="T314" s="182"/>
      <c r="U314" s="182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48"/>
      <c r="GH314" s="148"/>
      <c r="GI314" s="148"/>
      <c r="GJ314" s="148"/>
      <c r="GK314" s="148"/>
      <c r="GL314" s="148"/>
      <c r="GM314" s="148"/>
      <c r="GN314" s="148"/>
      <c r="GO314" s="148"/>
      <c r="GP314" s="148"/>
      <c r="GQ314" s="148"/>
      <c r="GR314" s="148"/>
      <c r="GS314" s="148"/>
      <c r="GT314" s="148"/>
      <c r="GU314" s="148"/>
      <c r="GV314" s="148"/>
      <c r="GW314" s="148"/>
      <c r="GX314" s="148"/>
      <c r="GY314" s="148"/>
      <c r="GZ314" s="148"/>
      <c r="HA314" s="148"/>
      <c r="HB314" s="148"/>
      <c r="HC314" s="148"/>
      <c r="HD314" s="148"/>
      <c r="HE314" s="148"/>
      <c r="HF314" s="148"/>
      <c r="HG314" s="148"/>
      <c r="HH314" s="148"/>
      <c r="HI314" s="148"/>
      <c r="HJ314" s="148"/>
      <c r="HK314" s="148"/>
      <c r="HL314" s="148"/>
      <c r="HM314" s="148"/>
      <c r="HN314" s="148"/>
      <c r="HO314" s="148"/>
      <c r="HP314" s="148"/>
      <c r="HQ314" s="148"/>
      <c r="HR314" s="148"/>
      <c r="HS314" s="148"/>
      <c r="HT314" s="148"/>
      <c r="HU314" s="148"/>
      <c r="HV314" s="148"/>
      <c r="HW314" s="148"/>
      <c r="HX314" s="148"/>
      <c r="HY314" s="148"/>
      <c r="HZ314" s="148"/>
      <c r="IA314" s="148"/>
      <c r="IB314" s="148"/>
      <c r="IC314" s="148"/>
      <c r="ID314" s="148"/>
      <c r="IE314" s="148"/>
      <c r="IF314" s="148"/>
      <c r="IG314" s="148"/>
      <c r="IH314" s="148"/>
      <c r="II314" s="148"/>
      <c r="IJ314" s="148"/>
      <c r="IK314" s="148"/>
      <c r="IL314" s="148"/>
      <c r="IM314" s="148"/>
      <c r="IN314" s="148"/>
      <c r="IO314" s="148"/>
      <c r="IP314" s="148"/>
      <c r="IQ314" s="148"/>
      <c r="IR314" s="148"/>
      <c r="IS314" s="148"/>
      <c r="IT314" s="148"/>
      <c r="IU314" s="148"/>
      <c r="IV314" s="148"/>
    </row>
    <row r="315" spans="1:256">
      <c r="A315" s="842"/>
      <c r="B315" s="845"/>
      <c r="C315" s="178" t="s">
        <v>1</v>
      </c>
      <c r="D315" s="180">
        <f t="shared" si="129"/>
        <v>-1896785</v>
      </c>
      <c r="E315" s="181">
        <f t="shared" si="130"/>
        <v>156899</v>
      </c>
      <c r="F315" s="181">
        <f t="shared" si="131"/>
        <v>156899</v>
      </c>
      <c r="G315" s="181"/>
      <c r="H315" s="181">
        <f>21200+135699</f>
        <v>156899</v>
      </c>
      <c r="I315" s="181"/>
      <c r="J315" s="181"/>
      <c r="K315" s="181"/>
      <c r="L315" s="181"/>
      <c r="M315" s="181">
        <f t="shared" si="132"/>
        <v>-2053684</v>
      </c>
      <c r="N315" s="181">
        <v>-2053684</v>
      </c>
      <c r="O315" s="181"/>
      <c r="P315" s="181"/>
      <c r="Q315" s="182"/>
      <c r="R315" s="182"/>
      <c r="S315" s="182"/>
      <c r="T315" s="182"/>
      <c r="U315" s="182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48"/>
      <c r="GH315" s="148"/>
      <c r="GI315" s="148"/>
      <c r="GJ315" s="148"/>
      <c r="GK315" s="148"/>
      <c r="GL315" s="148"/>
      <c r="GM315" s="148"/>
      <c r="GN315" s="148"/>
      <c r="GO315" s="148"/>
      <c r="GP315" s="148"/>
      <c r="GQ315" s="148"/>
      <c r="GR315" s="148"/>
      <c r="GS315" s="148"/>
      <c r="GT315" s="148"/>
      <c r="GU315" s="148"/>
      <c r="GV315" s="148"/>
      <c r="GW315" s="148"/>
      <c r="GX315" s="148"/>
      <c r="GY315" s="148"/>
      <c r="GZ315" s="148"/>
      <c r="HA315" s="148"/>
      <c r="HB315" s="148"/>
      <c r="HC315" s="148"/>
      <c r="HD315" s="148"/>
      <c r="HE315" s="148"/>
      <c r="HF315" s="148"/>
      <c r="HG315" s="148"/>
      <c r="HH315" s="148"/>
      <c r="HI315" s="148"/>
      <c r="HJ315" s="148"/>
      <c r="HK315" s="148"/>
      <c r="HL315" s="148"/>
      <c r="HM315" s="148"/>
      <c r="HN315" s="148"/>
      <c r="HO315" s="148"/>
      <c r="HP315" s="148"/>
      <c r="HQ315" s="148"/>
      <c r="HR315" s="148"/>
      <c r="HS315" s="148"/>
      <c r="HT315" s="148"/>
      <c r="HU315" s="148"/>
      <c r="HV315" s="148"/>
      <c r="HW315" s="148"/>
      <c r="HX315" s="148"/>
      <c r="HY315" s="148"/>
      <c r="HZ315" s="148"/>
      <c r="IA315" s="148"/>
      <c r="IB315" s="148"/>
      <c r="IC315" s="148"/>
      <c r="ID315" s="148"/>
      <c r="IE315" s="148"/>
      <c r="IF315" s="148"/>
      <c r="IG315" s="148"/>
      <c r="IH315" s="148"/>
      <c r="II315" s="148"/>
      <c r="IJ315" s="148"/>
      <c r="IK315" s="148"/>
      <c r="IL315" s="148"/>
      <c r="IM315" s="148"/>
      <c r="IN315" s="148"/>
      <c r="IO315" s="148"/>
      <c r="IP315" s="148"/>
      <c r="IQ315" s="148"/>
      <c r="IR315" s="148"/>
      <c r="IS315" s="148"/>
      <c r="IT315" s="148"/>
      <c r="IU315" s="148"/>
      <c r="IV315" s="148"/>
    </row>
    <row r="316" spans="1:256">
      <c r="A316" s="843"/>
      <c r="B316" s="846"/>
      <c r="C316" s="178" t="s">
        <v>2</v>
      </c>
      <c r="D316" s="180">
        <f>D314+D315</f>
        <v>34503501</v>
      </c>
      <c r="E316" s="181">
        <f t="shared" ref="E316:P316" si="133">E314+E315</f>
        <v>29029705</v>
      </c>
      <c r="F316" s="181">
        <f t="shared" si="133"/>
        <v>29014575</v>
      </c>
      <c r="G316" s="181">
        <f t="shared" si="133"/>
        <v>25245038</v>
      </c>
      <c r="H316" s="181">
        <f t="shared" si="133"/>
        <v>3769537</v>
      </c>
      <c r="I316" s="181">
        <f t="shared" si="133"/>
        <v>0</v>
      </c>
      <c r="J316" s="181">
        <f t="shared" si="133"/>
        <v>15130</v>
      </c>
      <c r="K316" s="181">
        <f t="shared" si="133"/>
        <v>0</v>
      </c>
      <c r="L316" s="181">
        <f t="shared" si="133"/>
        <v>0</v>
      </c>
      <c r="M316" s="181">
        <f t="shared" si="133"/>
        <v>5473796</v>
      </c>
      <c r="N316" s="181">
        <f t="shared" si="133"/>
        <v>5473796</v>
      </c>
      <c r="O316" s="181">
        <f t="shared" si="133"/>
        <v>0</v>
      </c>
      <c r="P316" s="181">
        <f t="shared" si="133"/>
        <v>0</v>
      </c>
      <c r="Q316" s="182"/>
      <c r="R316" s="182"/>
      <c r="S316" s="182"/>
      <c r="T316" s="182"/>
      <c r="U316" s="182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48"/>
      <c r="GH316" s="148"/>
      <c r="GI316" s="148"/>
      <c r="GJ316" s="148"/>
      <c r="GK316" s="148"/>
      <c r="GL316" s="148"/>
      <c r="GM316" s="148"/>
      <c r="GN316" s="148"/>
      <c r="GO316" s="148"/>
      <c r="GP316" s="148"/>
      <c r="GQ316" s="148"/>
      <c r="GR316" s="148"/>
      <c r="GS316" s="148"/>
      <c r="GT316" s="148"/>
      <c r="GU316" s="148"/>
      <c r="GV316" s="148"/>
      <c r="GW316" s="148"/>
      <c r="GX316" s="148"/>
      <c r="GY316" s="148"/>
      <c r="GZ316" s="148"/>
      <c r="HA316" s="148"/>
      <c r="HB316" s="148"/>
      <c r="HC316" s="148"/>
      <c r="HD316" s="148"/>
      <c r="HE316" s="148"/>
      <c r="HF316" s="148"/>
      <c r="HG316" s="148"/>
      <c r="HH316" s="148"/>
      <c r="HI316" s="148"/>
      <c r="HJ316" s="148"/>
      <c r="HK316" s="148"/>
      <c r="HL316" s="148"/>
      <c r="HM316" s="148"/>
      <c r="HN316" s="148"/>
      <c r="HO316" s="148"/>
      <c r="HP316" s="148"/>
      <c r="HQ316" s="148"/>
      <c r="HR316" s="148"/>
      <c r="HS316" s="148"/>
      <c r="HT316" s="148"/>
      <c r="HU316" s="148"/>
      <c r="HV316" s="148"/>
      <c r="HW316" s="148"/>
      <c r="HX316" s="148"/>
      <c r="HY316" s="148"/>
      <c r="HZ316" s="148"/>
      <c r="IA316" s="148"/>
      <c r="IB316" s="148"/>
      <c r="IC316" s="148"/>
      <c r="ID316" s="148"/>
      <c r="IE316" s="148"/>
      <c r="IF316" s="148"/>
      <c r="IG316" s="148"/>
      <c r="IH316" s="148"/>
      <c r="II316" s="148"/>
      <c r="IJ316" s="148"/>
      <c r="IK316" s="148"/>
      <c r="IL316" s="148"/>
      <c r="IM316" s="148"/>
      <c r="IN316" s="148"/>
      <c r="IO316" s="148"/>
      <c r="IP316" s="148"/>
      <c r="IQ316" s="148"/>
      <c r="IR316" s="148"/>
      <c r="IS316" s="148"/>
      <c r="IT316" s="148"/>
      <c r="IU316" s="148"/>
      <c r="IV316" s="148"/>
    </row>
    <row r="317" spans="1:256" hidden="1">
      <c r="A317" s="841">
        <v>85404</v>
      </c>
      <c r="B317" s="844" t="s">
        <v>303</v>
      </c>
      <c r="C317" s="178" t="s">
        <v>0</v>
      </c>
      <c r="D317" s="180">
        <f t="shared" si="129"/>
        <v>2224464</v>
      </c>
      <c r="E317" s="181">
        <f t="shared" si="130"/>
        <v>2224464</v>
      </c>
      <c r="F317" s="181">
        <f t="shared" si="131"/>
        <v>2223964</v>
      </c>
      <c r="G317" s="181">
        <v>2050131</v>
      </c>
      <c r="H317" s="181">
        <v>173833</v>
      </c>
      <c r="I317" s="181">
        <v>0</v>
      </c>
      <c r="J317" s="181">
        <v>500</v>
      </c>
      <c r="K317" s="181">
        <v>0</v>
      </c>
      <c r="L317" s="181">
        <v>0</v>
      </c>
      <c r="M317" s="181">
        <f t="shared" si="132"/>
        <v>0</v>
      </c>
      <c r="N317" s="181">
        <v>0</v>
      </c>
      <c r="O317" s="181">
        <v>0</v>
      </c>
      <c r="P317" s="181">
        <v>0</v>
      </c>
      <c r="Q317" s="182"/>
      <c r="R317" s="182"/>
      <c r="S317" s="182"/>
      <c r="T317" s="182"/>
      <c r="U317" s="182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  <c r="GR317" s="148"/>
      <c r="GS317" s="148"/>
      <c r="GT317" s="148"/>
      <c r="GU317" s="148"/>
      <c r="GV317" s="148"/>
      <c r="GW317" s="148"/>
      <c r="GX317" s="148"/>
      <c r="GY317" s="148"/>
      <c r="GZ317" s="148"/>
      <c r="HA317" s="148"/>
      <c r="HB317" s="148"/>
      <c r="HC317" s="148"/>
      <c r="HD317" s="148"/>
      <c r="HE317" s="148"/>
      <c r="HF317" s="148"/>
      <c r="HG317" s="148"/>
      <c r="HH317" s="148"/>
      <c r="HI317" s="148"/>
      <c r="HJ317" s="148"/>
      <c r="HK317" s="148"/>
      <c r="HL317" s="148"/>
      <c r="HM317" s="148"/>
      <c r="HN317" s="148"/>
      <c r="HO317" s="148"/>
      <c r="HP317" s="148"/>
      <c r="HQ317" s="148"/>
      <c r="HR317" s="148"/>
      <c r="HS317" s="148"/>
      <c r="HT317" s="148"/>
      <c r="HU317" s="148"/>
      <c r="HV317" s="148"/>
      <c r="HW317" s="148"/>
      <c r="HX317" s="148"/>
      <c r="HY317" s="148"/>
      <c r="HZ317" s="148"/>
      <c r="IA317" s="148"/>
      <c r="IB317" s="148"/>
      <c r="IC317" s="148"/>
      <c r="ID317" s="148"/>
      <c r="IE317" s="148"/>
      <c r="IF317" s="148"/>
      <c r="IG317" s="148"/>
      <c r="IH317" s="148"/>
      <c r="II317" s="148"/>
      <c r="IJ317" s="148"/>
      <c r="IK317" s="148"/>
      <c r="IL317" s="148"/>
      <c r="IM317" s="148"/>
      <c r="IN317" s="148"/>
      <c r="IO317" s="148"/>
      <c r="IP317" s="148"/>
      <c r="IQ317" s="148"/>
      <c r="IR317" s="148"/>
      <c r="IS317" s="148"/>
      <c r="IT317" s="148"/>
      <c r="IU317" s="148"/>
      <c r="IV317" s="148"/>
    </row>
    <row r="318" spans="1:256" hidden="1">
      <c r="A318" s="842"/>
      <c r="B318" s="845"/>
      <c r="C318" s="178" t="s">
        <v>1</v>
      </c>
      <c r="D318" s="180">
        <f t="shared" si="129"/>
        <v>0</v>
      </c>
      <c r="E318" s="181">
        <f t="shared" si="130"/>
        <v>0</v>
      </c>
      <c r="F318" s="181">
        <f t="shared" si="131"/>
        <v>0</v>
      </c>
      <c r="G318" s="181"/>
      <c r="H318" s="181"/>
      <c r="I318" s="181"/>
      <c r="J318" s="181"/>
      <c r="K318" s="181"/>
      <c r="L318" s="181"/>
      <c r="M318" s="181">
        <f t="shared" si="132"/>
        <v>0</v>
      </c>
      <c r="N318" s="181"/>
      <c r="O318" s="181"/>
      <c r="P318" s="181"/>
      <c r="Q318" s="182"/>
      <c r="R318" s="182"/>
      <c r="S318" s="182"/>
      <c r="T318" s="182"/>
      <c r="U318" s="182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48"/>
      <c r="GH318" s="148"/>
      <c r="GI318" s="148"/>
      <c r="GJ318" s="148"/>
      <c r="GK318" s="148"/>
      <c r="GL318" s="148"/>
      <c r="GM318" s="148"/>
      <c r="GN318" s="148"/>
      <c r="GO318" s="148"/>
      <c r="GP318" s="148"/>
      <c r="GQ318" s="148"/>
      <c r="GR318" s="148"/>
      <c r="GS318" s="148"/>
      <c r="GT318" s="148"/>
      <c r="GU318" s="148"/>
      <c r="GV318" s="148"/>
      <c r="GW318" s="148"/>
      <c r="GX318" s="148"/>
      <c r="GY318" s="148"/>
      <c r="GZ318" s="148"/>
      <c r="HA318" s="148"/>
      <c r="HB318" s="148"/>
      <c r="HC318" s="148"/>
      <c r="HD318" s="148"/>
      <c r="HE318" s="148"/>
      <c r="HF318" s="148"/>
      <c r="HG318" s="148"/>
      <c r="HH318" s="148"/>
      <c r="HI318" s="148"/>
      <c r="HJ318" s="148"/>
      <c r="HK318" s="148"/>
      <c r="HL318" s="148"/>
      <c r="HM318" s="148"/>
      <c r="HN318" s="148"/>
      <c r="HO318" s="148"/>
      <c r="HP318" s="148"/>
      <c r="HQ318" s="148"/>
      <c r="HR318" s="148"/>
      <c r="HS318" s="148"/>
      <c r="HT318" s="148"/>
      <c r="HU318" s="148"/>
      <c r="HV318" s="148"/>
      <c r="HW318" s="148"/>
      <c r="HX318" s="148"/>
      <c r="HY318" s="148"/>
      <c r="HZ318" s="148"/>
      <c r="IA318" s="148"/>
      <c r="IB318" s="148"/>
      <c r="IC318" s="148"/>
      <c r="ID318" s="148"/>
      <c r="IE318" s="148"/>
      <c r="IF318" s="148"/>
      <c r="IG318" s="148"/>
      <c r="IH318" s="148"/>
      <c r="II318" s="148"/>
      <c r="IJ318" s="148"/>
      <c r="IK318" s="148"/>
      <c r="IL318" s="148"/>
      <c r="IM318" s="148"/>
      <c r="IN318" s="148"/>
      <c r="IO318" s="148"/>
      <c r="IP318" s="148"/>
      <c r="IQ318" s="148"/>
      <c r="IR318" s="148"/>
      <c r="IS318" s="148"/>
      <c r="IT318" s="148"/>
      <c r="IU318" s="148"/>
      <c r="IV318" s="148"/>
    </row>
    <row r="319" spans="1:256" hidden="1">
      <c r="A319" s="843"/>
      <c r="B319" s="846"/>
      <c r="C319" s="178" t="s">
        <v>2</v>
      </c>
      <c r="D319" s="180">
        <f>D317+D318</f>
        <v>2224464</v>
      </c>
      <c r="E319" s="181">
        <f t="shared" ref="E319:P319" si="134">E317+E318</f>
        <v>2224464</v>
      </c>
      <c r="F319" s="181">
        <f t="shared" si="134"/>
        <v>2223964</v>
      </c>
      <c r="G319" s="181">
        <f t="shared" si="134"/>
        <v>2050131</v>
      </c>
      <c r="H319" s="181">
        <f t="shared" si="134"/>
        <v>173833</v>
      </c>
      <c r="I319" s="181">
        <f t="shared" si="134"/>
        <v>0</v>
      </c>
      <c r="J319" s="181">
        <f t="shared" si="134"/>
        <v>500</v>
      </c>
      <c r="K319" s="181">
        <f t="shared" si="134"/>
        <v>0</v>
      </c>
      <c r="L319" s="181">
        <f t="shared" si="134"/>
        <v>0</v>
      </c>
      <c r="M319" s="181">
        <f t="shared" si="134"/>
        <v>0</v>
      </c>
      <c r="N319" s="181">
        <f t="shared" si="134"/>
        <v>0</v>
      </c>
      <c r="O319" s="181">
        <f t="shared" si="134"/>
        <v>0</v>
      </c>
      <c r="P319" s="181">
        <f t="shared" si="134"/>
        <v>0</v>
      </c>
      <c r="Q319" s="182"/>
      <c r="R319" s="182"/>
      <c r="S319" s="182"/>
      <c r="T319" s="182"/>
      <c r="U319" s="182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  <c r="GB319" s="148"/>
      <c r="GC319" s="148"/>
      <c r="GD319" s="148"/>
      <c r="GE319" s="148"/>
      <c r="GF319" s="148"/>
      <c r="GG319" s="148"/>
      <c r="GH319" s="148"/>
      <c r="GI319" s="148"/>
      <c r="GJ319" s="148"/>
      <c r="GK319" s="148"/>
      <c r="GL319" s="148"/>
      <c r="GM319" s="148"/>
      <c r="GN319" s="148"/>
      <c r="GO319" s="148"/>
      <c r="GP319" s="148"/>
      <c r="GQ319" s="148"/>
      <c r="GR319" s="148"/>
      <c r="GS319" s="148"/>
      <c r="GT319" s="148"/>
      <c r="GU319" s="148"/>
      <c r="GV319" s="148"/>
      <c r="GW319" s="148"/>
      <c r="GX319" s="148"/>
      <c r="GY319" s="148"/>
      <c r="GZ319" s="148"/>
      <c r="HA319" s="148"/>
      <c r="HB319" s="148"/>
      <c r="HC319" s="148"/>
      <c r="HD319" s="148"/>
      <c r="HE319" s="148"/>
      <c r="HF319" s="148"/>
      <c r="HG319" s="148"/>
      <c r="HH319" s="148"/>
      <c r="HI319" s="148"/>
      <c r="HJ319" s="148"/>
      <c r="HK319" s="148"/>
      <c r="HL319" s="148"/>
      <c r="HM319" s="148"/>
      <c r="HN319" s="148"/>
      <c r="HO319" s="148"/>
      <c r="HP319" s="148"/>
      <c r="HQ319" s="148"/>
      <c r="HR319" s="148"/>
      <c r="HS319" s="148"/>
      <c r="HT319" s="148"/>
      <c r="HU319" s="148"/>
      <c r="HV319" s="148"/>
      <c r="HW319" s="148"/>
      <c r="HX319" s="148"/>
      <c r="HY319" s="148"/>
      <c r="HZ319" s="148"/>
      <c r="IA319" s="148"/>
      <c r="IB319" s="148"/>
      <c r="IC319" s="148"/>
      <c r="ID319" s="148"/>
      <c r="IE319" s="148"/>
      <c r="IF319" s="148"/>
      <c r="IG319" s="148"/>
      <c r="IH319" s="148"/>
      <c r="II319" s="148"/>
      <c r="IJ319" s="148"/>
      <c r="IK319" s="148"/>
      <c r="IL319" s="148"/>
      <c r="IM319" s="148"/>
      <c r="IN319" s="148"/>
      <c r="IO319" s="148"/>
      <c r="IP319" s="148"/>
      <c r="IQ319" s="148"/>
      <c r="IR319" s="148"/>
      <c r="IS319" s="148"/>
      <c r="IT319" s="148"/>
      <c r="IU319" s="148"/>
      <c r="IV319" s="148"/>
    </row>
    <row r="320" spans="1:256" hidden="1">
      <c r="A320" s="841">
        <v>85407</v>
      </c>
      <c r="B320" s="844" t="s">
        <v>304</v>
      </c>
      <c r="C320" s="178" t="s">
        <v>0</v>
      </c>
      <c r="D320" s="180">
        <f t="shared" si="129"/>
        <v>165454</v>
      </c>
      <c r="E320" s="181">
        <f t="shared" si="130"/>
        <v>165454</v>
      </c>
      <c r="F320" s="181">
        <f t="shared" si="131"/>
        <v>165454</v>
      </c>
      <c r="G320" s="181">
        <v>165454</v>
      </c>
      <c r="H320" s="181">
        <v>0</v>
      </c>
      <c r="I320" s="181">
        <v>0</v>
      </c>
      <c r="J320" s="181">
        <v>0</v>
      </c>
      <c r="K320" s="181">
        <v>0</v>
      </c>
      <c r="L320" s="181">
        <v>0</v>
      </c>
      <c r="M320" s="181">
        <f t="shared" si="132"/>
        <v>0</v>
      </c>
      <c r="N320" s="181">
        <v>0</v>
      </c>
      <c r="O320" s="181">
        <v>0</v>
      </c>
      <c r="P320" s="181">
        <v>0</v>
      </c>
      <c r="Q320" s="182"/>
      <c r="R320" s="182"/>
      <c r="S320" s="182"/>
      <c r="T320" s="182"/>
      <c r="U320" s="182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48"/>
      <c r="GH320" s="148"/>
      <c r="GI320" s="148"/>
      <c r="GJ320" s="148"/>
      <c r="GK320" s="148"/>
      <c r="GL320" s="148"/>
      <c r="GM320" s="148"/>
      <c r="GN320" s="148"/>
      <c r="GO320" s="148"/>
      <c r="GP320" s="148"/>
      <c r="GQ320" s="148"/>
      <c r="GR320" s="148"/>
      <c r="GS320" s="148"/>
      <c r="GT320" s="148"/>
      <c r="GU320" s="148"/>
      <c r="GV320" s="148"/>
      <c r="GW320" s="148"/>
      <c r="GX320" s="148"/>
      <c r="GY320" s="148"/>
      <c r="GZ320" s="148"/>
      <c r="HA320" s="148"/>
      <c r="HB320" s="148"/>
      <c r="HC320" s="148"/>
      <c r="HD320" s="148"/>
      <c r="HE320" s="148"/>
      <c r="HF320" s="148"/>
      <c r="HG320" s="148"/>
      <c r="HH320" s="148"/>
      <c r="HI320" s="148"/>
      <c r="HJ320" s="148"/>
      <c r="HK320" s="148"/>
      <c r="HL320" s="148"/>
      <c r="HM320" s="148"/>
      <c r="HN320" s="148"/>
      <c r="HO320" s="148"/>
      <c r="HP320" s="148"/>
      <c r="HQ320" s="148"/>
      <c r="HR320" s="148"/>
      <c r="HS320" s="148"/>
      <c r="HT320" s="148"/>
      <c r="HU320" s="148"/>
      <c r="HV320" s="148"/>
      <c r="HW320" s="148"/>
      <c r="HX320" s="148"/>
      <c r="HY320" s="148"/>
      <c r="HZ320" s="148"/>
      <c r="IA320" s="148"/>
      <c r="IB320" s="148"/>
      <c r="IC320" s="148"/>
      <c r="ID320" s="148"/>
      <c r="IE320" s="148"/>
      <c r="IF320" s="148"/>
      <c r="IG320" s="148"/>
      <c r="IH320" s="148"/>
      <c r="II320" s="148"/>
      <c r="IJ320" s="148"/>
      <c r="IK320" s="148"/>
      <c r="IL320" s="148"/>
      <c r="IM320" s="148"/>
      <c r="IN320" s="148"/>
      <c r="IO320" s="148"/>
      <c r="IP320" s="148"/>
      <c r="IQ320" s="148"/>
      <c r="IR320" s="148"/>
      <c r="IS320" s="148"/>
      <c r="IT320" s="148"/>
      <c r="IU320" s="148"/>
      <c r="IV320" s="148"/>
    </row>
    <row r="321" spans="1:256" hidden="1">
      <c r="A321" s="842"/>
      <c r="B321" s="845"/>
      <c r="C321" s="178" t="s">
        <v>1</v>
      </c>
      <c r="D321" s="180">
        <f t="shared" si="129"/>
        <v>0</v>
      </c>
      <c r="E321" s="181">
        <f t="shared" si="130"/>
        <v>0</v>
      </c>
      <c r="F321" s="181">
        <f t="shared" si="131"/>
        <v>0</v>
      </c>
      <c r="G321" s="181"/>
      <c r="H321" s="181"/>
      <c r="I321" s="181"/>
      <c r="J321" s="181"/>
      <c r="K321" s="181"/>
      <c r="L321" s="181"/>
      <c r="M321" s="181">
        <f t="shared" si="132"/>
        <v>0</v>
      </c>
      <c r="N321" s="181"/>
      <c r="O321" s="181"/>
      <c r="P321" s="181"/>
      <c r="Q321" s="182"/>
      <c r="R321" s="182"/>
      <c r="S321" s="182"/>
      <c r="T321" s="182"/>
      <c r="U321" s="182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  <c r="GR321" s="148"/>
      <c r="GS321" s="148"/>
      <c r="GT321" s="148"/>
      <c r="GU321" s="148"/>
      <c r="GV321" s="148"/>
      <c r="GW321" s="148"/>
      <c r="GX321" s="148"/>
      <c r="GY321" s="148"/>
      <c r="GZ321" s="148"/>
      <c r="HA321" s="148"/>
      <c r="HB321" s="148"/>
      <c r="HC321" s="148"/>
      <c r="HD321" s="148"/>
      <c r="HE321" s="148"/>
      <c r="HF321" s="148"/>
      <c r="HG321" s="148"/>
      <c r="HH321" s="148"/>
      <c r="HI321" s="148"/>
      <c r="HJ321" s="148"/>
      <c r="HK321" s="148"/>
      <c r="HL321" s="148"/>
      <c r="HM321" s="148"/>
      <c r="HN321" s="148"/>
      <c r="HO321" s="148"/>
      <c r="HP321" s="148"/>
      <c r="HQ321" s="148"/>
      <c r="HR321" s="148"/>
      <c r="HS321" s="148"/>
      <c r="HT321" s="148"/>
      <c r="HU321" s="148"/>
      <c r="HV321" s="148"/>
      <c r="HW321" s="148"/>
      <c r="HX321" s="148"/>
      <c r="HY321" s="148"/>
      <c r="HZ321" s="148"/>
      <c r="IA321" s="148"/>
      <c r="IB321" s="148"/>
      <c r="IC321" s="148"/>
      <c r="ID321" s="148"/>
      <c r="IE321" s="148"/>
      <c r="IF321" s="148"/>
      <c r="IG321" s="148"/>
      <c r="IH321" s="148"/>
      <c r="II321" s="148"/>
      <c r="IJ321" s="148"/>
      <c r="IK321" s="148"/>
      <c r="IL321" s="148"/>
      <c r="IM321" s="148"/>
      <c r="IN321" s="148"/>
      <c r="IO321" s="148"/>
      <c r="IP321" s="148"/>
      <c r="IQ321" s="148"/>
      <c r="IR321" s="148"/>
      <c r="IS321" s="148"/>
      <c r="IT321" s="148"/>
      <c r="IU321" s="148"/>
      <c r="IV321" s="148"/>
    </row>
    <row r="322" spans="1:256" hidden="1">
      <c r="A322" s="843"/>
      <c r="B322" s="846"/>
      <c r="C322" s="178" t="s">
        <v>2</v>
      </c>
      <c r="D322" s="180">
        <f>D320+D321</f>
        <v>165454</v>
      </c>
      <c r="E322" s="181">
        <f t="shared" ref="E322:P322" si="135">E320+E321</f>
        <v>165454</v>
      </c>
      <c r="F322" s="181">
        <f t="shared" si="135"/>
        <v>165454</v>
      </c>
      <c r="G322" s="181">
        <f t="shared" si="135"/>
        <v>165454</v>
      </c>
      <c r="H322" s="181">
        <f t="shared" si="135"/>
        <v>0</v>
      </c>
      <c r="I322" s="181">
        <f t="shared" si="135"/>
        <v>0</v>
      </c>
      <c r="J322" s="181">
        <f t="shared" si="135"/>
        <v>0</v>
      </c>
      <c r="K322" s="181">
        <f t="shared" si="135"/>
        <v>0</v>
      </c>
      <c r="L322" s="181">
        <f t="shared" si="135"/>
        <v>0</v>
      </c>
      <c r="M322" s="181">
        <f t="shared" si="135"/>
        <v>0</v>
      </c>
      <c r="N322" s="181">
        <f t="shared" si="135"/>
        <v>0</v>
      </c>
      <c r="O322" s="181">
        <f t="shared" si="135"/>
        <v>0</v>
      </c>
      <c r="P322" s="181">
        <f t="shared" si="135"/>
        <v>0</v>
      </c>
      <c r="Q322" s="182"/>
      <c r="R322" s="182"/>
      <c r="S322" s="182"/>
      <c r="T322" s="182"/>
      <c r="U322" s="182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  <c r="GR322" s="148"/>
      <c r="GS322" s="148"/>
      <c r="GT322" s="148"/>
      <c r="GU322" s="148"/>
      <c r="GV322" s="148"/>
      <c r="GW322" s="148"/>
      <c r="GX322" s="148"/>
      <c r="GY322" s="148"/>
      <c r="GZ322" s="148"/>
      <c r="HA322" s="148"/>
      <c r="HB322" s="148"/>
      <c r="HC322" s="148"/>
      <c r="HD322" s="148"/>
      <c r="HE322" s="148"/>
      <c r="HF322" s="148"/>
      <c r="HG322" s="148"/>
      <c r="HH322" s="148"/>
      <c r="HI322" s="148"/>
      <c r="HJ322" s="148"/>
      <c r="HK322" s="148"/>
      <c r="HL322" s="148"/>
      <c r="HM322" s="148"/>
      <c r="HN322" s="148"/>
      <c r="HO322" s="148"/>
      <c r="HP322" s="148"/>
      <c r="HQ322" s="148"/>
      <c r="HR322" s="148"/>
      <c r="HS322" s="148"/>
      <c r="HT322" s="148"/>
      <c r="HU322" s="148"/>
      <c r="HV322" s="148"/>
      <c r="HW322" s="148"/>
      <c r="HX322" s="148"/>
      <c r="HY322" s="148"/>
      <c r="HZ322" s="148"/>
      <c r="IA322" s="148"/>
      <c r="IB322" s="148"/>
      <c r="IC322" s="148"/>
      <c r="ID322" s="148"/>
      <c r="IE322" s="148"/>
      <c r="IF322" s="148"/>
      <c r="IG322" s="148"/>
      <c r="IH322" s="148"/>
      <c r="II322" s="148"/>
      <c r="IJ322" s="148"/>
      <c r="IK322" s="148"/>
      <c r="IL322" s="148"/>
      <c r="IM322" s="148"/>
      <c r="IN322" s="148"/>
      <c r="IO322" s="148"/>
      <c r="IP322" s="148"/>
      <c r="IQ322" s="148"/>
      <c r="IR322" s="148"/>
      <c r="IS322" s="148"/>
      <c r="IT322" s="148"/>
      <c r="IU322" s="148"/>
      <c r="IV322" s="148"/>
    </row>
    <row r="323" spans="1:256" hidden="1">
      <c r="A323" s="841">
        <v>85410</v>
      </c>
      <c r="B323" s="844" t="s">
        <v>305</v>
      </c>
      <c r="C323" s="178" t="s">
        <v>0</v>
      </c>
      <c r="D323" s="180">
        <f t="shared" si="129"/>
        <v>2729332</v>
      </c>
      <c r="E323" s="181">
        <f t="shared" si="130"/>
        <v>2429332</v>
      </c>
      <c r="F323" s="181">
        <f t="shared" si="131"/>
        <v>2426832</v>
      </c>
      <c r="G323" s="181">
        <v>2104933</v>
      </c>
      <c r="H323" s="181">
        <v>321899</v>
      </c>
      <c r="I323" s="181">
        <v>0</v>
      </c>
      <c r="J323" s="181">
        <v>2500</v>
      </c>
      <c r="K323" s="181">
        <v>0</v>
      </c>
      <c r="L323" s="181">
        <v>0</v>
      </c>
      <c r="M323" s="181">
        <f t="shared" si="132"/>
        <v>300000</v>
      </c>
      <c r="N323" s="181">
        <v>300000</v>
      </c>
      <c r="O323" s="181">
        <v>0</v>
      </c>
      <c r="P323" s="181">
        <v>0</v>
      </c>
      <c r="Q323" s="182"/>
      <c r="R323" s="182"/>
      <c r="S323" s="182"/>
      <c r="T323" s="182"/>
      <c r="U323" s="182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  <c r="GR323" s="148"/>
      <c r="GS323" s="148"/>
      <c r="GT323" s="148"/>
      <c r="GU323" s="148"/>
      <c r="GV323" s="148"/>
      <c r="GW323" s="148"/>
      <c r="GX323" s="148"/>
      <c r="GY323" s="148"/>
      <c r="GZ323" s="148"/>
      <c r="HA323" s="148"/>
      <c r="HB323" s="148"/>
      <c r="HC323" s="148"/>
      <c r="HD323" s="148"/>
      <c r="HE323" s="148"/>
      <c r="HF323" s="148"/>
      <c r="HG323" s="148"/>
      <c r="HH323" s="148"/>
      <c r="HI323" s="148"/>
      <c r="HJ323" s="148"/>
      <c r="HK323" s="148"/>
      <c r="HL323" s="148"/>
      <c r="HM323" s="148"/>
      <c r="HN323" s="148"/>
      <c r="HO323" s="148"/>
      <c r="HP323" s="148"/>
      <c r="HQ323" s="148"/>
      <c r="HR323" s="148"/>
      <c r="HS323" s="148"/>
      <c r="HT323" s="148"/>
      <c r="HU323" s="148"/>
      <c r="HV323" s="148"/>
      <c r="HW323" s="148"/>
      <c r="HX323" s="148"/>
      <c r="HY323" s="148"/>
      <c r="HZ323" s="148"/>
      <c r="IA323" s="148"/>
      <c r="IB323" s="148"/>
      <c r="IC323" s="148"/>
      <c r="ID323" s="148"/>
      <c r="IE323" s="148"/>
      <c r="IF323" s="148"/>
      <c r="IG323" s="148"/>
      <c r="IH323" s="148"/>
      <c r="II323" s="148"/>
      <c r="IJ323" s="148"/>
      <c r="IK323" s="148"/>
      <c r="IL323" s="148"/>
      <c r="IM323" s="148"/>
      <c r="IN323" s="148"/>
      <c r="IO323" s="148"/>
      <c r="IP323" s="148"/>
      <c r="IQ323" s="148"/>
      <c r="IR323" s="148"/>
      <c r="IS323" s="148"/>
      <c r="IT323" s="148"/>
      <c r="IU323" s="148"/>
      <c r="IV323" s="148"/>
    </row>
    <row r="324" spans="1:256" hidden="1">
      <c r="A324" s="842"/>
      <c r="B324" s="845"/>
      <c r="C324" s="178" t="s">
        <v>1</v>
      </c>
      <c r="D324" s="180">
        <f t="shared" si="129"/>
        <v>0</v>
      </c>
      <c r="E324" s="181">
        <f t="shared" si="130"/>
        <v>0</v>
      </c>
      <c r="F324" s="181">
        <f t="shared" si="131"/>
        <v>0</v>
      </c>
      <c r="G324" s="181"/>
      <c r="H324" s="181"/>
      <c r="I324" s="181"/>
      <c r="J324" s="181"/>
      <c r="K324" s="181"/>
      <c r="L324" s="181"/>
      <c r="M324" s="181">
        <f t="shared" si="132"/>
        <v>0</v>
      </c>
      <c r="N324" s="181"/>
      <c r="O324" s="181"/>
      <c r="P324" s="181"/>
      <c r="Q324" s="182"/>
      <c r="R324" s="182"/>
      <c r="S324" s="182"/>
      <c r="T324" s="182"/>
      <c r="U324" s="182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  <c r="GR324" s="148"/>
      <c r="GS324" s="148"/>
      <c r="GT324" s="148"/>
      <c r="GU324" s="148"/>
      <c r="GV324" s="148"/>
      <c r="GW324" s="148"/>
      <c r="GX324" s="148"/>
      <c r="GY324" s="148"/>
      <c r="GZ324" s="148"/>
      <c r="HA324" s="148"/>
      <c r="HB324" s="148"/>
      <c r="HC324" s="148"/>
      <c r="HD324" s="148"/>
      <c r="HE324" s="148"/>
      <c r="HF324" s="148"/>
      <c r="HG324" s="148"/>
      <c r="HH324" s="148"/>
      <c r="HI324" s="148"/>
      <c r="HJ324" s="148"/>
      <c r="HK324" s="148"/>
      <c r="HL324" s="148"/>
      <c r="HM324" s="148"/>
      <c r="HN324" s="148"/>
      <c r="HO324" s="148"/>
      <c r="HP324" s="148"/>
      <c r="HQ324" s="148"/>
      <c r="HR324" s="148"/>
      <c r="HS324" s="148"/>
      <c r="HT324" s="148"/>
      <c r="HU324" s="148"/>
      <c r="HV324" s="148"/>
      <c r="HW324" s="148"/>
      <c r="HX324" s="148"/>
      <c r="HY324" s="148"/>
      <c r="HZ324" s="148"/>
      <c r="IA324" s="148"/>
      <c r="IB324" s="148"/>
      <c r="IC324" s="148"/>
      <c r="ID324" s="148"/>
      <c r="IE324" s="148"/>
      <c r="IF324" s="148"/>
      <c r="IG324" s="148"/>
      <c r="IH324" s="148"/>
      <c r="II324" s="148"/>
      <c r="IJ324" s="148"/>
      <c r="IK324" s="148"/>
      <c r="IL324" s="148"/>
      <c r="IM324" s="148"/>
      <c r="IN324" s="148"/>
      <c r="IO324" s="148"/>
      <c r="IP324" s="148"/>
      <c r="IQ324" s="148"/>
      <c r="IR324" s="148"/>
      <c r="IS324" s="148"/>
      <c r="IT324" s="148"/>
      <c r="IU324" s="148"/>
      <c r="IV324" s="148"/>
    </row>
    <row r="325" spans="1:256" hidden="1">
      <c r="A325" s="843"/>
      <c r="B325" s="846"/>
      <c r="C325" s="178" t="s">
        <v>2</v>
      </c>
      <c r="D325" s="180">
        <f>D323+D324</f>
        <v>2729332</v>
      </c>
      <c r="E325" s="181">
        <f t="shared" ref="E325:P325" si="136">E323+E324</f>
        <v>2429332</v>
      </c>
      <c r="F325" s="181">
        <f t="shared" si="136"/>
        <v>2426832</v>
      </c>
      <c r="G325" s="181">
        <f t="shared" si="136"/>
        <v>2104933</v>
      </c>
      <c r="H325" s="181">
        <f t="shared" si="136"/>
        <v>321899</v>
      </c>
      <c r="I325" s="181">
        <f t="shared" si="136"/>
        <v>0</v>
      </c>
      <c r="J325" s="181">
        <f t="shared" si="136"/>
        <v>2500</v>
      </c>
      <c r="K325" s="181">
        <f t="shared" si="136"/>
        <v>0</v>
      </c>
      <c r="L325" s="181">
        <f t="shared" si="136"/>
        <v>0</v>
      </c>
      <c r="M325" s="181">
        <f t="shared" si="136"/>
        <v>300000</v>
      </c>
      <c r="N325" s="181">
        <f t="shared" si="136"/>
        <v>300000</v>
      </c>
      <c r="O325" s="181">
        <f t="shared" si="136"/>
        <v>0</v>
      </c>
      <c r="P325" s="181">
        <f t="shared" si="136"/>
        <v>0</v>
      </c>
      <c r="Q325" s="182"/>
      <c r="R325" s="182"/>
      <c r="S325" s="182"/>
      <c r="T325" s="182"/>
      <c r="U325" s="182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  <c r="GR325" s="148"/>
      <c r="GS325" s="148"/>
      <c r="GT325" s="148"/>
      <c r="GU325" s="148"/>
      <c r="GV325" s="148"/>
      <c r="GW325" s="148"/>
      <c r="GX325" s="148"/>
      <c r="GY325" s="148"/>
      <c r="GZ325" s="148"/>
      <c r="HA325" s="148"/>
      <c r="HB325" s="148"/>
      <c r="HC325" s="148"/>
      <c r="HD325" s="148"/>
      <c r="HE325" s="148"/>
      <c r="HF325" s="148"/>
      <c r="HG325" s="148"/>
      <c r="HH325" s="148"/>
      <c r="HI325" s="148"/>
      <c r="HJ325" s="148"/>
      <c r="HK325" s="148"/>
      <c r="HL325" s="148"/>
      <c r="HM325" s="148"/>
      <c r="HN325" s="148"/>
      <c r="HO325" s="148"/>
      <c r="HP325" s="148"/>
      <c r="HQ325" s="148"/>
      <c r="HR325" s="148"/>
      <c r="HS325" s="148"/>
      <c r="HT325" s="148"/>
      <c r="HU325" s="148"/>
      <c r="HV325" s="148"/>
      <c r="HW325" s="148"/>
      <c r="HX325" s="148"/>
      <c r="HY325" s="148"/>
      <c r="HZ325" s="148"/>
      <c r="IA325" s="148"/>
      <c r="IB325" s="148"/>
      <c r="IC325" s="148"/>
      <c r="ID325" s="148"/>
      <c r="IE325" s="148"/>
      <c r="IF325" s="148"/>
      <c r="IG325" s="148"/>
      <c r="IH325" s="148"/>
      <c r="II325" s="148"/>
      <c r="IJ325" s="148"/>
      <c r="IK325" s="148"/>
      <c r="IL325" s="148"/>
      <c r="IM325" s="148"/>
      <c r="IN325" s="148"/>
      <c r="IO325" s="148"/>
      <c r="IP325" s="148"/>
      <c r="IQ325" s="148"/>
      <c r="IR325" s="148"/>
      <c r="IS325" s="148"/>
      <c r="IT325" s="148"/>
      <c r="IU325" s="148"/>
      <c r="IV325" s="148"/>
    </row>
    <row r="326" spans="1:256" hidden="1">
      <c r="A326" s="841">
        <v>85415</v>
      </c>
      <c r="B326" s="856" t="s">
        <v>306</v>
      </c>
      <c r="C326" s="178" t="s">
        <v>0</v>
      </c>
      <c r="D326" s="170">
        <f t="shared" si="129"/>
        <v>278400</v>
      </c>
      <c r="E326" s="171">
        <f t="shared" si="130"/>
        <v>278400</v>
      </c>
      <c r="F326" s="171">
        <f t="shared" si="131"/>
        <v>0</v>
      </c>
      <c r="G326" s="171">
        <v>0</v>
      </c>
      <c r="H326" s="171">
        <v>0</v>
      </c>
      <c r="I326" s="171">
        <v>278400</v>
      </c>
      <c r="J326" s="171">
        <v>0</v>
      </c>
      <c r="K326" s="171">
        <v>0</v>
      </c>
      <c r="L326" s="171">
        <v>0</v>
      </c>
      <c r="M326" s="171">
        <f t="shared" si="132"/>
        <v>0</v>
      </c>
      <c r="N326" s="171">
        <v>0</v>
      </c>
      <c r="O326" s="171">
        <v>0</v>
      </c>
      <c r="P326" s="171">
        <v>0</v>
      </c>
      <c r="Q326" s="172"/>
      <c r="R326" s="172"/>
      <c r="S326" s="172"/>
      <c r="T326" s="172"/>
      <c r="U326" s="172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3"/>
      <c r="BY326" s="163"/>
      <c r="BZ326" s="163"/>
      <c r="CA326" s="163"/>
      <c r="CB326" s="163"/>
      <c r="CC326" s="163"/>
      <c r="CD326" s="163"/>
      <c r="CE326" s="163"/>
      <c r="CF326" s="163"/>
      <c r="CG326" s="163"/>
      <c r="CH326" s="163"/>
      <c r="CI326" s="163"/>
      <c r="CJ326" s="163"/>
      <c r="CK326" s="163"/>
      <c r="CL326" s="163"/>
      <c r="CM326" s="163"/>
      <c r="CN326" s="163"/>
      <c r="CO326" s="163"/>
      <c r="CP326" s="163"/>
      <c r="CQ326" s="163"/>
      <c r="CR326" s="163"/>
      <c r="CS326" s="163"/>
      <c r="CT326" s="163"/>
      <c r="CU326" s="163"/>
      <c r="CV326" s="163"/>
      <c r="CW326" s="163"/>
      <c r="CX326" s="163"/>
      <c r="CY326" s="163"/>
      <c r="CZ326" s="163"/>
      <c r="DA326" s="163"/>
      <c r="DB326" s="163"/>
      <c r="DC326" s="163"/>
      <c r="DD326" s="163"/>
      <c r="DE326" s="163"/>
      <c r="DF326" s="163"/>
      <c r="DG326" s="163"/>
      <c r="DH326" s="163"/>
      <c r="DI326" s="163"/>
      <c r="DJ326" s="163"/>
      <c r="DK326" s="163"/>
      <c r="DL326" s="163"/>
      <c r="DM326" s="163"/>
      <c r="DN326" s="163"/>
      <c r="DO326" s="163"/>
      <c r="DP326" s="163"/>
      <c r="DQ326" s="163"/>
      <c r="DR326" s="163"/>
      <c r="DS326" s="163"/>
      <c r="DT326" s="163"/>
      <c r="DU326" s="163"/>
      <c r="DV326" s="163"/>
      <c r="DW326" s="163"/>
      <c r="DX326" s="163"/>
      <c r="DY326" s="163"/>
      <c r="DZ326" s="163"/>
      <c r="EA326" s="163"/>
      <c r="EB326" s="163"/>
      <c r="EC326" s="163"/>
      <c r="ED326" s="163"/>
      <c r="EE326" s="163"/>
      <c r="EF326" s="163"/>
      <c r="EG326" s="163"/>
      <c r="EH326" s="163"/>
      <c r="EI326" s="163"/>
      <c r="EJ326" s="163"/>
      <c r="EK326" s="163"/>
      <c r="EL326" s="163"/>
      <c r="EM326" s="163"/>
      <c r="EN326" s="163"/>
      <c r="EO326" s="163"/>
      <c r="EP326" s="163"/>
      <c r="EQ326" s="163"/>
      <c r="ER326" s="163"/>
      <c r="ES326" s="163"/>
      <c r="ET326" s="163"/>
      <c r="EU326" s="163"/>
      <c r="EV326" s="163"/>
      <c r="EW326" s="163"/>
      <c r="EX326" s="163"/>
      <c r="EY326" s="163"/>
      <c r="EZ326" s="163"/>
      <c r="FA326" s="163"/>
      <c r="FB326" s="163"/>
      <c r="FC326" s="163"/>
      <c r="FD326" s="163"/>
      <c r="FE326" s="163"/>
      <c r="FF326" s="163"/>
      <c r="FG326" s="163"/>
      <c r="FH326" s="163"/>
      <c r="FI326" s="163"/>
      <c r="FJ326" s="163"/>
      <c r="FK326" s="163"/>
      <c r="FL326" s="163"/>
      <c r="FM326" s="163"/>
      <c r="FN326" s="163"/>
      <c r="FO326" s="163"/>
      <c r="FP326" s="163"/>
      <c r="FQ326" s="163"/>
      <c r="FR326" s="163"/>
      <c r="FS326" s="163"/>
      <c r="FT326" s="163"/>
      <c r="FU326" s="163"/>
      <c r="FV326" s="163"/>
      <c r="FW326" s="163"/>
      <c r="FX326" s="163"/>
      <c r="FY326" s="163"/>
      <c r="FZ326" s="163"/>
      <c r="GA326" s="163"/>
      <c r="GB326" s="163"/>
      <c r="GC326" s="163"/>
      <c r="GD326" s="163"/>
      <c r="GE326" s="163"/>
      <c r="GF326" s="163"/>
      <c r="GG326" s="163"/>
      <c r="GH326" s="163"/>
      <c r="GI326" s="163"/>
      <c r="GJ326" s="163"/>
      <c r="GK326" s="163"/>
      <c r="GL326" s="163"/>
      <c r="GM326" s="163"/>
      <c r="GN326" s="163"/>
      <c r="GO326" s="163"/>
      <c r="GP326" s="163"/>
      <c r="GQ326" s="163"/>
      <c r="GR326" s="163"/>
      <c r="GS326" s="163"/>
      <c r="GT326" s="163"/>
      <c r="GU326" s="163"/>
      <c r="GV326" s="163"/>
      <c r="GW326" s="163"/>
      <c r="GX326" s="163"/>
      <c r="GY326" s="163"/>
      <c r="GZ326" s="163"/>
      <c r="HA326" s="163"/>
      <c r="HB326" s="163"/>
      <c r="HC326" s="163"/>
      <c r="HD326" s="163"/>
      <c r="HE326" s="163"/>
      <c r="HF326" s="163"/>
      <c r="HG326" s="163"/>
      <c r="HH326" s="163"/>
      <c r="HI326" s="163"/>
      <c r="HJ326" s="163"/>
      <c r="HK326" s="163"/>
      <c r="HL326" s="163"/>
      <c r="HM326" s="163"/>
      <c r="HN326" s="163"/>
      <c r="HO326" s="163"/>
      <c r="HP326" s="163"/>
      <c r="HQ326" s="163"/>
      <c r="HR326" s="163"/>
      <c r="HS326" s="163"/>
      <c r="HT326" s="163"/>
      <c r="HU326" s="163"/>
      <c r="HV326" s="163"/>
      <c r="HW326" s="163"/>
      <c r="HX326" s="163"/>
      <c r="HY326" s="163"/>
      <c r="HZ326" s="163"/>
      <c r="IA326" s="163"/>
      <c r="IB326" s="163"/>
      <c r="IC326" s="163"/>
      <c r="ID326" s="163"/>
      <c r="IE326" s="163"/>
      <c r="IF326" s="163"/>
      <c r="IG326" s="163"/>
      <c r="IH326" s="163"/>
      <c r="II326" s="163"/>
      <c r="IJ326" s="163"/>
      <c r="IK326" s="163"/>
      <c r="IL326" s="163"/>
      <c r="IM326" s="163"/>
      <c r="IN326" s="163"/>
      <c r="IO326" s="163"/>
      <c r="IP326" s="163"/>
      <c r="IQ326" s="163"/>
      <c r="IR326" s="163"/>
      <c r="IS326" s="163"/>
      <c r="IT326" s="163"/>
      <c r="IU326" s="163"/>
      <c r="IV326" s="163"/>
    </row>
    <row r="327" spans="1:256" hidden="1">
      <c r="A327" s="842"/>
      <c r="B327" s="857"/>
      <c r="C327" s="178" t="s">
        <v>1</v>
      </c>
      <c r="D327" s="170">
        <f t="shared" si="129"/>
        <v>0</v>
      </c>
      <c r="E327" s="171">
        <f t="shared" si="130"/>
        <v>0</v>
      </c>
      <c r="F327" s="171">
        <f t="shared" si="131"/>
        <v>0</v>
      </c>
      <c r="G327" s="171"/>
      <c r="H327" s="171"/>
      <c r="I327" s="171"/>
      <c r="J327" s="171"/>
      <c r="K327" s="171"/>
      <c r="L327" s="171"/>
      <c r="M327" s="171">
        <f t="shared" si="132"/>
        <v>0</v>
      </c>
      <c r="N327" s="171"/>
      <c r="O327" s="171"/>
      <c r="P327" s="171"/>
      <c r="Q327" s="172"/>
      <c r="R327" s="172"/>
      <c r="S327" s="172"/>
      <c r="T327" s="172"/>
      <c r="U327" s="172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  <c r="BE327" s="163"/>
      <c r="BF327" s="163"/>
      <c r="BG327" s="163"/>
      <c r="BH327" s="163"/>
      <c r="BI327" s="163"/>
      <c r="BJ327" s="163"/>
      <c r="BK327" s="163"/>
      <c r="BL327" s="163"/>
      <c r="BM327" s="163"/>
      <c r="BN327" s="163"/>
      <c r="BO327" s="163"/>
      <c r="BP327" s="163"/>
      <c r="BQ327" s="163"/>
      <c r="BR327" s="163"/>
      <c r="BS327" s="163"/>
      <c r="BT327" s="163"/>
      <c r="BU327" s="163"/>
      <c r="BV327" s="163"/>
      <c r="BW327" s="163"/>
      <c r="BX327" s="163"/>
      <c r="BY327" s="163"/>
      <c r="BZ327" s="163"/>
      <c r="CA327" s="163"/>
      <c r="CB327" s="163"/>
      <c r="CC327" s="163"/>
      <c r="CD327" s="163"/>
      <c r="CE327" s="163"/>
      <c r="CF327" s="163"/>
      <c r="CG327" s="163"/>
      <c r="CH327" s="163"/>
      <c r="CI327" s="163"/>
      <c r="CJ327" s="163"/>
      <c r="CK327" s="163"/>
      <c r="CL327" s="163"/>
      <c r="CM327" s="163"/>
      <c r="CN327" s="163"/>
      <c r="CO327" s="163"/>
      <c r="CP327" s="163"/>
      <c r="CQ327" s="163"/>
      <c r="CR327" s="163"/>
      <c r="CS327" s="163"/>
      <c r="CT327" s="163"/>
      <c r="CU327" s="163"/>
      <c r="CV327" s="163"/>
      <c r="CW327" s="163"/>
      <c r="CX327" s="163"/>
      <c r="CY327" s="163"/>
      <c r="CZ327" s="163"/>
      <c r="DA327" s="163"/>
      <c r="DB327" s="163"/>
      <c r="DC327" s="163"/>
      <c r="DD327" s="163"/>
      <c r="DE327" s="163"/>
      <c r="DF327" s="163"/>
      <c r="DG327" s="163"/>
      <c r="DH327" s="163"/>
      <c r="DI327" s="163"/>
      <c r="DJ327" s="163"/>
      <c r="DK327" s="163"/>
      <c r="DL327" s="163"/>
      <c r="DM327" s="163"/>
      <c r="DN327" s="163"/>
      <c r="DO327" s="163"/>
      <c r="DP327" s="163"/>
      <c r="DQ327" s="163"/>
      <c r="DR327" s="163"/>
      <c r="DS327" s="163"/>
      <c r="DT327" s="163"/>
      <c r="DU327" s="163"/>
      <c r="DV327" s="163"/>
      <c r="DW327" s="163"/>
      <c r="DX327" s="163"/>
      <c r="DY327" s="163"/>
      <c r="DZ327" s="163"/>
      <c r="EA327" s="163"/>
      <c r="EB327" s="163"/>
      <c r="EC327" s="163"/>
      <c r="ED327" s="163"/>
      <c r="EE327" s="163"/>
      <c r="EF327" s="163"/>
      <c r="EG327" s="163"/>
      <c r="EH327" s="163"/>
      <c r="EI327" s="163"/>
      <c r="EJ327" s="163"/>
      <c r="EK327" s="163"/>
      <c r="EL327" s="163"/>
      <c r="EM327" s="163"/>
      <c r="EN327" s="163"/>
      <c r="EO327" s="163"/>
      <c r="EP327" s="163"/>
      <c r="EQ327" s="163"/>
      <c r="ER327" s="163"/>
      <c r="ES327" s="163"/>
      <c r="ET327" s="163"/>
      <c r="EU327" s="163"/>
      <c r="EV327" s="163"/>
      <c r="EW327" s="163"/>
      <c r="EX327" s="163"/>
      <c r="EY327" s="163"/>
      <c r="EZ327" s="163"/>
      <c r="FA327" s="163"/>
      <c r="FB327" s="163"/>
      <c r="FC327" s="163"/>
      <c r="FD327" s="163"/>
      <c r="FE327" s="163"/>
      <c r="FF327" s="163"/>
      <c r="FG327" s="163"/>
      <c r="FH327" s="163"/>
      <c r="FI327" s="163"/>
      <c r="FJ327" s="163"/>
      <c r="FK327" s="163"/>
      <c r="FL327" s="163"/>
      <c r="FM327" s="163"/>
      <c r="FN327" s="163"/>
      <c r="FO327" s="163"/>
      <c r="FP327" s="163"/>
      <c r="FQ327" s="163"/>
      <c r="FR327" s="163"/>
      <c r="FS327" s="163"/>
      <c r="FT327" s="163"/>
      <c r="FU327" s="163"/>
      <c r="FV327" s="163"/>
      <c r="FW327" s="163"/>
      <c r="FX327" s="163"/>
      <c r="FY327" s="163"/>
      <c r="FZ327" s="163"/>
      <c r="GA327" s="163"/>
      <c r="GB327" s="163"/>
      <c r="GC327" s="163"/>
      <c r="GD327" s="163"/>
      <c r="GE327" s="163"/>
      <c r="GF327" s="163"/>
      <c r="GG327" s="163"/>
      <c r="GH327" s="163"/>
      <c r="GI327" s="163"/>
      <c r="GJ327" s="163"/>
      <c r="GK327" s="163"/>
      <c r="GL327" s="163"/>
      <c r="GM327" s="163"/>
      <c r="GN327" s="163"/>
      <c r="GO327" s="163"/>
      <c r="GP327" s="163"/>
      <c r="GQ327" s="163"/>
      <c r="GR327" s="163"/>
      <c r="GS327" s="163"/>
      <c r="GT327" s="163"/>
      <c r="GU327" s="163"/>
      <c r="GV327" s="163"/>
      <c r="GW327" s="163"/>
      <c r="GX327" s="163"/>
      <c r="GY327" s="163"/>
      <c r="GZ327" s="163"/>
      <c r="HA327" s="163"/>
      <c r="HB327" s="163"/>
      <c r="HC327" s="163"/>
      <c r="HD327" s="163"/>
      <c r="HE327" s="163"/>
      <c r="HF327" s="163"/>
      <c r="HG327" s="163"/>
      <c r="HH327" s="163"/>
      <c r="HI327" s="163"/>
      <c r="HJ327" s="163"/>
      <c r="HK327" s="163"/>
      <c r="HL327" s="163"/>
      <c r="HM327" s="163"/>
      <c r="HN327" s="163"/>
      <c r="HO327" s="163"/>
      <c r="HP327" s="163"/>
      <c r="HQ327" s="163"/>
      <c r="HR327" s="163"/>
      <c r="HS327" s="163"/>
      <c r="HT327" s="163"/>
      <c r="HU327" s="163"/>
      <c r="HV327" s="163"/>
      <c r="HW327" s="163"/>
      <c r="HX327" s="163"/>
      <c r="HY327" s="163"/>
      <c r="HZ327" s="163"/>
      <c r="IA327" s="163"/>
      <c r="IB327" s="163"/>
      <c r="IC327" s="163"/>
      <c r="ID327" s="163"/>
      <c r="IE327" s="163"/>
      <c r="IF327" s="163"/>
      <c r="IG327" s="163"/>
      <c r="IH327" s="163"/>
      <c r="II327" s="163"/>
      <c r="IJ327" s="163"/>
      <c r="IK327" s="163"/>
      <c r="IL327" s="163"/>
      <c r="IM327" s="163"/>
      <c r="IN327" s="163"/>
      <c r="IO327" s="163"/>
      <c r="IP327" s="163"/>
      <c r="IQ327" s="163"/>
      <c r="IR327" s="163"/>
      <c r="IS327" s="163"/>
      <c r="IT327" s="163"/>
      <c r="IU327" s="163"/>
      <c r="IV327" s="163"/>
    </row>
    <row r="328" spans="1:256" hidden="1">
      <c r="A328" s="843"/>
      <c r="B328" s="858"/>
      <c r="C328" s="178" t="s">
        <v>2</v>
      </c>
      <c r="D328" s="170">
        <f>D326+D327</f>
        <v>278400</v>
      </c>
      <c r="E328" s="171">
        <f t="shared" ref="E328:P328" si="137">E326+E327</f>
        <v>278400</v>
      </c>
      <c r="F328" s="171">
        <f t="shared" si="137"/>
        <v>0</v>
      </c>
      <c r="G328" s="171">
        <f t="shared" si="137"/>
        <v>0</v>
      </c>
      <c r="H328" s="171">
        <f t="shared" si="137"/>
        <v>0</v>
      </c>
      <c r="I328" s="171">
        <f t="shared" si="137"/>
        <v>278400</v>
      </c>
      <c r="J328" s="171">
        <f t="shared" si="137"/>
        <v>0</v>
      </c>
      <c r="K328" s="171">
        <f t="shared" si="137"/>
        <v>0</v>
      </c>
      <c r="L328" s="171">
        <f t="shared" si="137"/>
        <v>0</v>
      </c>
      <c r="M328" s="171">
        <f t="shared" si="137"/>
        <v>0</v>
      </c>
      <c r="N328" s="171">
        <f t="shared" si="137"/>
        <v>0</v>
      </c>
      <c r="O328" s="171">
        <f t="shared" si="137"/>
        <v>0</v>
      </c>
      <c r="P328" s="171">
        <f t="shared" si="137"/>
        <v>0</v>
      </c>
      <c r="Q328" s="172"/>
      <c r="R328" s="172"/>
      <c r="S328" s="172"/>
      <c r="T328" s="172"/>
      <c r="U328" s="172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  <c r="BN328" s="163"/>
      <c r="BO328" s="163"/>
      <c r="BP328" s="163"/>
      <c r="BQ328" s="163"/>
      <c r="BR328" s="163"/>
      <c r="BS328" s="163"/>
      <c r="BT328" s="163"/>
      <c r="BU328" s="163"/>
      <c r="BV328" s="163"/>
      <c r="BW328" s="163"/>
      <c r="BX328" s="163"/>
      <c r="BY328" s="163"/>
      <c r="BZ328" s="163"/>
      <c r="CA328" s="163"/>
      <c r="CB328" s="163"/>
      <c r="CC328" s="163"/>
      <c r="CD328" s="163"/>
      <c r="CE328" s="163"/>
      <c r="CF328" s="163"/>
      <c r="CG328" s="163"/>
      <c r="CH328" s="163"/>
      <c r="CI328" s="163"/>
      <c r="CJ328" s="163"/>
      <c r="CK328" s="163"/>
      <c r="CL328" s="163"/>
      <c r="CM328" s="163"/>
      <c r="CN328" s="163"/>
      <c r="CO328" s="163"/>
      <c r="CP328" s="163"/>
      <c r="CQ328" s="163"/>
      <c r="CR328" s="163"/>
      <c r="CS328" s="163"/>
      <c r="CT328" s="163"/>
      <c r="CU328" s="163"/>
      <c r="CV328" s="163"/>
      <c r="CW328" s="163"/>
      <c r="CX328" s="163"/>
      <c r="CY328" s="163"/>
      <c r="CZ328" s="163"/>
      <c r="DA328" s="163"/>
      <c r="DB328" s="163"/>
      <c r="DC328" s="163"/>
      <c r="DD328" s="163"/>
      <c r="DE328" s="163"/>
      <c r="DF328" s="163"/>
      <c r="DG328" s="163"/>
      <c r="DH328" s="163"/>
      <c r="DI328" s="163"/>
      <c r="DJ328" s="163"/>
      <c r="DK328" s="163"/>
      <c r="DL328" s="163"/>
      <c r="DM328" s="163"/>
      <c r="DN328" s="163"/>
      <c r="DO328" s="163"/>
      <c r="DP328" s="163"/>
      <c r="DQ328" s="163"/>
      <c r="DR328" s="163"/>
      <c r="DS328" s="163"/>
      <c r="DT328" s="163"/>
      <c r="DU328" s="163"/>
      <c r="DV328" s="163"/>
      <c r="DW328" s="163"/>
      <c r="DX328" s="163"/>
      <c r="DY328" s="163"/>
      <c r="DZ328" s="163"/>
      <c r="EA328" s="163"/>
      <c r="EB328" s="163"/>
      <c r="EC328" s="163"/>
      <c r="ED328" s="163"/>
      <c r="EE328" s="163"/>
      <c r="EF328" s="163"/>
      <c r="EG328" s="163"/>
      <c r="EH328" s="163"/>
      <c r="EI328" s="163"/>
      <c r="EJ328" s="163"/>
      <c r="EK328" s="163"/>
      <c r="EL328" s="163"/>
      <c r="EM328" s="163"/>
      <c r="EN328" s="163"/>
      <c r="EO328" s="163"/>
      <c r="EP328" s="163"/>
      <c r="EQ328" s="163"/>
      <c r="ER328" s="163"/>
      <c r="ES328" s="163"/>
      <c r="ET328" s="163"/>
      <c r="EU328" s="163"/>
      <c r="EV328" s="163"/>
      <c r="EW328" s="163"/>
      <c r="EX328" s="163"/>
      <c r="EY328" s="163"/>
      <c r="EZ328" s="163"/>
      <c r="FA328" s="163"/>
      <c r="FB328" s="163"/>
      <c r="FC328" s="163"/>
      <c r="FD328" s="163"/>
      <c r="FE328" s="163"/>
      <c r="FF328" s="163"/>
      <c r="FG328" s="163"/>
      <c r="FH328" s="163"/>
      <c r="FI328" s="163"/>
      <c r="FJ328" s="163"/>
      <c r="FK328" s="163"/>
      <c r="FL328" s="163"/>
      <c r="FM328" s="163"/>
      <c r="FN328" s="163"/>
      <c r="FO328" s="163"/>
      <c r="FP328" s="163"/>
      <c r="FQ328" s="163"/>
      <c r="FR328" s="163"/>
      <c r="FS328" s="163"/>
      <c r="FT328" s="163"/>
      <c r="FU328" s="163"/>
      <c r="FV328" s="163"/>
      <c r="FW328" s="163"/>
      <c r="FX328" s="163"/>
      <c r="FY328" s="163"/>
      <c r="FZ328" s="163"/>
      <c r="GA328" s="163"/>
      <c r="GB328" s="163"/>
      <c r="GC328" s="163"/>
      <c r="GD328" s="163"/>
      <c r="GE328" s="163"/>
      <c r="GF328" s="163"/>
      <c r="GG328" s="163"/>
      <c r="GH328" s="163"/>
      <c r="GI328" s="163"/>
      <c r="GJ328" s="163"/>
      <c r="GK328" s="163"/>
      <c r="GL328" s="163"/>
      <c r="GM328" s="163"/>
      <c r="GN328" s="163"/>
      <c r="GO328" s="163"/>
      <c r="GP328" s="163"/>
      <c r="GQ328" s="163"/>
      <c r="GR328" s="163"/>
      <c r="GS328" s="163"/>
      <c r="GT328" s="163"/>
      <c r="GU328" s="163"/>
      <c r="GV328" s="163"/>
      <c r="GW328" s="163"/>
      <c r="GX328" s="163"/>
      <c r="GY328" s="163"/>
      <c r="GZ328" s="163"/>
      <c r="HA328" s="163"/>
      <c r="HB328" s="163"/>
      <c r="HC328" s="163"/>
      <c r="HD328" s="163"/>
      <c r="HE328" s="163"/>
      <c r="HF328" s="163"/>
      <c r="HG328" s="163"/>
      <c r="HH328" s="163"/>
      <c r="HI328" s="163"/>
      <c r="HJ328" s="163"/>
      <c r="HK328" s="163"/>
      <c r="HL328" s="163"/>
      <c r="HM328" s="163"/>
      <c r="HN328" s="163"/>
      <c r="HO328" s="163"/>
      <c r="HP328" s="163"/>
      <c r="HQ328" s="163"/>
      <c r="HR328" s="163"/>
      <c r="HS328" s="163"/>
      <c r="HT328" s="163"/>
      <c r="HU328" s="163"/>
      <c r="HV328" s="163"/>
      <c r="HW328" s="163"/>
      <c r="HX328" s="163"/>
      <c r="HY328" s="163"/>
      <c r="HZ328" s="163"/>
      <c r="IA328" s="163"/>
      <c r="IB328" s="163"/>
      <c r="IC328" s="163"/>
      <c r="ID328" s="163"/>
      <c r="IE328" s="163"/>
      <c r="IF328" s="163"/>
      <c r="IG328" s="163"/>
      <c r="IH328" s="163"/>
      <c r="II328" s="163"/>
      <c r="IJ328" s="163"/>
      <c r="IK328" s="163"/>
      <c r="IL328" s="163"/>
      <c r="IM328" s="163"/>
      <c r="IN328" s="163"/>
      <c r="IO328" s="163"/>
      <c r="IP328" s="163"/>
      <c r="IQ328" s="163"/>
      <c r="IR328" s="163"/>
      <c r="IS328" s="163"/>
      <c r="IT328" s="163"/>
      <c r="IU328" s="163"/>
      <c r="IV328" s="163"/>
    </row>
    <row r="329" spans="1:256" hidden="1">
      <c r="A329" s="841">
        <v>85416</v>
      </c>
      <c r="B329" s="856" t="s">
        <v>307</v>
      </c>
      <c r="C329" s="178" t="s">
        <v>0</v>
      </c>
      <c r="D329" s="170">
        <f t="shared" si="129"/>
        <v>6804280</v>
      </c>
      <c r="E329" s="171">
        <f t="shared" si="130"/>
        <v>6804280</v>
      </c>
      <c r="F329" s="171">
        <f t="shared" si="131"/>
        <v>0</v>
      </c>
      <c r="G329" s="171">
        <v>0</v>
      </c>
      <c r="H329" s="171">
        <v>0</v>
      </c>
      <c r="I329" s="171">
        <v>0</v>
      </c>
      <c r="J329" s="171">
        <v>600000</v>
      </c>
      <c r="K329" s="171">
        <f>5273638+930642</f>
        <v>6204280</v>
      </c>
      <c r="L329" s="171">
        <v>0</v>
      </c>
      <c r="M329" s="171">
        <f t="shared" si="132"/>
        <v>0</v>
      </c>
      <c r="N329" s="171">
        <v>0</v>
      </c>
      <c r="O329" s="171">
        <v>0</v>
      </c>
      <c r="P329" s="171">
        <v>0</v>
      </c>
      <c r="Q329" s="172"/>
      <c r="R329" s="172"/>
      <c r="S329" s="172"/>
      <c r="T329" s="172"/>
      <c r="U329" s="172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  <c r="AS329" s="163"/>
      <c r="AT329" s="163"/>
      <c r="AU329" s="163"/>
      <c r="AV329" s="163"/>
      <c r="AW329" s="163"/>
      <c r="AX329" s="163"/>
      <c r="AY329" s="163"/>
      <c r="AZ329" s="163"/>
      <c r="BA329" s="163"/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3"/>
      <c r="BL329" s="163"/>
      <c r="BM329" s="163"/>
      <c r="BN329" s="163"/>
      <c r="BO329" s="163"/>
      <c r="BP329" s="163"/>
      <c r="BQ329" s="163"/>
      <c r="BR329" s="163"/>
      <c r="BS329" s="163"/>
      <c r="BT329" s="163"/>
      <c r="BU329" s="163"/>
      <c r="BV329" s="163"/>
      <c r="BW329" s="163"/>
      <c r="BX329" s="163"/>
      <c r="BY329" s="163"/>
      <c r="BZ329" s="163"/>
      <c r="CA329" s="163"/>
      <c r="CB329" s="163"/>
      <c r="CC329" s="163"/>
      <c r="CD329" s="163"/>
      <c r="CE329" s="163"/>
      <c r="CF329" s="163"/>
      <c r="CG329" s="163"/>
      <c r="CH329" s="163"/>
      <c r="CI329" s="163"/>
      <c r="CJ329" s="163"/>
      <c r="CK329" s="163"/>
      <c r="CL329" s="163"/>
      <c r="CM329" s="163"/>
      <c r="CN329" s="163"/>
      <c r="CO329" s="163"/>
      <c r="CP329" s="163"/>
      <c r="CQ329" s="163"/>
      <c r="CR329" s="163"/>
      <c r="CS329" s="163"/>
      <c r="CT329" s="163"/>
      <c r="CU329" s="163"/>
      <c r="CV329" s="163"/>
      <c r="CW329" s="163"/>
      <c r="CX329" s="163"/>
      <c r="CY329" s="163"/>
      <c r="CZ329" s="163"/>
      <c r="DA329" s="163"/>
      <c r="DB329" s="163"/>
      <c r="DC329" s="163"/>
      <c r="DD329" s="163"/>
      <c r="DE329" s="163"/>
      <c r="DF329" s="163"/>
      <c r="DG329" s="163"/>
      <c r="DH329" s="163"/>
      <c r="DI329" s="163"/>
      <c r="DJ329" s="163"/>
      <c r="DK329" s="163"/>
      <c r="DL329" s="163"/>
      <c r="DM329" s="163"/>
      <c r="DN329" s="163"/>
      <c r="DO329" s="163"/>
      <c r="DP329" s="163"/>
      <c r="DQ329" s="163"/>
      <c r="DR329" s="163"/>
      <c r="DS329" s="163"/>
      <c r="DT329" s="163"/>
      <c r="DU329" s="163"/>
      <c r="DV329" s="163"/>
      <c r="DW329" s="163"/>
      <c r="DX329" s="163"/>
      <c r="DY329" s="163"/>
      <c r="DZ329" s="163"/>
      <c r="EA329" s="163"/>
      <c r="EB329" s="163"/>
      <c r="EC329" s="163"/>
      <c r="ED329" s="163"/>
      <c r="EE329" s="163"/>
      <c r="EF329" s="163"/>
      <c r="EG329" s="163"/>
      <c r="EH329" s="163"/>
      <c r="EI329" s="163"/>
      <c r="EJ329" s="163"/>
      <c r="EK329" s="163"/>
      <c r="EL329" s="163"/>
      <c r="EM329" s="163"/>
      <c r="EN329" s="163"/>
      <c r="EO329" s="163"/>
      <c r="EP329" s="163"/>
      <c r="EQ329" s="163"/>
      <c r="ER329" s="163"/>
      <c r="ES329" s="163"/>
      <c r="ET329" s="163"/>
      <c r="EU329" s="163"/>
      <c r="EV329" s="163"/>
      <c r="EW329" s="163"/>
      <c r="EX329" s="163"/>
      <c r="EY329" s="163"/>
      <c r="EZ329" s="163"/>
      <c r="FA329" s="163"/>
      <c r="FB329" s="163"/>
      <c r="FC329" s="163"/>
      <c r="FD329" s="163"/>
      <c r="FE329" s="163"/>
      <c r="FF329" s="163"/>
      <c r="FG329" s="163"/>
      <c r="FH329" s="163"/>
      <c r="FI329" s="163"/>
      <c r="FJ329" s="163"/>
      <c r="FK329" s="163"/>
      <c r="FL329" s="163"/>
      <c r="FM329" s="163"/>
      <c r="FN329" s="163"/>
      <c r="FO329" s="163"/>
      <c r="FP329" s="163"/>
      <c r="FQ329" s="163"/>
      <c r="FR329" s="163"/>
      <c r="FS329" s="163"/>
      <c r="FT329" s="163"/>
      <c r="FU329" s="163"/>
      <c r="FV329" s="163"/>
      <c r="FW329" s="163"/>
      <c r="FX329" s="163"/>
      <c r="FY329" s="163"/>
      <c r="FZ329" s="163"/>
      <c r="GA329" s="163"/>
      <c r="GB329" s="163"/>
      <c r="GC329" s="163"/>
      <c r="GD329" s="163"/>
      <c r="GE329" s="163"/>
      <c r="GF329" s="163"/>
      <c r="GG329" s="163"/>
      <c r="GH329" s="163"/>
      <c r="GI329" s="163"/>
      <c r="GJ329" s="163"/>
      <c r="GK329" s="163"/>
      <c r="GL329" s="163"/>
      <c r="GM329" s="163"/>
      <c r="GN329" s="163"/>
      <c r="GO329" s="163"/>
      <c r="GP329" s="163"/>
      <c r="GQ329" s="163"/>
      <c r="GR329" s="163"/>
      <c r="GS329" s="163"/>
      <c r="GT329" s="163"/>
      <c r="GU329" s="163"/>
      <c r="GV329" s="163"/>
      <c r="GW329" s="163"/>
      <c r="GX329" s="163"/>
      <c r="GY329" s="163"/>
      <c r="GZ329" s="163"/>
      <c r="HA329" s="163"/>
      <c r="HB329" s="163"/>
      <c r="HC329" s="163"/>
      <c r="HD329" s="163"/>
      <c r="HE329" s="163"/>
      <c r="HF329" s="163"/>
      <c r="HG329" s="163"/>
      <c r="HH329" s="163"/>
      <c r="HI329" s="163"/>
      <c r="HJ329" s="163"/>
      <c r="HK329" s="163"/>
      <c r="HL329" s="163"/>
      <c r="HM329" s="163"/>
      <c r="HN329" s="163"/>
      <c r="HO329" s="163"/>
      <c r="HP329" s="163"/>
      <c r="HQ329" s="163"/>
      <c r="HR329" s="163"/>
      <c r="HS329" s="163"/>
      <c r="HT329" s="163"/>
      <c r="HU329" s="163"/>
      <c r="HV329" s="163"/>
      <c r="HW329" s="163"/>
      <c r="HX329" s="163"/>
      <c r="HY329" s="163"/>
      <c r="HZ329" s="163"/>
      <c r="IA329" s="163"/>
      <c r="IB329" s="163"/>
      <c r="IC329" s="163"/>
      <c r="ID329" s="163"/>
      <c r="IE329" s="163"/>
      <c r="IF329" s="163"/>
      <c r="IG329" s="163"/>
      <c r="IH329" s="163"/>
      <c r="II329" s="163"/>
      <c r="IJ329" s="163"/>
      <c r="IK329" s="163"/>
      <c r="IL329" s="163"/>
      <c r="IM329" s="163"/>
      <c r="IN329" s="163"/>
      <c r="IO329" s="163"/>
      <c r="IP329" s="163"/>
      <c r="IQ329" s="163"/>
      <c r="IR329" s="163"/>
      <c r="IS329" s="163"/>
      <c r="IT329" s="163"/>
      <c r="IU329" s="163"/>
      <c r="IV329" s="163"/>
    </row>
    <row r="330" spans="1:256" hidden="1">
      <c r="A330" s="842"/>
      <c r="B330" s="857"/>
      <c r="C330" s="178" t="s">
        <v>1</v>
      </c>
      <c r="D330" s="170">
        <f t="shared" si="129"/>
        <v>0</v>
      </c>
      <c r="E330" s="171">
        <f t="shared" si="130"/>
        <v>0</v>
      </c>
      <c r="F330" s="171">
        <f t="shared" si="131"/>
        <v>0</v>
      </c>
      <c r="G330" s="171"/>
      <c r="H330" s="171"/>
      <c r="I330" s="171"/>
      <c r="J330" s="171"/>
      <c r="K330" s="171"/>
      <c r="L330" s="171"/>
      <c r="M330" s="171">
        <f t="shared" si="132"/>
        <v>0</v>
      </c>
      <c r="N330" s="171"/>
      <c r="O330" s="171"/>
      <c r="P330" s="171"/>
      <c r="Q330" s="172"/>
      <c r="R330" s="172"/>
      <c r="S330" s="172"/>
      <c r="T330" s="172"/>
      <c r="U330" s="172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63"/>
      <c r="BD330" s="163"/>
      <c r="BE330" s="163"/>
      <c r="BF330" s="163"/>
      <c r="BG330" s="163"/>
      <c r="BH330" s="163"/>
      <c r="BI330" s="163"/>
      <c r="BJ330" s="163"/>
      <c r="BK330" s="163"/>
      <c r="BL330" s="163"/>
      <c r="BM330" s="163"/>
      <c r="BN330" s="163"/>
      <c r="BO330" s="163"/>
      <c r="BP330" s="163"/>
      <c r="BQ330" s="163"/>
      <c r="BR330" s="163"/>
      <c r="BS330" s="163"/>
      <c r="BT330" s="163"/>
      <c r="BU330" s="163"/>
      <c r="BV330" s="163"/>
      <c r="BW330" s="163"/>
      <c r="BX330" s="163"/>
      <c r="BY330" s="163"/>
      <c r="BZ330" s="163"/>
      <c r="CA330" s="163"/>
      <c r="CB330" s="163"/>
      <c r="CC330" s="163"/>
      <c r="CD330" s="163"/>
      <c r="CE330" s="163"/>
      <c r="CF330" s="163"/>
      <c r="CG330" s="163"/>
      <c r="CH330" s="163"/>
      <c r="CI330" s="163"/>
      <c r="CJ330" s="163"/>
      <c r="CK330" s="163"/>
      <c r="CL330" s="163"/>
      <c r="CM330" s="163"/>
      <c r="CN330" s="163"/>
      <c r="CO330" s="163"/>
      <c r="CP330" s="163"/>
      <c r="CQ330" s="163"/>
      <c r="CR330" s="163"/>
      <c r="CS330" s="163"/>
      <c r="CT330" s="163"/>
      <c r="CU330" s="163"/>
      <c r="CV330" s="163"/>
      <c r="CW330" s="163"/>
      <c r="CX330" s="163"/>
      <c r="CY330" s="163"/>
      <c r="CZ330" s="163"/>
      <c r="DA330" s="163"/>
      <c r="DB330" s="163"/>
      <c r="DC330" s="163"/>
      <c r="DD330" s="163"/>
      <c r="DE330" s="163"/>
      <c r="DF330" s="163"/>
      <c r="DG330" s="163"/>
      <c r="DH330" s="163"/>
      <c r="DI330" s="163"/>
      <c r="DJ330" s="163"/>
      <c r="DK330" s="163"/>
      <c r="DL330" s="163"/>
      <c r="DM330" s="163"/>
      <c r="DN330" s="163"/>
      <c r="DO330" s="163"/>
      <c r="DP330" s="163"/>
      <c r="DQ330" s="163"/>
      <c r="DR330" s="163"/>
      <c r="DS330" s="163"/>
      <c r="DT330" s="163"/>
      <c r="DU330" s="163"/>
      <c r="DV330" s="163"/>
      <c r="DW330" s="163"/>
      <c r="DX330" s="163"/>
      <c r="DY330" s="163"/>
      <c r="DZ330" s="163"/>
      <c r="EA330" s="163"/>
      <c r="EB330" s="163"/>
      <c r="EC330" s="163"/>
      <c r="ED330" s="163"/>
      <c r="EE330" s="163"/>
      <c r="EF330" s="163"/>
      <c r="EG330" s="163"/>
      <c r="EH330" s="163"/>
      <c r="EI330" s="163"/>
      <c r="EJ330" s="163"/>
      <c r="EK330" s="163"/>
      <c r="EL330" s="163"/>
      <c r="EM330" s="163"/>
      <c r="EN330" s="163"/>
      <c r="EO330" s="163"/>
      <c r="EP330" s="163"/>
      <c r="EQ330" s="163"/>
      <c r="ER330" s="163"/>
      <c r="ES330" s="163"/>
      <c r="ET330" s="163"/>
      <c r="EU330" s="163"/>
      <c r="EV330" s="163"/>
      <c r="EW330" s="163"/>
      <c r="EX330" s="163"/>
      <c r="EY330" s="163"/>
      <c r="EZ330" s="163"/>
      <c r="FA330" s="163"/>
      <c r="FB330" s="163"/>
      <c r="FC330" s="163"/>
      <c r="FD330" s="163"/>
      <c r="FE330" s="163"/>
      <c r="FF330" s="163"/>
      <c r="FG330" s="163"/>
      <c r="FH330" s="163"/>
      <c r="FI330" s="163"/>
      <c r="FJ330" s="163"/>
      <c r="FK330" s="163"/>
      <c r="FL330" s="163"/>
      <c r="FM330" s="163"/>
      <c r="FN330" s="163"/>
      <c r="FO330" s="163"/>
      <c r="FP330" s="163"/>
      <c r="FQ330" s="163"/>
      <c r="FR330" s="163"/>
      <c r="FS330" s="163"/>
      <c r="FT330" s="163"/>
      <c r="FU330" s="163"/>
      <c r="FV330" s="163"/>
      <c r="FW330" s="163"/>
      <c r="FX330" s="163"/>
      <c r="FY330" s="163"/>
      <c r="FZ330" s="163"/>
      <c r="GA330" s="163"/>
      <c r="GB330" s="163"/>
      <c r="GC330" s="163"/>
      <c r="GD330" s="163"/>
      <c r="GE330" s="163"/>
      <c r="GF330" s="163"/>
      <c r="GG330" s="163"/>
      <c r="GH330" s="163"/>
      <c r="GI330" s="163"/>
      <c r="GJ330" s="163"/>
      <c r="GK330" s="163"/>
      <c r="GL330" s="163"/>
      <c r="GM330" s="163"/>
      <c r="GN330" s="163"/>
      <c r="GO330" s="163"/>
      <c r="GP330" s="163"/>
      <c r="GQ330" s="163"/>
      <c r="GR330" s="163"/>
      <c r="GS330" s="163"/>
      <c r="GT330" s="163"/>
      <c r="GU330" s="163"/>
      <c r="GV330" s="163"/>
      <c r="GW330" s="163"/>
      <c r="GX330" s="163"/>
      <c r="GY330" s="163"/>
      <c r="GZ330" s="163"/>
      <c r="HA330" s="163"/>
      <c r="HB330" s="163"/>
      <c r="HC330" s="163"/>
      <c r="HD330" s="163"/>
      <c r="HE330" s="163"/>
      <c r="HF330" s="163"/>
      <c r="HG330" s="163"/>
      <c r="HH330" s="163"/>
      <c r="HI330" s="163"/>
      <c r="HJ330" s="163"/>
      <c r="HK330" s="163"/>
      <c r="HL330" s="163"/>
      <c r="HM330" s="163"/>
      <c r="HN330" s="163"/>
      <c r="HO330" s="163"/>
      <c r="HP330" s="163"/>
      <c r="HQ330" s="163"/>
      <c r="HR330" s="163"/>
      <c r="HS330" s="163"/>
      <c r="HT330" s="163"/>
      <c r="HU330" s="163"/>
      <c r="HV330" s="163"/>
      <c r="HW330" s="163"/>
      <c r="HX330" s="163"/>
      <c r="HY330" s="163"/>
      <c r="HZ330" s="163"/>
      <c r="IA330" s="163"/>
      <c r="IB330" s="163"/>
      <c r="IC330" s="163"/>
      <c r="ID330" s="163"/>
      <c r="IE330" s="163"/>
      <c r="IF330" s="163"/>
      <c r="IG330" s="163"/>
      <c r="IH330" s="163"/>
      <c r="II330" s="163"/>
      <c r="IJ330" s="163"/>
      <c r="IK330" s="163"/>
      <c r="IL330" s="163"/>
      <c r="IM330" s="163"/>
      <c r="IN330" s="163"/>
      <c r="IO330" s="163"/>
      <c r="IP330" s="163"/>
      <c r="IQ330" s="163"/>
      <c r="IR330" s="163"/>
      <c r="IS330" s="163"/>
      <c r="IT330" s="163"/>
      <c r="IU330" s="163"/>
      <c r="IV330" s="163"/>
    </row>
    <row r="331" spans="1:256" hidden="1">
      <c r="A331" s="843"/>
      <c r="B331" s="858"/>
      <c r="C331" s="178" t="s">
        <v>2</v>
      </c>
      <c r="D331" s="170">
        <f>D329+D330</f>
        <v>6804280</v>
      </c>
      <c r="E331" s="171">
        <f t="shared" ref="E331:P331" si="138">E329+E330</f>
        <v>6804280</v>
      </c>
      <c r="F331" s="171">
        <f t="shared" si="138"/>
        <v>0</v>
      </c>
      <c r="G331" s="171">
        <f t="shared" si="138"/>
        <v>0</v>
      </c>
      <c r="H331" s="171">
        <f t="shared" si="138"/>
        <v>0</v>
      </c>
      <c r="I331" s="171">
        <f t="shared" si="138"/>
        <v>0</v>
      </c>
      <c r="J331" s="171">
        <f t="shared" si="138"/>
        <v>600000</v>
      </c>
      <c r="K331" s="171">
        <f t="shared" si="138"/>
        <v>6204280</v>
      </c>
      <c r="L331" s="171">
        <f t="shared" si="138"/>
        <v>0</v>
      </c>
      <c r="M331" s="171">
        <f t="shared" si="138"/>
        <v>0</v>
      </c>
      <c r="N331" s="171">
        <f t="shared" si="138"/>
        <v>0</v>
      </c>
      <c r="O331" s="171">
        <f t="shared" si="138"/>
        <v>0</v>
      </c>
      <c r="P331" s="171">
        <f t="shared" si="138"/>
        <v>0</v>
      </c>
      <c r="Q331" s="172"/>
      <c r="R331" s="172"/>
      <c r="S331" s="172"/>
      <c r="T331" s="172"/>
      <c r="U331" s="172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63"/>
      <c r="BD331" s="163"/>
      <c r="BE331" s="163"/>
      <c r="BF331" s="163"/>
      <c r="BG331" s="163"/>
      <c r="BH331" s="163"/>
      <c r="BI331" s="163"/>
      <c r="BJ331" s="163"/>
      <c r="BK331" s="163"/>
      <c r="BL331" s="163"/>
      <c r="BM331" s="163"/>
      <c r="BN331" s="163"/>
      <c r="BO331" s="163"/>
      <c r="BP331" s="163"/>
      <c r="BQ331" s="163"/>
      <c r="BR331" s="163"/>
      <c r="BS331" s="163"/>
      <c r="BT331" s="163"/>
      <c r="BU331" s="163"/>
      <c r="BV331" s="163"/>
      <c r="BW331" s="163"/>
      <c r="BX331" s="163"/>
      <c r="BY331" s="163"/>
      <c r="BZ331" s="163"/>
      <c r="CA331" s="163"/>
      <c r="CB331" s="163"/>
      <c r="CC331" s="163"/>
      <c r="CD331" s="163"/>
      <c r="CE331" s="163"/>
      <c r="CF331" s="163"/>
      <c r="CG331" s="163"/>
      <c r="CH331" s="163"/>
      <c r="CI331" s="163"/>
      <c r="CJ331" s="163"/>
      <c r="CK331" s="163"/>
      <c r="CL331" s="163"/>
      <c r="CM331" s="163"/>
      <c r="CN331" s="163"/>
      <c r="CO331" s="163"/>
      <c r="CP331" s="163"/>
      <c r="CQ331" s="163"/>
      <c r="CR331" s="163"/>
      <c r="CS331" s="163"/>
      <c r="CT331" s="163"/>
      <c r="CU331" s="163"/>
      <c r="CV331" s="163"/>
      <c r="CW331" s="163"/>
      <c r="CX331" s="163"/>
      <c r="CY331" s="163"/>
      <c r="CZ331" s="163"/>
      <c r="DA331" s="163"/>
      <c r="DB331" s="163"/>
      <c r="DC331" s="163"/>
      <c r="DD331" s="163"/>
      <c r="DE331" s="163"/>
      <c r="DF331" s="163"/>
      <c r="DG331" s="163"/>
      <c r="DH331" s="163"/>
      <c r="DI331" s="163"/>
      <c r="DJ331" s="163"/>
      <c r="DK331" s="163"/>
      <c r="DL331" s="163"/>
      <c r="DM331" s="163"/>
      <c r="DN331" s="163"/>
      <c r="DO331" s="163"/>
      <c r="DP331" s="163"/>
      <c r="DQ331" s="163"/>
      <c r="DR331" s="163"/>
      <c r="DS331" s="163"/>
      <c r="DT331" s="163"/>
      <c r="DU331" s="163"/>
      <c r="DV331" s="163"/>
      <c r="DW331" s="163"/>
      <c r="DX331" s="163"/>
      <c r="DY331" s="163"/>
      <c r="DZ331" s="163"/>
      <c r="EA331" s="163"/>
      <c r="EB331" s="163"/>
      <c r="EC331" s="163"/>
      <c r="ED331" s="163"/>
      <c r="EE331" s="163"/>
      <c r="EF331" s="163"/>
      <c r="EG331" s="163"/>
      <c r="EH331" s="163"/>
      <c r="EI331" s="163"/>
      <c r="EJ331" s="163"/>
      <c r="EK331" s="163"/>
      <c r="EL331" s="163"/>
      <c r="EM331" s="163"/>
      <c r="EN331" s="163"/>
      <c r="EO331" s="163"/>
      <c r="EP331" s="163"/>
      <c r="EQ331" s="163"/>
      <c r="ER331" s="163"/>
      <c r="ES331" s="163"/>
      <c r="ET331" s="163"/>
      <c r="EU331" s="163"/>
      <c r="EV331" s="163"/>
      <c r="EW331" s="163"/>
      <c r="EX331" s="163"/>
      <c r="EY331" s="163"/>
      <c r="EZ331" s="163"/>
      <c r="FA331" s="163"/>
      <c r="FB331" s="163"/>
      <c r="FC331" s="163"/>
      <c r="FD331" s="163"/>
      <c r="FE331" s="163"/>
      <c r="FF331" s="163"/>
      <c r="FG331" s="163"/>
      <c r="FH331" s="163"/>
      <c r="FI331" s="163"/>
      <c r="FJ331" s="163"/>
      <c r="FK331" s="163"/>
      <c r="FL331" s="163"/>
      <c r="FM331" s="163"/>
      <c r="FN331" s="163"/>
      <c r="FO331" s="163"/>
      <c r="FP331" s="163"/>
      <c r="FQ331" s="163"/>
      <c r="FR331" s="163"/>
      <c r="FS331" s="163"/>
      <c r="FT331" s="163"/>
      <c r="FU331" s="163"/>
      <c r="FV331" s="163"/>
      <c r="FW331" s="163"/>
      <c r="FX331" s="163"/>
      <c r="FY331" s="163"/>
      <c r="FZ331" s="163"/>
      <c r="GA331" s="163"/>
      <c r="GB331" s="163"/>
      <c r="GC331" s="163"/>
      <c r="GD331" s="163"/>
      <c r="GE331" s="163"/>
      <c r="GF331" s="163"/>
      <c r="GG331" s="163"/>
      <c r="GH331" s="163"/>
      <c r="GI331" s="163"/>
      <c r="GJ331" s="163"/>
      <c r="GK331" s="163"/>
      <c r="GL331" s="163"/>
      <c r="GM331" s="163"/>
      <c r="GN331" s="163"/>
      <c r="GO331" s="163"/>
      <c r="GP331" s="163"/>
      <c r="GQ331" s="163"/>
      <c r="GR331" s="163"/>
      <c r="GS331" s="163"/>
      <c r="GT331" s="163"/>
      <c r="GU331" s="163"/>
      <c r="GV331" s="163"/>
      <c r="GW331" s="163"/>
      <c r="GX331" s="163"/>
      <c r="GY331" s="163"/>
      <c r="GZ331" s="163"/>
      <c r="HA331" s="163"/>
      <c r="HB331" s="163"/>
      <c r="HC331" s="163"/>
      <c r="HD331" s="163"/>
      <c r="HE331" s="163"/>
      <c r="HF331" s="163"/>
      <c r="HG331" s="163"/>
      <c r="HH331" s="163"/>
      <c r="HI331" s="163"/>
      <c r="HJ331" s="163"/>
      <c r="HK331" s="163"/>
      <c r="HL331" s="163"/>
      <c r="HM331" s="163"/>
      <c r="HN331" s="163"/>
      <c r="HO331" s="163"/>
      <c r="HP331" s="163"/>
      <c r="HQ331" s="163"/>
      <c r="HR331" s="163"/>
      <c r="HS331" s="163"/>
      <c r="HT331" s="163"/>
      <c r="HU331" s="163"/>
      <c r="HV331" s="163"/>
      <c r="HW331" s="163"/>
      <c r="HX331" s="163"/>
      <c r="HY331" s="163"/>
      <c r="HZ331" s="163"/>
      <c r="IA331" s="163"/>
      <c r="IB331" s="163"/>
      <c r="IC331" s="163"/>
      <c r="ID331" s="163"/>
      <c r="IE331" s="163"/>
      <c r="IF331" s="163"/>
      <c r="IG331" s="163"/>
      <c r="IH331" s="163"/>
      <c r="II331" s="163"/>
      <c r="IJ331" s="163"/>
      <c r="IK331" s="163"/>
      <c r="IL331" s="163"/>
      <c r="IM331" s="163"/>
      <c r="IN331" s="163"/>
      <c r="IO331" s="163"/>
      <c r="IP331" s="163"/>
      <c r="IQ331" s="163"/>
      <c r="IR331" s="163"/>
      <c r="IS331" s="163"/>
      <c r="IT331" s="163"/>
      <c r="IU331" s="163"/>
      <c r="IV331" s="163"/>
    </row>
    <row r="332" spans="1:256">
      <c r="A332" s="841">
        <v>85446</v>
      </c>
      <c r="B332" s="844" t="s">
        <v>270</v>
      </c>
      <c r="C332" s="178" t="s">
        <v>0</v>
      </c>
      <c r="D332" s="180">
        <f t="shared" si="129"/>
        <v>200000</v>
      </c>
      <c r="E332" s="181">
        <f t="shared" si="130"/>
        <v>200000</v>
      </c>
      <c r="F332" s="181">
        <f t="shared" si="131"/>
        <v>200000</v>
      </c>
      <c r="G332" s="181">
        <v>0</v>
      </c>
      <c r="H332" s="181">
        <v>200000</v>
      </c>
      <c r="I332" s="181">
        <v>0</v>
      </c>
      <c r="J332" s="181">
        <v>0</v>
      </c>
      <c r="K332" s="181">
        <v>0</v>
      </c>
      <c r="L332" s="181">
        <v>0</v>
      </c>
      <c r="M332" s="181">
        <f t="shared" si="132"/>
        <v>0</v>
      </c>
      <c r="N332" s="181">
        <v>0</v>
      </c>
      <c r="O332" s="181">
        <v>0</v>
      </c>
      <c r="P332" s="181">
        <v>0</v>
      </c>
      <c r="Q332" s="182"/>
      <c r="R332" s="182"/>
      <c r="S332" s="182"/>
      <c r="T332" s="182"/>
      <c r="U332" s="182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48"/>
      <c r="GH332" s="148"/>
      <c r="GI332" s="148"/>
      <c r="GJ332" s="148"/>
      <c r="GK332" s="148"/>
      <c r="GL332" s="148"/>
      <c r="GM332" s="148"/>
      <c r="GN332" s="148"/>
      <c r="GO332" s="148"/>
      <c r="GP332" s="148"/>
      <c r="GQ332" s="148"/>
      <c r="GR332" s="148"/>
      <c r="GS332" s="148"/>
      <c r="GT332" s="148"/>
      <c r="GU332" s="148"/>
      <c r="GV332" s="148"/>
      <c r="GW332" s="148"/>
      <c r="GX332" s="148"/>
      <c r="GY332" s="148"/>
      <c r="GZ332" s="148"/>
      <c r="HA332" s="148"/>
      <c r="HB332" s="148"/>
      <c r="HC332" s="148"/>
      <c r="HD332" s="148"/>
      <c r="HE332" s="148"/>
      <c r="HF332" s="148"/>
      <c r="HG332" s="148"/>
      <c r="HH332" s="148"/>
      <c r="HI332" s="148"/>
      <c r="HJ332" s="148"/>
      <c r="HK332" s="148"/>
      <c r="HL332" s="148"/>
      <c r="HM332" s="148"/>
      <c r="HN332" s="148"/>
      <c r="HO332" s="148"/>
      <c r="HP332" s="148"/>
      <c r="HQ332" s="148"/>
      <c r="HR332" s="148"/>
      <c r="HS332" s="148"/>
      <c r="HT332" s="148"/>
      <c r="HU332" s="148"/>
      <c r="HV332" s="148"/>
      <c r="HW332" s="148"/>
      <c r="HX332" s="148"/>
      <c r="HY332" s="148"/>
      <c r="HZ332" s="148"/>
      <c r="IA332" s="148"/>
      <c r="IB332" s="148"/>
      <c r="IC332" s="148"/>
      <c r="ID332" s="148"/>
      <c r="IE332" s="148"/>
      <c r="IF332" s="148"/>
      <c r="IG332" s="148"/>
      <c r="IH332" s="148"/>
      <c r="II332" s="148"/>
      <c r="IJ332" s="148"/>
      <c r="IK332" s="148"/>
      <c r="IL332" s="148"/>
      <c r="IM332" s="148"/>
      <c r="IN332" s="148"/>
      <c r="IO332" s="148"/>
      <c r="IP332" s="148"/>
      <c r="IQ332" s="148"/>
      <c r="IR332" s="148"/>
      <c r="IS332" s="148"/>
      <c r="IT332" s="148"/>
      <c r="IU332" s="148"/>
      <c r="IV332" s="148"/>
    </row>
    <row r="333" spans="1:256">
      <c r="A333" s="842"/>
      <c r="B333" s="845"/>
      <c r="C333" s="178" t="s">
        <v>1</v>
      </c>
      <c r="D333" s="180">
        <f t="shared" si="129"/>
        <v>-58922</v>
      </c>
      <c r="E333" s="181">
        <f t="shared" si="130"/>
        <v>-58922</v>
      </c>
      <c r="F333" s="181">
        <f t="shared" si="131"/>
        <v>-58922</v>
      </c>
      <c r="G333" s="181"/>
      <c r="H333" s="181">
        <v>-58922</v>
      </c>
      <c r="I333" s="181"/>
      <c r="J333" s="181"/>
      <c r="K333" s="181"/>
      <c r="L333" s="181"/>
      <c r="M333" s="181">
        <f t="shared" si="132"/>
        <v>0</v>
      </c>
      <c r="N333" s="181"/>
      <c r="O333" s="181"/>
      <c r="P333" s="181"/>
      <c r="Q333" s="182"/>
      <c r="R333" s="182"/>
      <c r="S333" s="182"/>
      <c r="T333" s="182"/>
      <c r="U333" s="182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  <c r="GR333" s="148"/>
      <c r="GS333" s="148"/>
      <c r="GT333" s="148"/>
      <c r="GU333" s="148"/>
      <c r="GV333" s="148"/>
      <c r="GW333" s="148"/>
      <c r="GX333" s="148"/>
      <c r="GY333" s="148"/>
      <c r="GZ333" s="148"/>
      <c r="HA333" s="148"/>
      <c r="HB333" s="148"/>
      <c r="HC333" s="148"/>
      <c r="HD333" s="148"/>
      <c r="HE333" s="148"/>
      <c r="HF333" s="148"/>
      <c r="HG333" s="148"/>
      <c r="HH333" s="148"/>
      <c r="HI333" s="148"/>
      <c r="HJ333" s="148"/>
      <c r="HK333" s="148"/>
      <c r="HL333" s="148"/>
      <c r="HM333" s="148"/>
      <c r="HN333" s="148"/>
      <c r="HO333" s="148"/>
      <c r="HP333" s="148"/>
      <c r="HQ333" s="148"/>
      <c r="HR333" s="148"/>
      <c r="HS333" s="148"/>
      <c r="HT333" s="148"/>
      <c r="HU333" s="148"/>
      <c r="HV333" s="148"/>
      <c r="HW333" s="148"/>
      <c r="HX333" s="148"/>
      <c r="HY333" s="148"/>
      <c r="HZ333" s="148"/>
      <c r="IA333" s="148"/>
      <c r="IB333" s="148"/>
      <c r="IC333" s="148"/>
      <c r="ID333" s="148"/>
      <c r="IE333" s="148"/>
      <c r="IF333" s="148"/>
      <c r="IG333" s="148"/>
      <c r="IH333" s="148"/>
      <c r="II333" s="148"/>
      <c r="IJ333" s="148"/>
      <c r="IK333" s="148"/>
      <c r="IL333" s="148"/>
      <c r="IM333" s="148"/>
      <c r="IN333" s="148"/>
      <c r="IO333" s="148"/>
      <c r="IP333" s="148"/>
      <c r="IQ333" s="148"/>
      <c r="IR333" s="148"/>
      <c r="IS333" s="148"/>
      <c r="IT333" s="148"/>
      <c r="IU333" s="148"/>
      <c r="IV333" s="148"/>
    </row>
    <row r="334" spans="1:256">
      <c r="A334" s="843"/>
      <c r="B334" s="846"/>
      <c r="C334" s="178" t="s">
        <v>2</v>
      </c>
      <c r="D334" s="180">
        <f>D332+D333</f>
        <v>141078</v>
      </c>
      <c r="E334" s="181">
        <f t="shared" ref="E334:P334" si="139">E332+E333</f>
        <v>141078</v>
      </c>
      <c r="F334" s="181">
        <f t="shared" si="139"/>
        <v>141078</v>
      </c>
      <c r="G334" s="181">
        <f t="shared" si="139"/>
        <v>0</v>
      </c>
      <c r="H334" s="181">
        <f t="shared" si="139"/>
        <v>141078</v>
      </c>
      <c r="I334" s="181">
        <f t="shared" si="139"/>
        <v>0</v>
      </c>
      <c r="J334" s="181">
        <f t="shared" si="139"/>
        <v>0</v>
      </c>
      <c r="K334" s="181">
        <f t="shared" si="139"/>
        <v>0</v>
      </c>
      <c r="L334" s="181">
        <f t="shared" si="139"/>
        <v>0</v>
      </c>
      <c r="M334" s="181">
        <f t="shared" si="139"/>
        <v>0</v>
      </c>
      <c r="N334" s="181">
        <f t="shared" si="139"/>
        <v>0</v>
      </c>
      <c r="O334" s="181">
        <f t="shared" si="139"/>
        <v>0</v>
      </c>
      <c r="P334" s="181">
        <f t="shared" si="139"/>
        <v>0</v>
      </c>
      <c r="Q334" s="182"/>
      <c r="R334" s="182"/>
      <c r="S334" s="182"/>
      <c r="T334" s="182"/>
      <c r="U334" s="182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  <c r="GR334" s="148"/>
      <c r="GS334" s="148"/>
      <c r="GT334" s="148"/>
      <c r="GU334" s="148"/>
      <c r="GV334" s="148"/>
      <c r="GW334" s="148"/>
      <c r="GX334" s="148"/>
      <c r="GY334" s="148"/>
      <c r="GZ334" s="148"/>
      <c r="HA334" s="148"/>
      <c r="HB334" s="148"/>
      <c r="HC334" s="148"/>
      <c r="HD334" s="148"/>
      <c r="HE334" s="148"/>
      <c r="HF334" s="148"/>
      <c r="HG334" s="148"/>
      <c r="HH334" s="148"/>
      <c r="HI334" s="148"/>
      <c r="HJ334" s="148"/>
      <c r="HK334" s="148"/>
      <c r="HL334" s="148"/>
      <c r="HM334" s="148"/>
      <c r="HN334" s="148"/>
      <c r="HO334" s="148"/>
      <c r="HP334" s="148"/>
      <c r="HQ334" s="148"/>
      <c r="HR334" s="148"/>
      <c r="HS334" s="148"/>
      <c r="HT334" s="148"/>
      <c r="HU334" s="148"/>
      <c r="HV334" s="148"/>
      <c r="HW334" s="148"/>
      <c r="HX334" s="148"/>
      <c r="HY334" s="148"/>
      <c r="HZ334" s="148"/>
      <c r="IA334" s="148"/>
      <c r="IB334" s="148"/>
      <c r="IC334" s="148"/>
      <c r="ID334" s="148"/>
      <c r="IE334" s="148"/>
      <c r="IF334" s="148"/>
      <c r="IG334" s="148"/>
      <c r="IH334" s="148"/>
      <c r="II334" s="148"/>
      <c r="IJ334" s="148"/>
      <c r="IK334" s="148"/>
      <c r="IL334" s="148"/>
      <c r="IM334" s="148"/>
      <c r="IN334" s="148"/>
      <c r="IO334" s="148"/>
      <c r="IP334" s="148"/>
      <c r="IQ334" s="148"/>
      <c r="IR334" s="148"/>
      <c r="IS334" s="148"/>
      <c r="IT334" s="148"/>
      <c r="IU334" s="148"/>
      <c r="IV334" s="148"/>
    </row>
    <row r="335" spans="1:256" hidden="1">
      <c r="A335" s="841">
        <v>85495</v>
      </c>
      <c r="B335" s="844" t="s">
        <v>108</v>
      </c>
      <c r="C335" s="178" t="s">
        <v>0</v>
      </c>
      <c r="D335" s="180">
        <f t="shared" si="129"/>
        <v>1940439</v>
      </c>
      <c r="E335" s="181">
        <f t="shared" si="130"/>
        <v>1940439</v>
      </c>
      <c r="F335" s="181">
        <f t="shared" si="131"/>
        <v>1900439</v>
      </c>
      <c r="G335" s="181">
        <v>0</v>
      </c>
      <c r="H335" s="181">
        <v>1900439</v>
      </c>
      <c r="I335" s="181">
        <v>0</v>
      </c>
      <c r="J335" s="181">
        <v>40000</v>
      </c>
      <c r="K335" s="181">
        <v>0</v>
      </c>
      <c r="L335" s="181">
        <v>0</v>
      </c>
      <c r="M335" s="181">
        <f t="shared" si="132"/>
        <v>0</v>
      </c>
      <c r="N335" s="181">
        <v>0</v>
      </c>
      <c r="O335" s="181">
        <v>0</v>
      </c>
      <c r="P335" s="181">
        <v>0</v>
      </c>
      <c r="Q335" s="182"/>
      <c r="R335" s="182"/>
      <c r="S335" s="182"/>
      <c r="T335" s="182"/>
      <c r="U335" s="182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  <c r="GR335" s="148"/>
      <c r="GS335" s="148"/>
      <c r="GT335" s="148"/>
      <c r="GU335" s="148"/>
      <c r="GV335" s="148"/>
      <c r="GW335" s="148"/>
      <c r="GX335" s="148"/>
      <c r="GY335" s="148"/>
      <c r="GZ335" s="148"/>
      <c r="HA335" s="148"/>
      <c r="HB335" s="148"/>
      <c r="HC335" s="148"/>
      <c r="HD335" s="148"/>
      <c r="HE335" s="148"/>
      <c r="HF335" s="148"/>
      <c r="HG335" s="148"/>
      <c r="HH335" s="148"/>
      <c r="HI335" s="148"/>
      <c r="HJ335" s="148"/>
      <c r="HK335" s="148"/>
      <c r="HL335" s="148"/>
      <c r="HM335" s="148"/>
      <c r="HN335" s="148"/>
      <c r="HO335" s="148"/>
      <c r="HP335" s="148"/>
      <c r="HQ335" s="148"/>
      <c r="HR335" s="148"/>
      <c r="HS335" s="148"/>
      <c r="HT335" s="148"/>
      <c r="HU335" s="148"/>
      <c r="HV335" s="148"/>
      <c r="HW335" s="148"/>
      <c r="HX335" s="148"/>
      <c r="HY335" s="148"/>
      <c r="HZ335" s="148"/>
      <c r="IA335" s="148"/>
      <c r="IB335" s="148"/>
      <c r="IC335" s="148"/>
      <c r="ID335" s="148"/>
      <c r="IE335" s="148"/>
      <c r="IF335" s="148"/>
      <c r="IG335" s="148"/>
      <c r="IH335" s="148"/>
      <c r="II335" s="148"/>
      <c r="IJ335" s="148"/>
      <c r="IK335" s="148"/>
      <c r="IL335" s="148"/>
      <c r="IM335" s="148"/>
      <c r="IN335" s="148"/>
      <c r="IO335" s="148"/>
      <c r="IP335" s="148"/>
      <c r="IQ335" s="148"/>
      <c r="IR335" s="148"/>
      <c r="IS335" s="148"/>
      <c r="IT335" s="148"/>
      <c r="IU335" s="148"/>
      <c r="IV335" s="148"/>
    </row>
    <row r="336" spans="1:256" hidden="1">
      <c r="A336" s="842"/>
      <c r="B336" s="845"/>
      <c r="C336" s="178" t="s">
        <v>1</v>
      </c>
      <c r="D336" s="180">
        <f t="shared" si="129"/>
        <v>0</v>
      </c>
      <c r="E336" s="181">
        <f t="shared" si="130"/>
        <v>0</v>
      </c>
      <c r="F336" s="181">
        <f t="shared" si="131"/>
        <v>0</v>
      </c>
      <c r="G336" s="181"/>
      <c r="H336" s="181"/>
      <c r="I336" s="181"/>
      <c r="J336" s="181"/>
      <c r="K336" s="181"/>
      <c r="L336" s="181"/>
      <c r="M336" s="181">
        <f t="shared" si="132"/>
        <v>0</v>
      </c>
      <c r="N336" s="181"/>
      <c r="O336" s="181"/>
      <c r="P336" s="181"/>
      <c r="Q336" s="182"/>
      <c r="R336" s="182"/>
      <c r="S336" s="182"/>
      <c r="T336" s="182"/>
      <c r="U336" s="182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  <c r="GR336" s="148"/>
      <c r="GS336" s="148"/>
      <c r="GT336" s="148"/>
      <c r="GU336" s="148"/>
      <c r="GV336" s="148"/>
      <c r="GW336" s="148"/>
      <c r="GX336" s="148"/>
      <c r="GY336" s="148"/>
      <c r="GZ336" s="148"/>
      <c r="HA336" s="148"/>
      <c r="HB336" s="148"/>
      <c r="HC336" s="148"/>
      <c r="HD336" s="148"/>
      <c r="HE336" s="148"/>
      <c r="HF336" s="148"/>
      <c r="HG336" s="148"/>
      <c r="HH336" s="148"/>
      <c r="HI336" s="148"/>
      <c r="HJ336" s="148"/>
      <c r="HK336" s="148"/>
      <c r="HL336" s="148"/>
      <c r="HM336" s="148"/>
      <c r="HN336" s="148"/>
      <c r="HO336" s="148"/>
      <c r="HP336" s="148"/>
      <c r="HQ336" s="148"/>
      <c r="HR336" s="148"/>
      <c r="HS336" s="148"/>
      <c r="HT336" s="148"/>
      <c r="HU336" s="148"/>
      <c r="HV336" s="148"/>
      <c r="HW336" s="148"/>
      <c r="HX336" s="148"/>
      <c r="HY336" s="148"/>
      <c r="HZ336" s="148"/>
      <c r="IA336" s="148"/>
      <c r="IB336" s="148"/>
      <c r="IC336" s="148"/>
      <c r="ID336" s="148"/>
      <c r="IE336" s="148"/>
      <c r="IF336" s="148"/>
      <c r="IG336" s="148"/>
      <c r="IH336" s="148"/>
      <c r="II336" s="148"/>
      <c r="IJ336" s="148"/>
      <c r="IK336" s="148"/>
      <c r="IL336" s="148"/>
      <c r="IM336" s="148"/>
      <c r="IN336" s="148"/>
      <c r="IO336" s="148"/>
      <c r="IP336" s="148"/>
      <c r="IQ336" s="148"/>
      <c r="IR336" s="148"/>
      <c r="IS336" s="148"/>
      <c r="IT336" s="148"/>
      <c r="IU336" s="148"/>
      <c r="IV336" s="148"/>
    </row>
    <row r="337" spans="1:256" hidden="1">
      <c r="A337" s="843"/>
      <c r="B337" s="846"/>
      <c r="C337" s="178" t="s">
        <v>2</v>
      </c>
      <c r="D337" s="180">
        <f>D335+D336</f>
        <v>1940439</v>
      </c>
      <c r="E337" s="181">
        <f t="shared" ref="E337:P337" si="140">E335+E336</f>
        <v>1940439</v>
      </c>
      <c r="F337" s="181">
        <f t="shared" si="140"/>
        <v>1900439</v>
      </c>
      <c r="G337" s="181">
        <f t="shared" si="140"/>
        <v>0</v>
      </c>
      <c r="H337" s="181">
        <f t="shared" si="140"/>
        <v>1900439</v>
      </c>
      <c r="I337" s="181">
        <f t="shared" si="140"/>
        <v>0</v>
      </c>
      <c r="J337" s="181">
        <f t="shared" si="140"/>
        <v>40000</v>
      </c>
      <c r="K337" s="181">
        <f t="shared" si="140"/>
        <v>0</v>
      </c>
      <c r="L337" s="181">
        <f t="shared" si="140"/>
        <v>0</v>
      </c>
      <c r="M337" s="181">
        <f t="shared" si="140"/>
        <v>0</v>
      </c>
      <c r="N337" s="181">
        <f t="shared" si="140"/>
        <v>0</v>
      </c>
      <c r="O337" s="181">
        <f t="shared" si="140"/>
        <v>0</v>
      </c>
      <c r="P337" s="181">
        <f t="shared" si="140"/>
        <v>0</v>
      </c>
      <c r="Q337" s="182"/>
      <c r="R337" s="182"/>
      <c r="S337" s="182"/>
      <c r="T337" s="182"/>
      <c r="U337" s="182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  <c r="GR337" s="148"/>
      <c r="GS337" s="148"/>
      <c r="GT337" s="148"/>
      <c r="GU337" s="148"/>
      <c r="GV337" s="148"/>
      <c r="GW337" s="148"/>
      <c r="GX337" s="148"/>
      <c r="GY337" s="148"/>
      <c r="GZ337" s="148"/>
      <c r="HA337" s="148"/>
      <c r="HB337" s="148"/>
      <c r="HC337" s="148"/>
      <c r="HD337" s="148"/>
      <c r="HE337" s="148"/>
      <c r="HF337" s="148"/>
      <c r="HG337" s="148"/>
      <c r="HH337" s="148"/>
      <c r="HI337" s="148"/>
      <c r="HJ337" s="148"/>
      <c r="HK337" s="148"/>
      <c r="HL337" s="148"/>
      <c r="HM337" s="148"/>
      <c r="HN337" s="148"/>
      <c r="HO337" s="148"/>
      <c r="HP337" s="148"/>
      <c r="HQ337" s="148"/>
      <c r="HR337" s="148"/>
      <c r="HS337" s="148"/>
      <c r="HT337" s="148"/>
      <c r="HU337" s="148"/>
      <c r="HV337" s="148"/>
      <c r="HW337" s="148"/>
      <c r="HX337" s="148"/>
      <c r="HY337" s="148"/>
      <c r="HZ337" s="148"/>
      <c r="IA337" s="148"/>
      <c r="IB337" s="148"/>
      <c r="IC337" s="148"/>
      <c r="ID337" s="148"/>
      <c r="IE337" s="148"/>
      <c r="IF337" s="148"/>
      <c r="IG337" s="148"/>
      <c r="IH337" s="148"/>
      <c r="II337" s="148"/>
      <c r="IJ337" s="148"/>
      <c r="IK337" s="148"/>
      <c r="IL337" s="148"/>
      <c r="IM337" s="148"/>
      <c r="IN337" s="148"/>
      <c r="IO337" s="148"/>
      <c r="IP337" s="148"/>
      <c r="IQ337" s="148"/>
      <c r="IR337" s="148"/>
      <c r="IS337" s="148"/>
      <c r="IT337" s="148"/>
      <c r="IU337" s="148"/>
      <c r="IV337" s="148"/>
    </row>
    <row r="338" spans="1:256" ht="15" hidden="1">
      <c r="A338" s="835">
        <v>855</v>
      </c>
      <c r="B338" s="838" t="s">
        <v>89</v>
      </c>
      <c r="C338" s="183" t="s">
        <v>0</v>
      </c>
      <c r="D338" s="174">
        <f t="shared" ref="D338:P339" si="141">D341+D344</f>
        <v>19073992</v>
      </c>
      <c r="E338" s="175">
        <f t="shared" si="141"/>
        <v>19073992</v>
      </c>
      <c r="F338" s="175">
        <f t="shared" si="141"/>
        <v>3658000</v>
      </c>
      <c r="G338" s="175">
        <f t="shared" si="141"/>
        <v>2861111</v>
      </c>
      <c r="H338" s="175">
        <f t="shared" si="141"/>
        <v>796889</v>
      </c>
      <c r="I338" s="175">
        <f t="shared" si="141"/>
        <v>1730000</v>
      </c>
      <c r="J338" s="175">
        <f t="shared" si="141"/>
        <v>8000</v>
      </c>
      <c r="K338" s="175">
        <f t="shared" si="141"/>
        <v>13677992</v>
      </c>
      <c r="L338" s="175">
        <f t="shared" si="141"/>
        <v>0</v>
      </c>
      <c r="M338" s="175">
        <f t="shared" si="141"/>
        <v>0</v>
      </c>
      <c r="N338" s="175">
        <f t="shared" si="141"/>
        <v>0</v>
      </c>
      <c r="O338" s="175">
        <f t="shared" si="141"/>
        <v>0</v>
      </c>
      <c r="P338" s="175">
        <f t="shared" si="141"/>
        <v>0</v>
      </c>
      <c r="Q338" s="188"/>
      <c r="R338" s="188"/>
      <c r="S338" s="188"/>
      <c r="T338" s="188"/>
      <c r="U338" s="188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  <c r="FF338" s="189"/>
      <c r="FG338" s="189"/>
      <c r="FH338" s="189"/>
      <c r="FI338" s="189"/>
      <c r="FJ338" s="189"/>
      <c r="FK338" s="189"/>
      <c r="FL338" s="189"/>
      <c r="FM338" s="189"/>
      <c r="FN338" s="189"/>
      <c r="FO338" s="189"/>
      <c r="FP338" s="189"/>
      <c r="FQ338" s="189"/>
      <c r="FR338" s="189"/>
      <c r="FS338" s="189"/>
      <c r="FT338" s="189"/>
      <c r="FU338" s="189"/>
      <c r="FV338" s="189"/>
      <c r="FW338" s="189"/>
      <c r="FX338" s="189"/>
      <c r="FY338" s="189"/>
      <c r="FZ338" s="189"/>
      <c r="GA338" s="189"/>
      <c r="GB338" s="189"/>
      <c r="GC338" s="189"/>
      <c r="GD338" s="189"/>
      <c r="GE338" s="189"/>
      <c r="GF338" s="189"/>
      <c r="GG338" s="189"/>
      <c r="GH338" s="189"/>
      <c r="GI338" s="189"/>
      <c r="GJ338" s="189"/>
      <c r="GK338" s="189"/>
      <c r="GL338" s="189"/>
      <c r="GM338" s="189"/>
      <c r="GN338" s="189"/>
      <c r="GO338" s="189"/>
      <c r="GP338" s="189"/>
      <c r="GQ338" s="189"/>
      <c r="GR338" s="189"/>
      <c r="GS338" s="189"/>
      <c r="GT338" s="189"/>
      <c r="GU338" s="189"/>
      <c r="GV338" s="189"/>
      <c r="GW338" s="189"/>
      <c r="GX338" s="189"/>
      <c r="GY338" s="189"/>
      <c r="GZ338" s="189"/>
      <c r="HA338" s="189"/>
      <c r="HB338" s="189"/>
      <c r="HC338" s="189"/>
      <c r="HD338" s="189"/>
      <c r="HE338" s="189"/>
      <c r="HF338" s="189"/>
      <c r="HG338" s="189"/>
      <c r="HH338" s="189"/>
      <c r="HI338" s="189"/>
      <c r="HJ338" s="189"/>
      <c r="HK338" s="189"/>
      <c r="HL338" s="189"/>
      <c r="HM338" s="189"/>
      <c r="HN338" s="189"/>
      <c r="HO338" s="189"/>
      <c r="HP338" s="189"/>
      <c r="HQ338" s="189"/>
      <c r="HR338" s="189"/>
      <c r="HS338" s="189"/>
      <c r="HT338" s="189"/>
      <c r="HU338" s="189"/>
      <c r="HV338" s="189"/>
      <c r="HW338" s="189"/>
      <c r="HX338" s="189"/>
      <c r="HY338" s="189"/>
      <c r="HZ338" s="189"/>
      <c r="IA338" s="189"/>
      <c r="IB338" s="189"/>
      <c r="IC338" s="189"/>
      <c r="ID338" s="189"/>
      <c r="IE338" s="189"/>
      <c r="IF338" s="189"/>
      <c r="IG338" s="189"/>
      <c r="IH338" s="189"/>
      <c r="II338" s="189"/>
      <c r="IJ338" s="189"/>
      <c r="IK338" s="189"/>
      <c r="IL338" s="189"/>
      <c r="IM338" s="189"/>
      <c r="IN338" s="189"/>
      <c r="IO338" s="189"/>
      <c r="IP338" s="189"/>
      <c r="IQ338" s="189"/>
      <c r="IR338" s="189"/>
      <c r="IS338" s="189"/>
      <c r="IT338" s="189"/>
      <c r="IU338" s="189"/>
      <c r="IV338" s="189"/>
    </row>
    <row r="339" spans="1:256" ht="15" hidden="1">
      <c r="A339" s="836"/>
      <c r="B339" s="839"/>
      <c r="C339" s="183" t="s">
        <v>1</v>
      </c>
      <c r="D339" s="174">
        <f t="shared" si="141"/>
        <v>0</v>
      </c>
      <c r="E339" s="175">
        <f t="shared" si="141"/>
        <v>0</v>
      </c>
      <c r="F339" s="175">
        <f t="shared" si="141"/>
        <v>0</v>
      </c>
      <c r="G339" s="175">
        <f t="shared" si="141"/>
        <v>0</v>
      </c>
      <c r="H339" s="175">
        <f t="shared" si="141"/>
        <v>0</v>
      </c>
      <c r="I339" s="175">
        <f t="shared" si="141"/>
        <v>0</v>
      </c>
      <c r="J339" s="175">
        <f t="shared" si="141"/>
        <v>0</v>
      </c>
      <c r="K339" s="175">
        <f t="shared" si="141"/>
        <v>0</v>
      </c>
      <c r="L339" s="175">
        <f t="shared" si="141"/>
        <v>0</v>
      </c>
      <c r="M339" s="175">
        <f t="shared" si="141"/>
        <v>0</v>
      </c>
      <c r="N339" s="175">
        <f t="shared" si="141"/>
        <v>0</v>
      </c>
      <c r="O339" s="175">
        <f t="shared" si="141"/>
        <v>0</v>
      </c>
      <c r="P339" s="175">
        <f t="shared" si="141"/>
        <v>0</v>
      </c>
      <c r="Q339" s="188"/>
      <c r="R339" s="188"/>
      <c r="S339" s="188"/>
      <c r="T339" s="188"/>
      <c r="U339" s="188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  <c r="FF339" s="189"/>
      <c r="FG339" s="189"/>
      <c r="FH339" s="189"/>
      <c r="FI339" s="189"/>
      <c r="FJ339" s="189"/>
      <c r="FK339" s="189"/>
      <c r="FL339" s="189"/>
      <c r="FM339" s="189"/>
      <c r="FN339" s="189"/>
      <c r="FO339" s="189"/>
      <c r="FP339" s="189"/>
      <c r="FQ339" s="189"/>
      <c r="FR339" s="189"/>
      <c r="FS339" s="189"/>
      <c r="FT339" s="189"/>
      <c r="FU339" s="189"/>
      <c r="FV339" s="189"/>
      <c r="FW339" s="189"/>
      <c r="FX339" s="189"/>
      <c r="FY339" s="189"/>
      <c r="FZ339" s="189"/>
      <c r="GA339" s="189"/>
      <c r="GB339" s="189"/>
      <c r="GC339" s="189"/>
      <c r="GD339" s="189"/>
      <c r="GE339" s="189"/>
      <c r="GF339" s="189"/>
      <c r="GG339" s="189"/>
      <c r="GH339" s="189"/>
      <c r="GI339" s="189"/>
      <c r="GJ339" s="189"/>
      <c r="GK339" s="189"/>
      <c r="GL339" s="189"/>
      <c r="GM339" s="189"/>
      <c r="GN339" s="189"/>
      <c r="GO339" s="189"/>
      <c r="GP339" s="189"/>
      <c r="GQ339" s="189"/>
      <c r="GR339" s="189"/>
      <c r="GS339" s="189"/>
      <c r="GT339" s="189"/>
      <c r="GU339" s="189"/>
      <c r="GV339" s="189"/>
      <c r="GW339" s="189"/>
      <c r="GX339" s="189"/>
      <c r="GY339" s="189"/>
      <c r="GZ339" s="189"/>
      <c r="HA339" s="189"/>
      <c r="HB339" s="189"/>
      <c r="HC339" s="189"/>
      <c r="HD339" s="189"/>
      <c r="HE339" s="189"/>
      <c r="HF339" s="189"/>
      <c r="HG339" s="189"/>
      <c r="HH339" s="189"/>
      <c r="HI339" s="189"/>
      <c r="HJ339" s="189"/>
      <c r="HK339" s="189"/>
      <c r="HL339" s="189"/>
      <c r="HM339" s="189"/>
      <c r="HN339" s="189"/>
      <c r="HO339" s="189"/>
      <c r="HP339" s="189"/>
      <c r="HQ339" s="189"/>
      <c r="HR339" s="189"/>
      <c r="HS339" s="189"/>
      <c r="HT339" s="189"/>
      <c r="HU339" s="189"/>
      <c r="HV339" s="189"/>
      <c r="HW339" s="189"/>
      <c r="HX339" s="189"/>
      <c r="HY339" s="189"/>
      <c r="HZ339" s="189"/>
      <c r="IA339" s="189"/>
      <c r="IB339" s="189"/>
      <c r="IC339" s="189"/>
      <c r="ID339" s="189"/>
      <c r="IE339" s="189"/>
      <c r="IF339" s="189"/>
      <c r="IG339" s="189"/>
      <c r="IH339" s="189"/>
      <c r="II339" s="189"/>
      <c r="IJ339" s="189"/>
      <c r="IK339" s="189"/>
      <c r="IL339" s="189"/>
      <c r="IM339" s="189"/>
      <c r="IN339" s="189"/>
      <c r="IO339" s="189"/>
      <c r="IP339" s="189"/>
      <c r="IQ339" s="189"/>
      <c r="IR339" s="189"/>
      <c r="IS339" s="189"/>
      <c r="IT339" s="189"/>
      <c r="IU339" s="189"/>
      <c r="IV339" s="189"/>
    </row>
    <row r="340" spans="1:256" ht="15" hidden="1">
      <c r="A340" s="837"/>
      <c r="B340" s="840"/>
      <c r="C340" s="183" t="s">
        <v>2</v>
      </c>
      <c r="D340" s="174">
        <f>D338+D339</f>
        <v>19073992</v>
      </c>
      <c r="E340" s="175">
        <f t="shared" ref="E340:P340" si="142">E338+E339</f>
        <v>19073992</v>
      </c>
      <c r="F340" s="175">
        <f t="shared" si="142"/>
        <v>3658000</v>
      </c>
      <c r="G340" s="175">
        <f t="shared" si="142"/>
        <v>2861111</v>
      </c>
      <c r="H340" s="175">
        <f t="shared" si="142"/>
        <v>796889</v>
      </c>
      <c r="I340" s="175">
        <f t="shared" si="142"/>
        <v>1730000</v>
      </c>
      <c r="J340" s="175">
        <f t="shared" si="142"/>
        <v>8000</v>
      </c>
      <c r="K340" s="175">
        <f t="shared" si="142"/>
        <v>13677992</v>
      </c>
      <c r="L340" s="175">
        <f t="shared" si="142"/>
        <v>0</v>
      </c>
      <c r="M340" s="175">
        <f t="shared" si="142"/>
        <v>0</v>
      </c>
      <c r="N340" s="175">
        <f t="shared" si="142"/>
        <v>0</v>
      </c>
      <c r="O340" s="175">
        <f t="shared" si="142"/>
        <v>0</v>
      </c>
      <c r="P340" s="175">
        <f t="shared" si="142"/>
        <v>0</v>
      </c>
      <c r="Q340" s="188"/>
      <c r="R340" s="188"/>
      <c r="S340" s="188"/>
      <c r="T340" s="188"/>
      <c r="U340" s="188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  <c r="FF340" s="189"/>
      <c r="FG340" s="189"/>
      <c r="FH340" s="189"/>
      <c r="FI340" s="189"/>
      <c r="FJ340" s="189"/>
      <c r="FK340" s="189"/>
      <c r="FL340" s="189"/>
      <c r="FM340" s="189"/>
      <c r="FN340" s="189"/>
      <c r="FO340" s="189"/>
      <c r="FP340" s="189"/>
      <c r="FQ340" s="189"/>
      <c r="FR340" s="189"/>
      <c r="FS340" s="189"/>
      <c r="FT340" s="189"/>
      <c r="FU340" s="189"/>
      <c r="FV340" s="189"/>
      <c r="FW340" s="189"/>
      <c r="FX340" s="189"/>
      <c r="FY340" s="189"/>
      <c r="FZ340" s="189"/>
      <c r="GA340" s="189"/>
      <c r="GB340" s="189"/>
      <c r="GC340" s="189"/>
      <c r="GD340" s="189"/>
      <c r="GE340" s="189"/>
      <c r="GF340" s="189"/>
      <c r="GG340" s="189"/>
      <c r="GH340" s="189"/>
      <c r="GI340" s="189"/>
      <c r="GJ340" s="189"/>
      <c r="GK340" s="189"/>
      <c r="GL340" s="189"/>
      <c r="GM340" s="189"/>
      <c r="GN340" s="189"/>
      <c r="GO340" s="189"/>
      <c r="GP340" s="189"/>
      <c r="GQ340" s="189"/>
      <c r="GR340" s="189"/>
      <c r="GS340" s="189"/>
      <c r="GT340" s="189"/>
      <c r="GU340" s="189"/>
      <c r="GV340" s="189"/>
      <c r="GW340" s="189"/>
      <c r="GX340" s="189"/>
      <c r="GY340" s="189"/>
      <c r="GZ340" s="189"/>
      <c r="HA340" s="189"/>
      <c r="HB340" s="189"/>
      <c r="HC340" s="189"/>
      <c r="HD340" s="189"/>
      <c r="HE340" s="189"/>
      <c r="HF340" s="189"/>
      <c r="HG340" s="189"/>
      <c r="HH340" s="189"/>
      <c r="HI340" s="189"/>
      <c r="HJ340" s="189"/>
      <c r="HK340" s="189"/>
      <c r="HL340" s="189"/>
      <c r="HM340" s="189"/>
      <c r="HN340" s="189"/>
      <c r="HO340" s="189"/>
      <c r="HP340" s="189"/>
      <c r="HQ340" s="189"/>
      <c r="HR340" s="189"/>
      <c r="HS340" s="189"/>
      <c r="HT340" s="189"/>
      <c r="HU340" s="189"/>
      <c r="HV340" s="189"/>
      <c r="HW340" s="189"/>
      <c r="HX340" s="189"/>
      <c r="HY340" s="189"/>
      <c r="HZ340" s="189"/>
      <c r="IA340" s="189"/>
      <c r="IB340" s="189"/>
      <c r="IC340" s="189"/>
      <c r="ID340" s="189"/>
      <c r="IE340" s="189"/>
      <c r="IF340" s="189"/>
      <c r="IG340" s="189"/>
      <c r="IH340" s="189"/>
      <c r="II340" s="189"/>
      <c r="IJ340" s="189"/>
      <c r="IK340" s="189"/>
      <c r="IL340" s="189"/>
      <c r="IM340" s="189"/>
      <c r="IN340" s="189"/>
      <c r="IO340" s="189"/>
      <c r="IP340" s="189"/>
      <c r="IQ340" s="189"/>
      <c r="IR340" s="189"/>
      <c r="IS340" s="189"/>
      <c r="IT340" s="189"/>
      <c r="IU340" s="189"/>
      <c r="IV340" s="189"/>
    </row>
    <row r="341" spans="1:256" hidden="1">
      <c r="A341" s="841">
        <v>85509</v>
      </c>
      <c r="B341" s="844" t="s">
        <v>308</v>
      </c>
      <c r="C341" s="178" t="s">
        <v>0</v>
      </c>
      <c r="D341" s="180">
        <f>E341+M341</f>
        <v>3886000</v>
      </c>
      <c r="E341" s="181">
        <f>F341+I341+J341+K341+L341</f>
        <v>3886000</v>
      </c>
      <c r="F341" s="181">
        <f>G341+H341</f>
        <v>3450500</v>
      </c>
      <c r="G341" s="181">
        <v>2859111</v>
      </c>
      <c r="H341" s="181">
        <v>591389</v>
      </c>
      <c r="I341" s="181">
        <v>430000</v>
      </c>
      <c r="J341" s="181">
        <v>5500</v>
      </c>
      <c r="K341" s="181">
        <v>0</v>
      </c>
      <c r="L341" s="181">
        <v>0</v>
      </c>
      <c r="M341" s="181">
        <f>N341+P341</f>
        <v>0</v>
      </c>
      <c r="N341" s="181">
        <v>0</v>
      </c>
      <c r="O341" s="181">
        <v>0</v>
      </c>
      <c r="P341" s="181">
        <v>0</v>
      </c>
      <c r="Q341" s="182"/>
      <c r="R341" s="182"/>
      <c r="S341" s="182"/>
      <c r="T341" s="182"/>
      <c r="U341" s="182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48"/>
      <c r="GH341" s="148"/>
      <c r="GI341" s="148"/>
      <c r="GJ341" s="148"/>
      <c r="GK341" s="148"/>
      <c r="GL341" s="148"/>
      <c r="GM341" s="148"/>
      <c r="GN341" s="148"/>
      <c r="GO341" s="148"/>
      <c r="GP341" s="148"/>
      <c r="GQ341" s="148"/>
      <c r="GR341" s="148"/>
      <c r="GS341" s="148"/>
      <c r="GT341" s="148"/>
      <c r="GU341" s="148"/>
      <c r="GV341" s="148"/>
      <c r="GW341" s="148"/>
      <c r="GX341" s="148"/>
      <c r="GY341" s="148"/>
      <c r="GZ341" s="148"/>
      <c r="HA341" s="148"/>
      <c r="HB341" s="148"/>
      <c r="HC341" s="148"/>
      <c r="HD341" s="148"/>
      <c r="HE341" s="148"/>
      <c r="HF341" s="148"/>
      <c r="HG341" s="148"/>
      <c r="HH341" s="148"/>
      <c r="HI341" s="148"/>
      <c r="HJ341" s="148"/>
      <c r="HK341" s="148"/>
      <c r="HL341" s="148"/>
      <c r="HM341" s="148"/>
      <c r="HN341" s="148"/>
      <c r="HO341" s="148"/>
      <c r="HP341" s="148"/>
      <c r="HQ341" s="148"/>
      <c r="HR341" s="148"/>
      <c r="HS341" s="148"/>
      <c r="HT341" s="148"/>
      <c r="HU341" s="148"/>
      <c r="HV341" s="148"/>
      <c r="HW341" s="148"/>
      <c r="HX341" s="148"/>
      <c r="HY341" s="148"/>
      <c r="HZ341" s="148"/>
      <c r="IA341" s="148"/>
      <c r="IB341" s="148"/>
      <c r="IC341" s="148"/>
      <c r="ID341" s="148"/>
      <c r="IE341" s="148"/>
      <c r="IF341" s="148"/>
      <c r="IG341" s="148"/>
      <c r="IH341" s="148"/>
      <c r="II341" s="148"/>
      <c r="IJ341" s="148"/>
      <c r="IK341" s="148"/>
      <c r="IL341" s="148"/>
      <c r="IM341" s="148"/>
      <c r="IN341" s="148"/>
      <c r="IO341" s="148"/>
      <c r="IP341" s="148"/>
      <c r="IQ341" s="148"/>
      <c r="IR341" s="148"/>
      <c r="IS341" s="148"/>
      <c r="IT341" s="148"/>
      <c r="IU341" s="148"/>
      <c r="IV341" s="148"/>
    </row>
    <row r="342" spans="1:256" hidden="1">
      <c r="A342" s="842"/>
      <c r="B342" s="845"/>
      <c r="C342" s="178" t="s">
        <v>1</v>
      </c>
      <c r="D342" s="180">
        <f>E342+M342</f>
        <v>0</v>
      </c>
      <c r="E342" s="181">
        <f>F342+I342+J342+K342+L342</f>
        <v>0</v>
      </c>
      <c r="F342" s="181">
        <f>G342+H342</f>
        <v>0</v>
      </c>
      <c r="G342" s="181"/>
      <c r="H342" s="181"/>
      <c r="I342" s="181"/>
      <c r="J342" s="181"/>
      <c r="K342" s="181"/>
      <c r="L342" s="181"/>
      <c r="M342" s="181">
        <f>N342+P342</f>
        <v>0</v>
      </c>
      <c r="N342" s="181"/>
      <c r="O342" s="181"/>
      <c r="P342" s="181"/>
      <c r="Q342" s="182"/>
      <c r="R342" s="182"/>
      <c r="S342" s="182"/>
      <c r="T342" s="182"/>
      <c r="U342" s="182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  <c r="GB342" s="148"/>
      <c r="GC342" s="148"/>
      <c r="GD342" s="148"/>
      <c r="GE342" s="148"/>
      <c r="GF342" s="148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  <c r="GR342" s="148"/>
      <c r="GS342" s="148"/>
      <c r="GT342" s="148"/>
      <c r="GU342" s="148"/>
      <c r="GV342" s="148"/>
      <c r="GW342" s="148"/>
      <c r="GX342" s="148"/>
      <c r="GY342" s="148"/>
      <c r="GZ342" s="148"/>
      <c r="HA342" s="148"/>
      <c r="HB342" s="148"/>
      <c r="HC342" s="148"/>
      <c r="HD342" s="148"/>
      <c r="HE342" s="148"/>
      <c r="HF342" s="148"/>
      <c r="HG342" s="148"/>
      <c r="HH342" s="148"/>
      <c r="HI342" s="148"/>
      <c r="HJ342" s="148"/>
      <c r="HK342" s="148"/>
      <c r="HL342" s="148"/>
      <c r="HM342" s="148"/>
      <c r="HN342" s="148"/>
      <c r="HO342" s="148"/>
      <c r="HP342" s="148"/>
      <c r="HQ342" s="148"/>
      <c r="HR342" s="148"/>
      <c r="HS342" s="148"/>
      <c r="HT342" s="148"/>
      <c r="HU342" s="148"/>
      <c r="HV342" s="148"/>
      <c r="HW342" s="148"/>
      <c r="HX342" s="148"/>
      <c r="HY342" s="148"/>
      <c r="HZ342" s="148"/>
      <c r="IA342" s="148"/>
      <c r="IB342" s="148"/>
      <c r="IC342" s="148"/>
      <c r="ID342" s="148"/>
      <c r="IE342" s="148"/>
      <c r="IF342" s="148"/>
      <c r="IG342" s="148"/>
      <c r="IH342" s="148"/>
      <c r="II342" s="148"/>
      <c r="IJ342" s="148"/>
      <c r="IK342" s="148"/>
      <c r="IL342" s="148"/>
      <c r="IM342" s="148"/>
      <c r="IN342" s="148"/>
      <c r="IO342" s="148"/>
      <c r="IP342" s="148"/>
      <c r="IQ342" s="148"/>
      <c r="IR342" s="148"/>
      <c r="IS342" s="148"/>
      <c r="IT342" s="148"/>
      <c r="IU342" s="148"/>
      <c r="IV342" s="148"/>
    </row>
    <row r="343" spans="1:256" hidden="1">
      <c r="A343" s="843"/>
      <c r="B343" s="846"/>
      <c r="C343" s="178" t="s">
        <v>2</v>
      </c>
      <c r="D343" s="180">
        <f>D341+D342</f>
        <v>3886000</v>
      </c>
      <c r="E343" s="181">
        <f t="shared" ref="E343:P343" si="143">E341+E342</f>
        <v>3886000</v>
      </c>
      <c r="F343" s="181">
        <f t="shared" si="143"/>
        <v>3450500</v>
      </c>
      <c r="G343" s="181">
        <f t="shared" si="143"/>
        <v>2859111</v>
      </c>
      <c r="H343" s="181">
        <f t="shared" si="143"/>
        <v>591389</v>
      </c>
      <c r="I343" s="181">
        <f t="shared" si="143"/>
        <v>430000</v>
      </c>
      <c r="J343" s="181">
        <f t="shared" si="143"/>
        <v>5500</v>
      </c>
      <c r="K343" s="181">
        <f t="shared" si="143"/>
        <v>0</v>
      </c>
      <c r="L343" s="181">
        <f t="shared" si="143"/>
        <v>0</v>
      </c>
      <c r="M343" s="181">
        <f t="shared" si="143"/>
        <v>0</v>
      </c>
      <c r="N343" s="181">
        <f t="shared" si="143"/>
        <v>0</v>
      </c>
      <c r="O343" s="181">
        <f t="shared" si="143"/>
        <v>0</v>
      </c>
      <c r="P343" s="181">
        <f t="shared" si="143"/>
        <v>0</v>
      </c>
      <c r="Q343" s="182"/>
      <c r="R343" s="182"/>
      <c r="S343" s="182"/>
      <c r="T343" s="182"/>
      <c r="U343" s="182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  <c r="GB343" s="148"/>
      <c r="GC343" s="148"/>
      <c r="GD343" s="148"/>
      <c r="GE343" s="148"/>
      <c r="GF343" s="148"/>
      <c r="GG343" s="148"/>
      <c r="GH343" s="148"/>
      <c r="GI343" s="148"/>
      <c r="GJ343" s="148"/>
      <c r="GK343" s="148"/>
      <c r="GL343" s="148"/>
      <c r="GM343" s="148"/>
      <c r="GN343" s="148"/>
      <c r="GO343" s="148"/>
      <c r="GP343" s="148"/>
      <c r="GQ343" s="148"/>
      <c r="GR343" s="148"/>
      <c r="GS343" s="148"/>
      <c r="GT343" s="148"/>
      <c r="GU343" s="148"/>
      <c r="GV343" s="148"/>
      <c r="GW343" s="148"/>
      <c r="GX343" s="148"/>
      <c r="GY343" s="148"/>
      <c r="GZ343" s="148"/>
      <c r="HA343" s="148"/>
      <c r="HB343" s="148"/>
      <c r="HC343" s="148"/>
      <c r="HD343" s="148"/>
      <c r="HE343" s="148"/>
      <c r="HF343" s="148"/>
      <c r="HG343" s="148"/>
      <c r="HH343" s="148"/>
      <c r="HI343" s="148"/>
      <c r="HJ343" s="148"/>
      <c r="HK343" s="148"/>
      <c r="HL343" s="148"/>
      <c r="HM343" s="148"/>
      <c r="HN343" s="148"/>
      <c r="HO343" s="148"/>
      <c r="HP343" s="148"/>
      <c r="HQ343" s="148"/>
      <c r="HR343" s="148"/>
      <c r="HS343" s="148"/>
      <c r="HT343" s="148"/>
      <c r="HU343" s="148"/>
      <c r="HV343" s="148"/>
      <c r="HW343" s="148"/>
      <c r="HX343" s="148"/>
      <c r="HY343" s="148"/>
      <c r="HZ343" s="148"/>
      <c r="IA343" s="148"/>
      <c r="IB343" s="148"/>
      <c r="IC343" s="148"/>
      <c r="ID343" s="148"/>
      <c r="IE343" s="148"/>
      <c r="IF343" s="148"/>
      <c r="IG343" s="148"/>
      <c r="IH343" s="148"/>
      <c r="II343" s="148"/>
      <c r="IJ343" s="148"/>
      <c r="IK343" s="148"/>
      <c r="IL343" s="148"/>
      <c r="IM343" s="148"/>
      <c r="IN343" s="148"/>
      <c r="IO343" s="148"/>
      <c r="IP343" s="148"/>
      <c r="IQ343" s="148"/>
      <c r="IR343" s="148"/>
      <c r="IS343" s="148"/>
      <c r="IT343" s="148"/>
      <c r="IU343" s="148"/>
      <c r="IV343" s="148"/>
    </row>
    <row r="344" spans="1:256" hidden="1">
      <c r="A344" s="841">
        <v>85595</v>
      </c>
      <c r="B344" s="844" t="s">
        <v>108</v>
      </c>
      <c r="C344" s="178" t="s">
        <v>0</v>
      </c>
      <c r="D344" s="180">
        <f>E344+M344</f>
        <v>15187992</v>
      </c>
      <c r="E344" s="181">
        <f>F344+I344+J344+K344+L344</f>
        <v>15187992</v>
      </c>
      <c r="F344" s="181">
        <f>G344+H344</f>
        <v>207500</v>
      </c>
      <c r="G344" s="181">
        <v>2000</v>
      </c>
      <c r="H344" s="181">
        <v>205500</v>
      </c>
      <c r="I344" s="181">
        <v>1300000</v>
      </c>
      <c r="J344" s="181">
        <v>2500</v>
      </c>
      <c r="K344" s="181">
        <v>13677992</v>
      </c>
      <c r="L344" s="181">
        <v>0</v>
      </c>
      <c r="M344" s="181">
        <f>N344+P344</f>
        <v>0</v>
      </c>
      <c r="N344" s="181">
        <v>0</v>
      </c>
      <c r="O344" s="181">
        <v>0</v>
      </c>
      <c r="P344" s="181">
        <v>0</v>
      </c>
      <c r="Q344" s="182"/>
      <c r="R344" s="182"/>
      <c r="S344" s="182"/>
      <c r="T344" s="182"/>
      <c r="U344" s="182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  <c r="GR344" s="148"/>
      <c r="GS344" s="148"/>
      <c r="GT344" s="148"/>
      <c r="GU344" s="148"/>
      <c r="GV344" s="148"/>
      <c r="GW344" s="148"/>
      <c r="GX344" s="148"/>
      <c r="GY344" s="148"/>
      <c r="GZ344" s="148"/>
      <c r="HA344" s="148"/>
      <c r="HB344" s="148"/>
      <c r="HC344" s="148"/>
      <c r="HD344" s="148"/>
      <c r="HE344" s="148"/>
      <c r="HF344" s="148"/>
      <c r="HG344" s="148"/>
      <c r="HH344" s="148"/>
      <c r="HI344" s="148"/>
      <c r="HJ344" s="148"/>
      <c r="HK344" s="148"/>
      <c r="HL344" s="148"/>
      <c r="HM344" s="148"/>
      <c r="HN344" s="148"/>
      <c r="HO344" s="148"/>
      <c r="HP344" s="148"/>
      <c r="HQ344" s="148"/>
      <c r="HR344" s="148"/>
      <c r="HS344" s="148"/>
      <c r="HT344" s="148"/>
      <c r="HU344" s="148"/>
      <c r="HV344" s="148"/>
      <c r="HW344" s="148"/>
      <c r="HX344" s="148"/>
      <c r="HY344" s="148"/>
      <c r="HZ344" s="148"/>
      <c r="IA344" s="148"/>
      <c r="IB344" s="148"/>
      <c r="IC344" s="148"/>
      <c r="ID344" s="148"/>
      <c r="IE344" s="148"/>
      <c r="IF344" s="148"/>
      <c r="IG344" s="148"/>
      <c r="IH344" s="148"/>
      <c r="II344" s="148"/>
      <c r="IJ344" s="148"/>
      <c r="IK344" s="148"/>
      <c r="IL344" s="148"/>
      <c r="IM344" s="148"/>
      <c r="IN344" s="148"/>
      <c r="IO344" s="148"/>
      <c r="IP344" s="148"/>
      <c r="IQ344" s="148"/>
      <c r="IR344" s="148"/>
      <c r="IS344" s="148"/>
      <c r="IT344" s="148"/>
      <c r="IU344" s="148"/>
      <c r="IV344" s="148"/>
    </row>
    <row r="345" spans="1:256" hidden="1">
      <c r="A345" s="842"/>
      <c r="B345" s="845"/>
      <c r="C345" s="178" t="s">
        <v>1</v>
      </c>
      <c r="D345" s="180">
        <f>E345+M345</f>
        <v>0</v>
      </c>
      <c r="E345" s="181">
        <f>F345+I345+J345+K345+L345</f>
        <v>0</v>
      </c>
      <c r="F345" s="181">
        <f>G345+H345</f>
        <v>0</v>
      </c>
      <c r="G345" s="181"/>
      <c r="H345" s="181"/>
      <c r="I345" s="181"/>
      <c r="J345" s="181"/>
      <c r="K345" s="181"/>
      <c r="L345" s="181"/>
      <c r="M345" s="181">
        <f>N345+P345</f>
        <v>0</v>
      </c>
      <c r="N345" s="181"/>
      <c r="O345" s="181"/>
      <c r="P345" s="181"/>
      <c r="Q345" s="182"/>
      <c r="R345" s="182"/>
      <c r="S345" s="182"/>
      <c r="T345" s="182"/>
      <c r="U345" s="182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  <c r="GR345" s="148"/>
      <c r="GS345" s="148"/>
      <c r="GT345" s="148"/>
      <c r="GU345" s="148"/>
      <c r="GV345" s="148"/>
      <c r="GW345" s="148"/>
      <c r="GX345" s="148"/>
      <c r="GY345" s="148"/>
      <c r="GZ345" s="148"/>
      <c r="HA345" s="148"/>
      <c r="HB345" s="148"/>
      <c r="HC345" s="148"/>
      <c r="HD345" s="148"/>
      <c r="HE345" s="148"/>
      <c r="HF345" s="148"/>
      <c r="HG345" s="148"/>
      <c r="HH345" s="148"/>
      <c r="HI345" s="148"/>
      <c r="HJ345" s="148"/>
      <c r="HK345" s="148"/>
      <c r="HL345" s="148"/>
      <c r="HM345" s="148"/>
      <c r="HN345" s="148"/>
      <c r="HO345" s="148"/>
      <c r="HP345" s="148"/>
      <c r="HQ345" s="148"/>
      <c r="HR345" s="148"/>
      <c r="HS345" s="148"/>
      <c r="HT345" s="148"/>
      <c r="HU345" s="148"/>
      <c r="HV345" s="148"/>
      <c r="HW345" s="148"/>
      <c r="HX345" s="148"/>
      <c r="HY345" s="148"/>
      <c r="HZ345" s="148"/>
      <c r="IA345" s="148"/>
      <c r="IB345" s="148"/>
      <c r="IC345" s="148"/>
      <c r="ID345" s="148"/>
      <c r="IE345" s="148"/>
      <c r="IF345" s="148"/>
      <c r="IG345" s="148"/>
      <c r="IH345" s="148"/>
      <c r="II345" s="148"/>
      <c r="IJ345" s="148"/>
      <c r="IK345" s="148"/>
      <c r="IL345" s="148"/>
      <c r="IM345" s="148"/>
      <c r="IN345" s="148"/>
      <c r="IO345" s="148"/>
      <c r="IP345" s="148"/>
      <c r="IQ345" s="148"/>
      <c r="IR345" s="148"/>
      <c r="IS345" s="148"/>
      <c r="IT345" s="148"/>
      <c r="IU345" s="148"/>
      <c r="IV345" s="148"/>
    </row>
    <row r="346" spans="1:256" hidden="1">
      <c r="A346" s="843"/>
      <c r="B346" s="846"/>
      <c r="C346" s="178" t="s">
        <v>2</v>
      </c>
      <c r="D346" s="180">
        <f>D344+D345</f>
        <v>15187992</v>
      </c>
      <c r="E346" s="181">
        <f t="shared" ref="E346:P346" si="144">E344+E345</f>
        <v>15187992</v>
      </c>
      <c r="F346" s="181">
        <f t="shared" si="144"/>
        <v>207500</v>
      </c>
      <c r="G346" s="181">
        <f t="shared" si="144"/>
        <v>2000</v>
      </c>
      <c r="H346" s="181">
        <f t="shared" si="144"/>
        <v>205500</v>
      </c>
      <c r="I346" s="181">
        <f t="shared" si="144"/>
        <v>1300000</v>
      </c>
      <c r="J346" s="181">
        <f t="shared" si="144"/>
        <v>2500</v>
      </c>
      <c r="K346" s="181">
        <f t="shared" si="144"/>
        <v>13677992</v>
      </c>
      <c r="L346" s="181">
        <f t="shared" si="144"/>
        <v>0</v>
      </c>
      <c r="M346" s="181">
        <f t="shared" si="144"/>
        <v>0</v>
      </c>
      <c r="N346" s="181">
        <f t="shared" si="144"/>
        <v>0</v>
      </c>
      <c r="O346" s="181">
        <f t="shared" si="144"/>
        <v>0</v>
      </c>
      <c r="P346" s="181">
        <f t="shared" si="144"/>
        <v>0</v>
      </c>
      <c r="Q346" s="182"/>
      <c r="R346" s="182"/>
      <c r="S346" s="182"/>
      <c r="T346" s="182"/>
      <c r="U346" s="182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  <c r="GR346" s="148"/>
      <c r="GS346" s="148"/>
      <c r="GT346" s="148"/>
      <c r="GU346" s="148"/>
      <c r="GV346" s="148"/>
      <c r="GW346" s="148"/>
      <c r="GX346" s="148"/>
      <c r="GY346" s="148"/>
      <c r="GZ346" s="148"/>
      <c r="HA346" s="148"/>
      <c r="HB346" s="148"/>
      <c r="HC346" s="148"/>
      <c r="HD346" s="148"/>
      <c r="HE346" s="148"/>
      <c r="HF346" s="148"/>
      <c r="HG346" s="148"/>
      <c r="HH346" s="148"/>
      <c r="HI346" s="148"/>
      <c r="HJ346" s="148"/>
      <c r="HK346" s="148"/>
      <c r="HL346" s="148"/>
      <c r="HM346" s="148"/>
      <c r="HN346" s="148"/>
      <c r="HO346" s="148"/>
      <c r="HP346" s="148"/>
      <c r="HQ346" s="148"/>
      <c r="HR346" s="148"/>
      <c r="HS346" s="148"/>
      <c r="HT346" s="148"/>
      <c r="HU346" s="148"/>
      <c r="HV346" s="148"/>
      <c r="HW346" s="148"/>
      <c r="HX346" s="148"/>
      <c r="HY346" s="148"/>
      <c r="HZ346" s="148"/>
      <c r="IA346" s="148"/>
      <c r="IB346" s="148"/>
      <c r="IC346" s="148"/>
      <c r="ID346" s="148"/>
      <c r="IE346" s="148"/>
      <c r="IF346" s="148"/>
      <c r="IG346" s="148"/>
      <c r="IH346" s="148"/>
      <c r="II346" s="148"/>
      <c r="IJ346" s="148"/>
      <c r="IK346" s="148"/>
      <c r="IL346" s="148"/>
      <c r="IM346" s="148"/>
      <c r="IN346" s="148"/>
      <c r="IO346" s="148"/>
      <c r="IP346" s="148"/>
      <c r="IQ346" s="148"/>
      <c r="IR346" s="148"/>
      <c r="IS346" s="148"/>
      <c r="IT346" s="148"/>
      <c r="IU346" s="148"/>
      <c r="IV346" s="148"/>
    </row>
    <row r="347" spans="1:256" ht="15">
      <c r="A347" s="835">
        <v>900</v>
      </c>
      <c r="B347" s="838" t="s">
        <v>66</v>
      </c>
      <c r="C347" s="196" t="s">
        <v>0</v>
      </c>
      <c r="D347" s="174">
        <f>D353+D356+D362+D365+D368+D374+D371+D350+D359</f>
        <v>21607809</v>
      </c>
      <c r="E347" s="175">
        <f>E353+E356+E362+E365+E368+E374+E371+E350+E359</f>
        <v>4804821</v>
      </c>
      <c r="F347" s="175">
        <f t="shared" ref="F347:P348" si="145">F353+F356+F362+F365+F368+F374+F371+F350+F359</f>
        <v>3648972</v>
      </c>
      <c r="G347" s="175">
        <f t="shared" si="145"/>
        <v>2266887</v>
      </c>
      <c r="H347" s="175">
        <f t="shared" si="145"/>
        <v>1382085</v>
      </c>
      <c r="I347" s="175">
        <f t="shared" si="145"/>
        <v>0</v>
      </c>
      <c r="J347" s="175">
        <f t="shared" si="145"/>
        <v>0</v>
      </c>
      <c r="K347" s="175">
        <f t="shared" si="145"/>
        <v>1155849</v>
      </c>
      <c r="L347" s="175">
        <f t="shared" si="145"/>
        <v>0</v>
      </c>
      <c r="M347" s="175">
        <f t="shared" si="145"/>
        <v>16802988</v>
      </c>
      <c r="N347" s="175">
        <f t="shared" si="145"/>
        <v>3802988</v>
      </c>
      <c r="O347" s="175">
        <f t="shared" si="145"/>
        <v>3802988</v>
      </c>
      <c r="P347" s="175">
        <f t="shared" si="145"/>
        <v>13000000</v>
      </c>
      <c r="Q347" s="188"/>
      <c r="R347" s="188"/>
      <c r="S347" s="188"/>
      <c r="T347" s="188"/>
      <c r="U347" s="188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  <c r="FF347" s="189"/>
      <c r="FG347" s="189"/>
      <c r="FH347" s="189"/>
      <c r="FI347" s="189"/>
      <c r="FJ347" s="189"/>
      <c r="FK347" s="189"/>
      <c r="FL347" s="189"/>
      <c r="FM347" s="189"/>
      <c r="FN347" s="189"/>
      <c r="FO347" s="189"/>
      <c r="FP347" s="189"/>
      <c r="FQ347" s="189"/>
      <c r="FR347" s="189"/>
      <c r="FS347" s="189"/>
      <c r="FT347" s="189"/>
      <c r="FU347" s="189"/>
      <c r="FV347" s="189"/>
      <c r="FW347" s="189"/>
      <c r="FX347" s="189"/>
      <c r="FY347" s="189"/>
      <c r="FZ347" s="189"/>
      <c r="GA347" s="189"/>
      <c r="GB347" s="189"/>
      <c r="GC347" s="189"/>
      <c r="GD347" s="189"/>
      <c r="GE347" s="189"/>
      <c r="GF347" s="189"/>
      <c r="GG347" s="189"/>
      <c r="GH347" s="189"/>
      <c r="GI347" s="189"/>
      <c r="GJ347" s="189"/>
      <c r="GK347" s="189"/>
      <c r="GL347" s="189"/>
      <c r="GM347" s="189"/>
      <c r="GN347" s="189"/>
      <c r="GO347" s="189"/>
      <c r="GP347" s="189"/>
      <c r="GQ347" s="189"/>
      <c r="GR347" s="189"/>
      <c r="GS347" s="189"/>
      <c r="GT347" s="189"/>
      <c r="GU347" s="189"/>
      <c r="GV347" s="189"/>
      <c r="GW347" s="189"/>
      <c r="GX347" s="189"/>
      <c r="GY347" s="189"/>
      <c r="GZ347" s="189"/>
      <c r="HA347" s="189"/>
      <c r="HB347" s="189"/>
      <c r="HC347" s="189"/>
      <c r="HD347" s="189"/>
      <c r="HE347" s="189"/>
      <c r="HF347" s="189"/>
      <c r="HG347" s="189"/>
      <c r="HH347" s="189"/>
      <c r="HI347" s="189"/>
      <c r="HJ347" s="189"/>
      <c r="HK347" s="189"/>
      <c r="HL347" s="189"/>
      <c r="HM347" s="189"/>
      <c r="HN347" s="189"/>
      <c r="HO347" s="189"/>
      <c r="HP347" s="189"/>
      <c r="HQ347" s="189"/>
      <c r="HR347" s="189"/>
      <c r="HS347" s="189"/>
      <c r="HT347" s="189"/>
      <c r="HU347" s="189"/>
      <c r="HV347" s="189"/>
      <c r="HW347" s="189"/>
      <c r="HX347" s="189"/>
      <c r="HY347" s="189"/>
      <c r="HZ347" s="189"/>
      <c r="IA347" s="189"/>
      <c r="IB347" s="189"/>
      <c r="IC347" s="189"/>
      <c r="ID347" s="189"/>
      <c r="IE347" s="189"/>
      <c r="IF347" s="189"/>
      <c r="IG347" s="189"/>
      <c r="IH347" s="189"/>
      <c r="II347" s="189"/>
      <c r="IJ347" s="189"/>
      <c r="IK347" s="189"/>
      <c r="IL347" s="189"/>
      <c r="IM347" s="189"/>
      <c r="IN347" s="189"/>
      <c r="IO347" s="189"/>
      <c r="IP347" s="189"/>
      <c r="IQ347" s="189"/>
      <c r="IR347" s="189"/>
      <c r="IS347" s="189"/>
      <c r="IT347" s="189"/>
      <c r="IU347" s="189"/>
      <c r="IV347" s="189"/>
    </row>
    <row r="348" spans="1:256" ht="15">
      <c r="A348" s="836"/>
      <c r="B348" s="839"/>
      <c r="C348" s="196" t="s">
        <v>1</v>
      </c>
      <c r="D348" s="174">
        <f>D354+D357+D363+D366+D369+D375+D372+D351+D360</f>
        <v>-11632508.199999999</v>
      </c>
      <c r="E348" s="175">
        <f>E354+E357+E363+E366+E369+E375+E372+E351+E360</f>
        <v>60859.799999999996</v>
      </c>
      <c r="F348" s="175">
        <f t="shared" si="145"/>
        <v>2453.7999999999997</v>
      </c>
      <c r="G348" s="175">
        <f t="shared" si="145"/>
        <v>70.02</v>
      </c>
      <c r="H348" s="175">
        <f t="shared" si="145"/>
        <v>2383.7799999999997</v>
      </c>
      <c r="I348" s="175">
        <f t="shared" si="145"/>
        <v>0</v>
      </c>
      <c r="J348" s="175">
        <f t="shared" si="145"/>
        <v>0</v>
      </c>
      <c r="K348" s="175">
        <f t="shared" si="145"/>
        <v>58406</v>
      </c>
      <c r="L348" s="175">
        <f t="shared" si="145"/>
        <v>0</v>
      </c>
      <c r="M348" s="175">
        <f t="shared" si="145"/>
        <v>-11693368</v>
      </c>
      <c r="N348" s="175">
        <f t="shared" si="145"/>
        <v>306632</v>
      </c>
      <c r="O348" s="175">
        <f t="shared" si="145"/>
        <v>306632</v>
      </c>
      <c r="P348" s="175">
        <f t="shared" si="145"/>
        <v>-12000000</v>
      </c>
      <c r="Q348" s="188"/>
      <c r="R348" s="188"/>
      <c r="S348" s="188"/>
      <c r="T348" s="188"/>
      <c r="U348" s="188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  <c r="CW348" s="189"/>
      <c r="CX348" s="189"/>
      <c r="CY348" s="189"/>
      <c r="CZ348" s="189"/>
      <c r="DA348" s="189"/>
      <c r="DB348" s="189"/>
      <c r="DC348" s="189"/>
      <c r="DD348" s="189"/>
      <c r="DE348" s="189"/>
      <c r="DF348" s="189"/>
      <c r="DG348" s="189"/>
      <c r="DH348" s="189"/>
      <c r="DI348" s="189"/>
      <c r="DJ348" s="189"/>
      <c r="DK348" s="189"/>
      <c r="DL348" s="189"/>
      <c r="DM348" s="189"/>
      <c r="DN348" s="189"/>
      <c r="DO348" s="189"/>
      <c r="DP348" s="189"/>
      <c r="DQ348" s="189"/>
      <c r="DR348" s="189"/>
      <c r="DS348" s="189"/>
      <c r="DT348" s="189"/>
      <c r="DU348" s="189"/>
      <c r="DV348" s="189"/>
      <c r="DW348" s="189"/>
      <c r="DX348" s="189"/>
      <c r="DY348" s="189"/>
      <c r="DZ348" s="189"/>
      <c r="EA348" s="189"/>
      <c r="EB348" s="189"/>
      <c r="EC348" s="189"/>
      <c r="ED348" s="189"/>
      <c r="EE348" s="189"/>
      <c r="EF348" s="189"/>
      <c r="EG348" s="189"/>
      <c r="EH348" s="189"/>
      <c r="EI348" s="189"/>
      <c r="EJ348" s="189"/>
      <c r="EK348" s="189"/>
      <c r="EL348" s="189"/>
      <c r="EM348" s="189"/>
      <c r="EN348" s="189"/>
      <c r="EO348" s="189"/>
      <c r="EP348" s="189"/>
      <c r="EQ348" s="189"/>
      <c r="ER348" s="189"/>
      <c r="ES348" s="189"/>
      <c r="ET348" s="189"/>
      <c r="EU348" s="189"/>
      <c r="EV348" s="189"/>
      <c r="EW348" s="189"/>
      <c r="EX348" s="189"/>
      <c r="EY348" s="189"/>
      <c r="EZ348" s="189"/>
      <c r="FA348" s="189"/>
      <c r="FB348" s="189"/>
      <c r="FC348" s="189"/>
      <c r="FD348" s="189"/>
      <c r="FE348" s="189"/>
      <c r="FF348" s="189"/>
      <c r="FG348" s="189"/>
      <c r="FH348" s="189"/>
      <c r="FI348" s="189"/>
      <c r="FJ348" s="189"/>
      <c r="FK348" s="189"/>
      <c r="FL348" s="189"/>
      <c r="FM348" s="189"/>
      <c r="FN348" s="189"/>
      <c r="FO348" s="189"/>
      <c r="FP348" s="189"/>
      <c r="FQ348" s="189"/>
      <c r="FR348" s="189"/>
      <c r="FS348" s="189"/>
      <c r="FT348" s="189"/>
      <c r="FU348" s="189"/>
      <c r="FV348" s="189"/>
      <c r="FW348" s="189"/>
      <c r="FX348" s="189"/>
      <c r="FY348" s="189"/>
      <c r="FZ348" s="189"/>
      <c r="GA348" s="189"/>
      <c r="GB348" s="189"/>
      <c r="GC348" s="189"/>
      <c r="GD348" s="189"/>
      <c r="GE348" s="189"/>
      <c r="GF348" s="189"/>
      <c r="GG348" s="189"/>
      <c r="GH348" s="189"/>
      <c r="GI348" s="189"/>
      <c r="GJ348" s="189"/>
      <c r="GK348" s="189"/>
      <c r="GL348" s="189"/>
      <c r="GM348" s="189"/>
      <c r="GN348" s="189"/>
      <c r="GO348" s="189"/>
      <c r="GP348" s="189"/>
      <c r="GQ348" s="189"/>
      <c r="GR348" s="189"/>
      <c r="GS348" s="189"/>
      <c r="GT348" s="189"/>
      <c r="GU348" s="189"/>
      <c r="GV348" s="189"/>
      <c r="GW348" s="189"/>
      <c r="GX348" s="189"/>
      <c r="GY348" s="189"/>
      <c r="GZ348" s="189"/>
      <c r="HA348" s="189"/>
      <c r="HB348" s="189"/>
      <c r="HC348" s="189"/>
      <c r="HD348" s="189"/>
      <c r="HE348" s="189"/>
      <c r="HF348" s="189"/>
      <c r="HG348" s="189"/>
      <c r="HH348" s="189"/>
      <c r="HI348" s="189"/>
      <c r="HJ348" s="189"/>
      <c r="HK348" s="189"/>
      <c r="HL348" s="189"/>
      <c r="HM348" s="189"/>
      <c r="HN348" s="189"/>
      <c r="HO348" s="189"/>
      <c r="HP348" s="189"/>
      <c r="HQ348" s="189"/>
      <c r="HR348" s="189"/>
      <c r="HS348" s="189"/>
      <c r="HT348" s="189"/>
      <c r="HU348" s="189"/>
      <c r="HV348" s="189"/>
      <c r="HW348" s="189"/>
      <c r="HX348" s="189"/>
      <c r="HY348" s="189"/>
      <c r="HZ348" s="189"/>
      <c r="IA348" s="189"/>
      <c r="IB348" s="189"/>
      <c r="IC348" s="189"/>
      <c r="ID348" s="189"/>
      <c r="IE348" s="189"/>
      <c r="IF348" s="189"/>
      <c r="IG348" s="189"/>
      <c r="IH348" s="189"/>
      <c r="II348" s="189"/>
      <c r="IJ348" s="189"/>
      <c r="IK348" s="189"/>
      <c r="IL348" s="189"/>
      <c r="IM348" s="189"/>
      <c r="IN348" s="189"/>
      <c r="IO348" s="189"/>
      <c r="IP348" s="189"/>
      <c r="IQ348" s="189"/>
      <c r="IR348" s="189"/>
      <c r="IS348" s="189"/>
      <c r="IT348" s="189"/>
      <c r="IU348" s="189"/>
      <c r="IV348" s="189"/>
    </row>
    <row r="349" spans="1:256" ht="15">
      <c r="A349" s="837"/>
      <c r="B349" s="840"/>
      <c r="C349" s="196" t="s">
        <v>2</v>
      </c>
      <c r="D349" s="174">
        <f>D347+D348</f>
        <v>9975300.8000000007</v>
      </c>
      <c r="E349" s="175">
        <f t="shared" ref="E349:P349" si="146">E347+E348</f>
        <v>4865680.8</v>
      </c>
      <c r="F349" s="175">
        <f t="shared" si="146"/>
        <v>3651425.8</v>
      </c>
      <c r="G349" s="175">
        <f t="shared" si="146"/>
        <v>2266957.02</v>
      </c>
      <c r="H349" s="175">
        <f t="shared" si="146"/>
        <v>1384468.78</v>
      </c>
      <c r="I349" s="175">
        <f t="shared" si="146"/>
        <v>0</v>
      </c>
      <c r="J349" s="175">
        <f t="shared" si="146"/>
        <v>0</v>
      </c>
      <c r="K349" s="175">
        <f t="shared" si="146"/>
        <v>1214255</v>
      </c>
      <c r="L349" s="175">
        <f t="shared" si="146"/>
        <v>0</v>
      </c>
      <c r="M349" s="175">
        <f t="shared" si="146"/>
        <v>5109620</v>
      </c>
      <c r="N349" s="175">
        <f t="shared" si="146"/>
        <v>4109620</v>
      </c>
      <c r="O349" s="175">
        <f t="shared" si="146"/>
        <v>4109620</v>
      </c>
      <c r="P349" s="175">
        <f t="shared" si="146"/>
        <v>1000000</v>
      </c>
      <c r="Q349" s="188"/>
      <c r="R349" s="188"/>
      <c r="S349" s="188"/>
      <c r="T349" s="188"/>
      <c r="U349" s="188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89"/>
      <c r="BN349" s="189"/>
      <c r="BO349" s="189"/>
      <c r="BP349" s="189"/>
      <c r="BQ349" s="189"/>
      <c r="BR349" s="189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  <c r="CW349" s="189"/>
      <c r="CX349" s="189"/>
      <c r="CY349" s="189"/>
      <c r="CZ349" s="189"/>
      <c r="DA349" s="189"/>
      <c r="DB349" s="189"/>
      <c r="DC349" s="189"/>
      <c r="DD349" s="189"/>
      <c r="DE349" s="189"/>
      <c r="DF349" s="189"/>
      <c r="DG349" s="189"/>
      <c r="DH349" s="189"/>
      <c r="DI349" s="189"/>
      <c r="DJ349" s="189"/>
      <c r="DK349" s="189"/>
      <c r="DL349" s="189"/>
      <c r="DM349" s="189"/>
      <c r="DN349" s="189"/>
      <c r="DO349" s="189"/>
      <c r="DP349" s="189"/>
      <c r="DQ349" s="189"/>
      <c r="DR349" s="189"/>
      <c r="DS349" s="189"/>
      <c r="DT349" s="189"/>
      <c r="DU349" s="189"/>
      <c r="DV349" s="189"/>
      <c r="DW349" s="189"/>
      <c r="DX349" s="189"/>
      <c r="DY349" s="189"/>
      <c r="DZ349" s="189"/>
      <c r="EA349" s="189"/>
      <c r="EB349" s="189"/>
      <c r="EC349" s="189"/>
      <c r="ED349" s="189"/>
      <c r="EE349" s="189"/>
      <c r="EF349" s="189"/>
      <c r="EG349" s="189"/>
      <c r="EH349" s="189"/>
      <c r="EI349" s="189"/>
      <c r="EJ349" s="189"/>
      <c r="EK349" s="189"/>
      <c r="EL349" s="189"/>
      <c r="EM349" s="189"/>
      <c r="EN349" s="189"/>
      <c r="EO349" s="189"/>
      <c r="EP349" s="189"/>
      <c r="EQ349" s="189"/>
      <c r="ER349" s="189"/>
      <c r="ES349" s="189"/>
      <c r="ET349" s="189"/>
      <c r="EU349" s="189"/>
      <c r="EV349" s="189"/>
      <c r="EW349" s="189"/>
      <c r="EX349" s="189"/>
      <c r="EY349" s="189"/>
      <c r="EZ349" s="189"/>
      <c r="FA349" s="189"/>
      <c r="FB349" s="189"/>
      <c r="FC349" s="189"/>
      <c r="FD349" s="189"/>
      <c r="FE349" s="189"/>
      <c r="FF349" s="189"/>
      <c r="FG349" s="189"/>
      <c r="FH349" s="189"/>
      <c r="FI349" s="189"/>
      <c r="FJ349" s="189"/>
      <c r="FK349" s="189"/>
      <c r="FL349" s="189"/>
      <c r="FM349" s="189"/>
      <c r="FN349" s="189"/>
      <c r="FO349" s="189"/>
      <c r="FP349" s="189"/>
      <c r="FQ349" s="189"/>
      <c r="FR349" s="189"/>
      <c r="FS349" s="189"/>
      <c r="FT349" s="189"/>
      <c r="FU349" s="189"/>
      <c r="FV349" s="189"/>
      <c r="FW349" s="189"/>
      <c r="FX349" s="189"/>
      <c r="FY349" s="189"/>
      <c r="FZ349" s="189"/>
      <c r="GA349" s="189"/>
      <c r="GB349" s="189"/>
      <c r="GC349" s="189"/>
      <c r="GD349" s="189"/>
      <c r="GE349" s="189"/>
      <c r="GF349" s="189"/>
      <c r="GG349" s="189"/>
      <c r="GH349" s="189"/>
      <c r="GI349" s="189"/>
      <c r="GJ349" s="189"/>
      <c r="GK349" s="189"/>
      <c r="GL349" s="189"/>
      <c r="GM349" s="189"/>
      <c r="GN349" s="189"/>
      <c r="GO349" s="189"/>
      <c r="GP349" s="189"/>
      <c r="GQ349" s="189"/>
      <c r="GR349" s="189"/>
      <c r="GS349" s="189"/>
      <c r="GT349" s="189"/>
      <c r="GU349" s="189"/>
      <c r="GV349" s="189"/>
      <c r="GW349" s="189"/>
      <c r="GX349" s="189"/>
      <c r="GY349" s="189"/>
      <c r="GZ349" s="189"/>
      <c r="HA349" s="189"/>
      <c r="HB349" s="189"/>
      <c r="HC349" s="189"/>
      <c r="HD349" s="189"/>
      <c r="HE349" s="189"/>
      <c r="HF349" s="189"/>
      <c r="HG349" s="189"/>
      <c r="HH349" s="189"/>
      <c r="HI349" s="189"/>
      <c r="HJ349" s="189"/>
      <c r="HK349" s="189"/>
      <c r="HL349" s="189"/>
      <c r="HM349" s="189"/>
      <c r="HN349" s="189"/>
      <c r="HO349" s="189"/>
      <c r="HP349" s="189"/>
      <c r="HQ349" s="189"/>
      <c r="HR349" s="189"/>
      <c r="HS349" s="189"/>
      <c r="HT349" s="189"/>
      <c r="HU349" s="189"/>
      <c r="HV349" s="189"/>
      <c r="HW349" s="189"/>
      <c r="HX349" s="189"/>
      <c r="HY349" s="189"/>
      <c r="HZ349" s="189"/>
      <c r="IA349" s="189"/>
      <c r="IB349" s="189"/>
      <c r="IC349" s="189"/>
      <c r="ID349" s="189"/>
      <c r="IE349" s="189"/>
      <c r="IF349" s="189"/>
      <c r="IG349" s="189"/>
      <c r="IH349" s="189"/>
      <c r="II349" s="189"/>
      <c r="IJ349" s="189"/>
      <c r="IK349" s="189"/>
      <c r="IL349" s="189"/>
      <c r="IM349" s="189"/>
      <c r="IN349" s="189"/>
      <c r="IO349" s="189"/>
      <c r="IP349" s="189"/>
      <c r="IQ349" s="189"/>
      <c r="IR349" s="189"/>
      <c r="IS349" s="189"/>
      <c r="IT349" s="189"/>
      <c r="IU349" s="189"/>
      <c r="IV349" s="189"/>
    </row>
    <row r="350" spans="1:256" hidden="1">
      <c r="A350" s="841">
        <v>90002</v>
      </c>
      <c r="B350" s="844" t="s">
        <v>309</v>
      </c>
      <c r="C350" s="178" t="s">
        <v>0</v>
      </c>
      <c r="D350" s="180">
        <f t="shared" ref="D350:D375" si="147">E350+M350</f>
        <v>2000</v>
      </c>
      <c r="E350" s="181">
        <f t="shared" ref="E350:E375" si="148">F350+I350+J350+K350+L350</f>
        <v>2000</v>
      </c>
      <c r="F350" s="181">
        <f t="shared" ref="F350:F375" si="149">G350+H350</f>
        <v>2000</v>
      </c>
      <c r="G350" s="181">
        <v>2000</v>
      </c>
      <c r="H350" s="181">
        <v>0</v>
      </c>
      <c r="I350" s="181">
        <v>0</v>
      </c>
      <c r="J350" s="181">
        <v>0</v>
      </c>
      <c r="K350" s="181">
        <v>0</v>
      </c>
      <c r="L350" s="181">
        <v>0</v>
      </c>
      <c r="M350" s="181">
        <f>N350+P350</f>
        <v>0</v>
      </c>
      <c r="N350" s="181">
        <v>0</v>
      </c>
      <c r="O350" s="181">
        <v>0</v>
      </c>
      <c r="P350" s="181">
        <v>0</v>
      </c>
      <c r="Q350" s="182"/>
      <c r="R350" s="182"/>
      <c r="S350" s="182"/>
      <c r="T350" s="182"/>
      <c r="U350" s="182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8"/>
      <c r="FF350" s="148"/>
      <c r="FG350" s="148"/>
      <c r="FH350" s="148"/>
      <c r="FI350" s="148"/>
      <c r="FJ350" s="148"/>
      <c r="FK350" s="148"/>
      <c r="FL350" s="148"/>
      <c r="FM350" s="148"/>
      <c r="FN350" s="148"/>
      <c r="FO350" s="148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  <c r="GB350" s="148"/>
      <c r="GC350" s="148"/>
      <c r="GD350" s="148"/>
      <c r="GE350" s="148"/>
      <c r="GF350" s="148"/>
      <c r="GG350" s="148"/>
      <c r="GH350" s="148"/>
      <c r="GI350" s="148"/>
      <c r="GJ350" s="148"/>
      <c r="GK350" s="148"/>
      <c r="GL350" s="148"/>
      <c r="GM350" s="148"/>
      <c r="GN350" s="148"/>
      <c r="GO350" s="148"/>
      <c r="GP350" s="148"/>
      <c r="GQ350" s="148"/>
      <c r="GR350" s="148"/>
      <c r="GS350" s="148"/>
      <c r="GT350" s="148"/>
      <c r="GU350" s="148"/>
      <c r="GV350" s="148"/>
      <c r="GW350" s="148"/>
      <c r="GX350" s="148"/>
      <c r="GY350" s="148"/>
      <c r="GZ350" s="148"/>
      <c r="HA350" s="148"/>
      <c r="HB350" s="148"/>
      <c r="HC350" s="148"/>
      <c r="HD350" s="148"/>
      <c r="HE350" s="148"/>
      <c r="HF350" s="148"/>
      <c r="HG350" s="148"/>
      <c r="HH350" s="148"/>
      <c r="HI350" s="148"/>
      <c r="HJ350" s="148"/>
      <c r="HK350" s="148"/>
      <c r="HL350" s="148"/>
      <c r="HM350" s="148"/>
      <c r="HN350" s="148"/>
      <c r="HO350" s="148"/>
      <c r="HP350" s="148"/>
      <c r="HQ350" s="148"/>
      <c r="HR350" s="148"/>
      <c r="HS350" s="148"/>
      <c r="HT350" s="148"/>
      <c r="HU350" s="148"/>
      <c r="HV350" s="148"/>
      <c r="HW350" s="148"/>
      <c r="HX350" s="148"/>
      <c r="HY350" s="148"/>
      <c r="HZ350" s="148"/>
      <c r="IA350" s="148"/>
      <c r="IB350" s="148"/>
      <c r="IC350" s="148"/>
      <c r="ID350" s="148"/>
      <c r="IE350" s="148"/>
      <c r="IF350" s="148"/>
      <c r="IG350" s="148"/>
      <c r="IH350" s="148"/>
      <c r="II350" s="148"/>
      <c r="IJ350" s="148"/>
      <c r="IK350" s="148"/>
      <c r="IL350" s="148"/>
      <c r="IM350" s="148"/>
      <c r="IN350" s="148"/>
      <c r="IO350" s="148"/>
      <c r="IP350" s="148"/>
      <c r="IQ350" s="148"/>
      <c r="IR350" s="148"/>
      <c r="IS350" s="148"/>
      <c r="IT350" s="148"/>
      <c r="IU350" s="148"/>
      <c r="IV350" s="148"/>
    </row>
    <row r="351" spans="1:256" hidden="1">
      <c r="A351" s="842"/>
      <c r="B351" s="845"/>
      <c r="C351" s="178" t="s">
        <v>1</v>
      </c>
      <c r="D351" s="180">
        <f t="shared" si="147"/>
        <v>0</v>
      </c>
      <c r="E351" s="181">
        <f t="shared" si="148"/>
        <v>0</v>
      </c>
      <c r="F351" s="181">
        <f t="shared" si="149"/>
        <v>0</v>
      </c>
      <c r="G351" s="181"/>
      <c r="H351" s="181"/>
      <c r="I351" s="181"/>
      <c r="J351" s="181"/>
      <c r="K351" s="181"/>
      <c r="L351" s="181"/>
      <c r="M351" s="181">
        <f>N351+P351</f>
        <v>0</v>
      </c>
      <c r="N351" s="181"/>
      <c r="O351" s="181"/>
      <c r="P351" s="181"/>
      <c r="Q351" s="182"/>
      <c r="R351" s="182"/>
      <c r="S351" s="182"/>
      <c r="T351" s="182"/>
      <c r="U351" s="182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  <c r="CW351" s="148"/>
      <c r="CX351" s="148"/>
      <c r="CY351" s="148"/>
      <c r="CZ351" s="148"/>
      <c r="DA351" s="148"/>
      <c r="DB351" s="148"/>
      <c r="DC351" s="148"/>
      <c r="DD351" s="148"/>
      <c r="DE351" s="148"/>
      <c r="DF351" s="148"/>
      <c r="DG351" s="148"/>
      <c r="DH351" s="148"/>
      <c r="DI351" s="148"/>
      <c r="DJ351" s="148"/>
      <c r="DK351" s="148"/>
      <c r="DL351" s="148"/>
      <c r="DM351" s="148"/>
      <c r="DN351" s="148"/>
      <c r="DO351" s="148"/>
      <c r="DP351" s="148"/>
      <c r="DQ351" s="148"/>
      <c r="DR351" s="148"/>
      <c r="DS351" s="148"/>
      <c r="DT351" s="148"/>
      <c r="DU351" s="148"/>
      <c r="DV351" s="148"/>
      <c r="DW351" s="148"/>
      <c r="DX351" s="148"/>
      <c r="DY351" s="148"/>
      <c r="DZ351" s="148"/>
      <c r="EA351" s="148"/>
      <c r="EB351" s="148"/>
      <c r="EC351" s="148"/>
      <c r="ED351" s="148"/>
      <c r="EE351" s="148"/>
      <c r="EF351" s="148"/>
      <c r="EG351" s="148"/>
      <c r="EH351" s="148"/>
      <c r="EI351" s="148"/>
      <c r="EJ351" s="148"/>
      <c r="EK351" s="148"/>
      <c r="EL351" s="148"/>
      <c r="EM351" s="148"/>
      <c r="EN351" s="148"/>
      <c r="EO351" s="148"/>
      <c r="EP351" s="148"/>
      <c r="EQ351" s="148"/>
      <c r="ER351" s="148"/>
      <c r="ES351" s="148"/>
      <c r="ET351" s="148"/>
      <c r="EU351" s="148"/>
      <c r="EV351" s="148"/>
      <c r="EW351" s="148"/>
      <c r="EX351" s="148"/>
      <c r="EY351" s="148"/>
      <c r="EZ351" s="148"/>
      <c r="FA351" s="148"/>
      <c r="FB351" s="148"/>
      <c r="FC351" s="148"/>
      <c r="FD351" s="148"/>
      <c r="FE351" s="148"/>
      <c r="FF351" s="148"/>
      <c r="FG351" s="148"/>
      <c r="FH351" s="148"/>
      <c r="FI351" s="148"/>
      <c r="FJ351" s="148"/>
      <c r="FK351" s="148"/>
      <c r="FL351" s="148"/>
      <c r="FM351" s="148"/>
      <c r="FN351" s="148"/>
      <c r="FO351" s="148"/>
      <c r="FP351" s="148"/>
      <c r="FQ351" s="148"/>
      <c r="FR351" s="148"/>
      <c r="FS351" s="148"/>
      <c r="FT351" s="148"/>
      <c r="FU351" s="148"/>
      <c r="FV351" s="148"/>
      <c r="FW351" s="148"/>
      <c r="FX351" s="148"/>
      <c r="FY351" s="148"/>
      <c r="FZ351" s="148"/>
      <c r="GA351" s="148"/>
      <c r="GB351" s="148"/>
      <c r="GC351" s="148"/>
      <c r="GD351" s="148"/>
      <c r="GE351" s="148"/>
      <c r="GF351" s="148"/>
      <c r="GG351" s="148"/>
      <c r="GH351" s="148"/>
      <c r="GI351" s="148"/>
      <c r="GJ351" s="148"/>
      <c r="GK351" s="148"/>
      <c r="GL351" s="148"/>
      <c r="GM351" s="148"/>
      <c r="GN351" s="148"/>
      <c r="GO351" s="148"/>
      <c r="GP351" s="148"/>
      <c r="GQ351" s="148"/>
      <c r="GR351" s="148"/>
      <c r="GS351" s="148"/>
      <c r="GT351" s="148"/>
      <c r="GU351" s="148"/>
      <c r="GV351" s="148"/>
      <c r="GW351" s="148"/>
      <c r="GX351" s="148"/>
      <c r="GY351" s="148"/>
      <c r="GZ351" s="148"/>
      <c r="HA351" s="148"/>
      <c r="HB351" s="148"/>
      <c r="HC351" s="148"/>
      <c r="HD351" s="148"/>
      <c r="HE351" s="148"/>
      <c r="HF351" s="148"/>
      <c r="HG351" s="148"/>
      <c r="HH351" s="148"/>
      <c r="HI351" s="148"/>
      <c r="HJ351" s="148"/>
      <c r="HK351" s="148"/>
      <c r="HL351" s="148"/>
      <c r="HM351" s="148"/>
      <c r="HN351" s="148"/>
      <c r="HO351" s="148"/>
      <c r="HP351" s="148"/>
      <c r="HQ351" s="148"/>
      <c r="HR351" s="148"/>
      <c r="HS351" s="148"/>
      <c r="HT351" s="148"/>
      <c r="HU351" s="148"/>
      <c r="HV351" s="148"/>
      <c r="HW351" s="148"/>
      <c r="HX351" s="148"/>
      <c r="HY351" s="148"/>
      <c r="HZ351" s="148"/>
      <c r="IA351" s="148"/>
      <c r="IB351" s="148"/>
      <c r="IC351" s="148"/>
      <c r="ID351" s="148"/>
      <c r="IE351" s="148"/>
      <c r="IF351" s="148"/>
      <c r="IG351" s="148"/>
      <c r="IH351" s="148"/>
      <c r="II351" s="148"/>
      <c r="IJ351" s="148"/>
      <c r="IK351" s="148"/>
      <c r="IL351" s="148"/>
      <c r="IM351" s="148"/>
      <c r="IN351" s="148"/>
      <c r="IO351" s="148"/>
      <c r="IP351" s="148"/>
      <c r="IQ351" s="148"/>
      <c r="IR351" s="148"/>
      <c r="IS351" s="148"/>
      <c r="IT351" s="148"/>
      <c r="IU351" s="148"/>
      <c r="IV351" s="148"/>
    </row>
    <row r="352" spans="1:256" hidden="1">
      <c r="A352" s="843"/>
      <c r="B352" s="846"/>
      <c r="C352" s="178" t="s">
        <v>2</v>
      </c>
      <c r="D352" s="180">
        <f>D350+D351</f>
        <v>2000</v>
      </c>
      <c r="E352" s="181">
        <f t="shared" ref="E352:P352" si="150">E350+E351</f>
        <v>2000</v>
      </c>
      <c r="F352" s="181">
        <f t="shared" si="150"/>
        <v>2000</v>
      </c>
      <c r="G352" s="181">
        <f t="shared" si="150"/>
        <v>2000</v>
      </c>
      <c r="H352" s="181">
        <f t="shared" si="150"/>
        <v>0</v>
      </c>
      <c r="I352" s="181">
        <f t="shared" si="150"/>
        <v>0</v>
      </c>
      <c r="J352" s="181">
        <f t="shared" si="150"/>
        <v>0</v>
      </c>
      <c r="K352" s="181">
        <f t="shared" si="150"/>
        <v>0</v>
      </c>
      <c r="L352" s="181">
        <f t="shared" si="150"/>
        <v>0</v>
      </c>
      <c r="M352" s="181">
        <f t="shared" si="150"/>
        <v>0</v>
      </c>
      <c r="N352" s="181">
        <f t="shared" si="150"/>
        <v>0</v>
      </c>
      <c r="O352" s="181">
        <f t="shared" si="150"/>
        <v>0</v>
      </c>
      <c r="P352" s="181">
        <f t="shared" si="150"/>
        <v>0</v>
      </c>
      <c r="Q352" s="182"/>
      <c r="R352" s="182"/>
      <c r="S352" s="182"/>
      <c r="T352" s="182"/>
      <c r="U352" s="182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  <c r="GB352" s="148"/>
      <c r="GC352" s="148"/>
      <c r="GD352" s="148"/>
      <c r="GE352" s="148"/>
      <c r="GF352" s="148"/>
      <c r="GG352" s="148"/>
      <c r="GH352" s="148"/>
      <c r="GI352" s="148"/>
      <c r="GJ352" s="148"/>
      <c r="GK352" s="148"/>
      <c r="GL352" s="148"/>
      <c r="GM352" s="148"/>
      <c r="GN352" s="148"/>
      <c r="GO352" s="148"/>
      <c r="GP352" s="148"/>
      <c r="GQ352" s="148"/>
      <c r="GR352" s="148"/>
      <c r="GS352" s="148"/>
      <c r="GT352" s="148"/>
      <c r="GU352" s="148"/>
      <c r="GV352" s="148"/>
      <c r="GW352" s="148"/>
      <c r="GX352" s="148"/>
      <c r="GY352" s="148"/>
      <c r="GZ352" s="148"/>
      <c r="HA352" s="148"/>
      <c r="HB352" s="148"/>
      <c r="HC352" s="148"/>
      <c r="HD352" s="148"/>
      <c r="HE352" s="148"/>
      <c r="HF352" s="148"/>
      <c r="HG352" s="148"/>
      <c r="HH352" s="148"/>
      <c r="HI352" s="148"/>
      <c r="HJ352" s="148"/>
      <c r="HK352" s="148"/>
      <c r="HL352" s="148"/>
      <c r="HM352" s="148"/>
      <c r="HN352" s="148"/>
      <c r="HO352" s="148"/>
      <c r="HP352" s="148"/>
      <c r="HQ352" s="148"/>
      <c r="HR352" s="148"/>
      <c r="HS352" s="148"/>
      <c r="HT352" s="148"/>
      <c r="HU352" s="148"/>
      <c r="HV352" s="148"/>
      <c r="HW352" s="148"/>
      <c r="HX352" s="148"/>
      <c r="HY352" s="148"/>
      <c r="HZ352" s="148"/>
      <c r="IA352" s="148"/>
      <c r="IB352" s="148"/>
      <c r="IC352" s="148"/>
      <c r="ID352" s="148"/>
      <c r="IE352" s="148"/>
      <c r="IF352" s="148"/>
      <c r="IG352" s="148"/>
      <c r="IH352" s="148"/>
      <c r="II352" s="148"/>
      <c r="IJ352" s="148"/>
      <c r="IK352" s="148"/>
      <c r="IL352" s="148"/>
      <c r="IM352" s="148"/>
      <c r="IN352" s="148"/>
      <c r="IO352" s="148"/>
      <c r="IP352" s="148"/>
      <c r="IQ352" s="148"/>
      <c r="IR352" s="148"/>
      <c r="IS352" s="148"/>
      <c r="IT352" s="148"/>
      <c r="IU352" s="148"/>
      <c r="IV352" s="148"/>
    </row>
    <row r="353" spans="1:256" hidden="1">
      <c r="A353" s="841">
        <v>90005</v>
      </c>
      <c r="B353" s="844" t="s">
        <v>310</v>
      </c>
      <c r="C353" s="178" t="s">
        <v>0</v>
      </c>
      <c r="D353" s="180">
        <f t="shared" si="147"/>
        <v>352000</v>
      </c>
      <c r="E353" s="181">
        <f t="shared" si="148"/>
        <v>352000</v>
      </c>
      <c r="F353" s="181">
        <f t="shared" si="149"/>
        <v>352000</v>
      </c>
      <c r="G353" s="181">
        <v>215000</v>
      </c>
      <c r="H353" s="181">
        <f>339000-202000</f>
        <v>137000</v>
      </c>
      <c r="I353" s="181">
        <v>0</v>
      </c>
      <c r="J353" s="181">
        <v>0</v>
      </c>
      <c r="K353" s="181">
        <v>0</v>
      </c>
      <c r="L353" s="181">
        <v>0</v>
      </c>
      <c r="M353" s="181">
        <f t="shared" ref="M353:M375" si="151">N353+P353</f>
        <v>0</v>
      </c>
      <c r="N353" s="181">
        <v>0</v>
      </c>
      <c r="O353" s="181">
        <v>0</v>
      </c>
      <c r="P353" s="181">
        <v>0</v>
      </c>
      <c r="Q353" s="182"/>
      <c r="R353" s="182"/>
      <c r="S353" s="182"/>
      <c r="T353" s="182"/>
      <c r="U353" s="182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48"/>
      <c r="CC353" s="148"/>
      <c r="CD353" s="148"/>
      <c r="CE353" s="148"/>
      <c r="CF353" s="148"/>
      <c r="CG353" s="148"/>
      <c r="CH353" s="148"/>
      <c r="CI353" s="148"/>
      <c r="CJ353" s="148"/>
      <c r="CK353" s="148"/>
      <c r="CL353" s="148"/>
      <c r="CM353" s="148"/>
      <c r="CN353" s="148"/>
      <c r="CO353" s="148"/>
      <c r="CP353" s="148"/>
      <c r="CQ353" s="148"/>
      <c r="CR353" s="148"/>
      <c r="CS353" s="148"/>
      <c r="CT353" s="148"/>
      <c r="CU353" s="148"/>
      <c r="CV353" s="148"/>
      <c r="CW353" s="148"/>
      <c r="CX353" s="148"/>
      <c r="CY353" s="148"/>
      <c r="CZ353" s="148"/>
      <c r="DA353" s="148"/>
      <c r="DB353" s="148"/>
      <c r="DC353" s="148"/>
      <c r="DD353" s="148"/>
      <c r="DE353" s="148"/>
      <c r="DF353" s="148"/>
      <c r="DG353" s="148"/>
      <c r="DH353" s="148"/>
      <c r="DI353" s="148"/>
      <c r="DJ353" s="148"/>
      <c r="DK353" s="148"/>
      <c r="DL353" s="148"/>
      <c r="DM353" s="148"/>
      <c r="DN353" s="148"/>
      <c r="DO353" s="148"/>
      <c r="DP353" s="148"/>
      <c r="DQ353" s="148"/>
      <c r="DR353" s="148"/>
      <c r="DS353" s="148"/>
      <c r="DT353" s="148"/>
      <c r="DU353" s="148"/>
      <c r="DV353" s="148"/>
      <c r="DW353" s="148"/>
      <c r="DX353" s="148"/>
      <c r="DY353" s="148"/>
      <c r="DZ353" s="148"/>
      <c r="EA353" s="148"/>
      <c r="EB353" s="148"/>
      <c r="EC353" s="148"/>
      <c r="ED353" s="148"/>
      <c r="EE353" s="148"/>
      <c r="EF353" s="148"/>
      <c r="EG353" s="148"/>
      <c r="EH353" s="148"/>
      <c r="EI353" s="148"/>
      <c r="EJ353" s="148"/>
      <c r="EK353" s="148"/>
      <c r="EL353" s="148"/>
      <c r="EM353" s="148"/>
      <c r="EN353" s="148"/>
      <c r="EO353" s="148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  <c r="FH353" s="148"/>
      <c r="FI353" s="148"/>
      <c r="FJ353" s="148"/>
      <c r="FK353" s="148"/>
      <c r="FL353" s="148"/>
      <c r="FM353" s="148"/>
      <c r="FN353" s="148"/>
      <c r="FO353" s="148"/>
      <c r="FP353" s="148"/>
      <c r="FQ353" s="148"/>
      <c r="FR353" s="148"/>
      <c r="FS353" s="148"/>
      <c r="FT353" s="148"/>
      <c r="FU353" s="148"/>
      <c r="FV353" s="148"/>
      <c r="FW353" s="148"/>
      <c r="FX353" s="148"/>
      <c r="FY353" s="148"/>
      <c r="FZ353" s="148"/>
      <c r="GA353" s="148"/>
      <c r="GB353" s="148"/>
      <c r="GC353" s="148"/>
      <c r="GD353" s="148"/>
      <c r="GE353" s="148"/>
      <c r="GF353" s="148"/>
      <c r="GG353" s="148"/>
      <c r="GH353" s="148"/>
      <c r="GI353" s="148"/>
      <c r="GJ353" s="148"/>
      <c r="GK353" s="148"/>
      <c r="GL353" s="148"/>
      <c r="GM353" s="148"/>
      <c r="GN353" s="148"/>
      <c r="GO353" s="148"/>
      <c r="GP353" s="148"/>
      <c r="GQ353" s="148"/>
      <c r="GR353" s="148"/>
      <c r="GS353" s="148"/>
      <c r="GT353" s="148"/>
      <c r="GU353" s="148"/>
      <c r="GV353" s="148"/>
      <c r="GW353" s="148"/>
      <c r="GX353" s="148"/>
      <c r="GY353" s="148"/>
      <c r="GZ353" s="148"/>
      <c r="HA353" s="148"/>
      <c r="HB353" s="148"/>
      <c r="HC353" s="148"/>
      <c r="HD353" s="148"/>
      <c r="HE353" s="148"/>
      <c r="HF353" s="148"/>
      <c r="HG353" s="148"/>
      <c r="HH353" s="148"/>
      <c r="HI353" s="148"/>
      <c r="HJ353" s="148"/>
      <c r="HK353" s="148"/>
      <c r="HL353" s="148"/>
      <c r="HM353" s="148"/>
      <c r="HN353" s="148"/>
      <c r="HO353" s="148"/>
      <c r="HP353" s="148"/>
      <c r="HQ353" s="148"/>
      <c r="HR353" s="148"/>
      <c r="HS353" s="148"/>
      <c r="HT353" s="148"/>
      <c r="HU353" s="148"/>
      <c r="HV353" s="148"/>
      <c r="HW353" s="148"/>
      <c r="HX353" s="148"/>
      <c r="HY353" s="148"/>
      <c r="HZ353" s="148"/>
      <c r="IA353" s="148"/>
      <c r="IB353" s="148"/>
      <c r="IC353" s="148"/>
      <c r="ID353" s="148"/>
      <c r="IE353" s="148"/>
      <c r="IF353" s="148"/>
      <c r="IG353" s="148"/>
      <c r="IH353" s="148"/>
      <c r="II353" s="148"/>
      <c r="IJ353" s="148"/>
      <c r="IK353" s="148"/>
      <c r="IL353" s="148"/>
      <c r="IM353" s="148"/>
      <c r="IN353" s="148"/>
      <c r="IO353" s="148"/>
      <c r="IP353" s="148"/>
      <c r="IQ353" s="148"/>
      <c r="IR353" s="148"/>
      <c r="IS353" s="148"/>
      <c r="IT353" s="148"/>
      <c r="IU353" s="148"/>
      <c r="IV353" s="148"/>
    </row>
    <row r="354" spans="1:256" hidden="1">
      <c r="A354" s="842"/>
      <c r="B354" s="845"/>
      <c r="C354" s="178" t="s">
        <v>1</v>
      </c>
      <c r="D354" s="180">
        <f t="shared" si="147"/>
        <v>0</v>
      </c>
      <c r="E354" s="181">
        <f t="shared" si="148"/>
        <v>0</v>
      </c>
      <c r="F354" s="181">
        <f t="shared" si="149"/>
        <v>0</v>
      </c>
      <c r="G354" s="181"/>
      <c r="H354" s="181"/>
      <c r="I354" s="181"/>
      <c r="J354" s="181"/>
      <c r="K354" s="181"/>
      <c r="L354" s="181"/>
      <c r="M354" s="181">
        <f t="shared" si="151"/>
        <v>0</v>
      </c>
      <c r="N354" s="181"/>
      <c r="O354" s="181"/>
      <c r="P354" s="181"/>
      <c r="Q354" s="182"/>
      <c r="R354" s="182"/>
      <c r="S354" s="182"/>
      <c r="T354" s="182"/>
      <c r="U354" s="182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48"/>
      <c r="CC354" s="148"/>
      <c r="CD354" s="148"/>
      <c r="CE354" s="148"/>
      <c r="CF354" s="148"/>
      <c r="CG354" s="148"/>
      <c r="CH354" s="148"/>
      <c r="CI354" s="148"/>
      <c r="CJ354" s="148"/>
      <c r="CK354" s="148"/>
      <c r="CL354" s="148"/>
      <c r="CM354" s="148"/>
      <c r="CN354" s="148"/>
      <c r="CO354" s="148"/>
      <c r="CP354" s="148"/>
      <c r="CQ354" s="148"/>
      <c r="CR354" s="148"/>
      <c r="CS354" s="148"/>
      <c r="CT354" s="148"/>
      <c r="CU354" s="148"/>
      <c r="CV354" s="148"/>
      <c r="CW354" s="148"/>
      <c r="CX354" s="148"/>
      <c r="CY354" s="148"/>
      <c r="CZ354" s="148"/>
      <c r="DA354" s="148"/>
      <c r="DB354" s="148"/>
      <c r="DC354" s="148"/>
      <c r="DD354" s="148"/>
      <c r="DE354" s="148"/>
      <c r="DF354" s="148"/>
      <c r="DG354" s="148"/>
      <c r="DH354" s="148"/>
      <c r="DI354" s="148"/>
      <c r="DJ354" s="148"/>
      <c r="DK354" s="148"/>
      <c r="DL354" s="148"/>
      <c r="DM354" s="148"/>
      <c r="DN354" s="148"/>
      <c r="DO354" s="148"/>
      <c r="DP354" s="148"/>
      <c r="DQ354" s="148"/>
      <c r="DR354" s="148"/>
      <c r="DS354" s="148"/>
      <c r="DT354" s="148"/>
      <c r="DU354" s="148"/>
      <c r="DV354" s="148"/>
      <c r="DW354" s="148"/>
      <c r="DX354" s="148"/>
      <c r="DY354" s="148"/>
      <c r="DZ354" s="148"/>
      <c r="EA354" s="148"/>
      <c r="EB354" s="148"/>
      <c r="EC354" s="148"/>
      <c r="ED354" s="148"/>
      <c r="EE354" s="148"/>
      <c r="EF354" s="148"/>
      <c r="EG354" s="148"/>
      <c r="EH354" s="148"/>
      <c r="EI354" s="148"/>
      <c r="EJ354" s="148"/>
      <c r="EK354" s="148"/>
      <c r="EL354" s="148"/>
      <c r="EM354" s="148"/>
      <c r="EN354" s="148"/>
      <c r="EO354" s="148"/>
      <c r="EP354" s="148"/>
      <c r="EQ354" s="148"/>
      <c r="ER354" s="148"/>
      <c r="ES354" s="148"/>
      <c r="ET354" s="148"/>
      <c r="EU354" s="148"/>
      <c r="EV354" s="148"/>
      <c r="EW354" s="148"/>
      <c r="EX354" s="148"/>
      <c r="EY354" s="148"/>
      <c r="EZ354" s="148"/>
      <c r="FA354" s="148"/>
      <c r="FB354" s="148"/>
      <c r="FC354" s="148"/>
      <c r="FD354" s="148"/>
      <c r="FE354" s="148"/>
      <c r="FF354" s="148"/>
      <c r="FG354" s="148"/>
      <c r="FH354" s="148"/>
      <c r="FI354" s="148"/>
      <c r="FJ354" s="148"/>
      <c r="FK354" s="148"/>
      <c r="FL354" s="148"/>
      <c r="FM354" s="148"/>
      <c r="FN354" s="148"/>
      <c r="FO354" s="148"/>
      <c r="FP354" s="148"/>
      <c r="FQ354" s="148"/>
      <c r="FR354" s="148"/>
      <c r="FS354" s="148"/>
      <c r="FT354" s="148"/>
      <c r="FU354" s="148"/>
      <c r="FV354" s="148"/>
      <c r="FW354" s="148"/>
      <c r="FX354" s="148"/>
      <c r="FY354" s="148"/>
      <c r="FZ354" s="148"/>
      <c r="GA354" s="148"/>
      <c r="GB354" s="148"/>
      <c r="GC354" s="148"/>
      <c r="GD354" s="148"/>
      <c r="GE354" s="148"/>
      <c r="GF354" s="148"/>
      <c r="GG354" s="148"/>
      <c r="GH354" s="148"/>
      <c r="GI354" s="148"/>
      <c r="GJ354" s="148"/>
      <c r="GK354" s="148"/>
      <c r="GL354" s="148"/>
      <c r="GM354" s="148"/>
      <c r="GN354" s="148"/>
      <c r="GO354" s="148"/>
      <c r="GP354" s="148"/>
      <c r="GQ354" s="148"/>
      <c r="GR354" s="148"/>
      <c r="GS354" s="148"/>
      <c r="GT354" s="148"/>
      <c r="GU354" s="148"/>
      <c r="GV354" s="148"/>
      <c r="GW354" s="148"/>
      <c r="GX354" s="148"/>
      <c r="GY354" s="148"/>
      <c r="GZ354" s="148"/>
      <c r="HA354" s="148"/>
      <c r="HB354" s="148"/>
      <c r="HC354" s="148"/>
      <c r="HD354" s="148"/>
      <c r="HE354" s="148"/>
      <c r="HF354" s="148"/>
      <c r="HG354" s="148"/>
      <c r="HH354" s="148"/>
      <c r="HI354" s="148"/>
      <c r="HJ354" s="148"/>
      <c r="HK354" s="148"/>
      <c r="HL354" s="148"/>
      <c r="HM354" s="148"/>
      <c r="HN354" s="148"/>
      <c r="HO354" s="148"/>
      <c r="HP354" s="148"/>
      <c r="HQ354" s="148"/>
      <c r="HR354" s="148"/>
      <c r="HS354" s="148"/>
      <c r="HT354" s="148"/>
      <c r="HU354" s="148"/>
      <c r="HV354" s="148"/>
      <c r="HW354" s="148"/>
      <c r="HX354" s="148"/>
      <c r="HY354" s="148"/>
      <c r="HZ354" s="148"/>
      <c r="IA354" s="148"/>
      <c r="IB354" s="148"/>
      <c r="IC354" s="148"/>
      <c r="ID354" s="148"/>
      <c r="IE354" s="148"/>
      <c r="IF354" s="148"/>
      <c r="IG354" s="148"/>
      <c r="IH354" s="148"/>
      <c r="II354" s="148"/>
      <c r="IJ354" s="148"/>
      <c r="IK354" s="148"/>
      <c r="IL354" s="148"/>
      <c r="IM354" s="148"/>
      <c r="IN354" s="148"/>
      <c r="IO354" s="148"/>
      <c r="IP354" s="148"/>
      <c r="IQ354" s="148"/>
      <c r="IR354" s="148"/>
      <c r="IS354" s="148"/>
      <c r="IT354" s="148"/>
      <c r="IU354" s="148"/>
      <c r="IV354" s="148"/>
    </row>
    <row r="355" spans="1:256" hidden="1">
      <c r="A355" s="843"/>
      <c r="B355" s="846"/>
      <c r="C355" s="178" t="s">
        <v>2</v>
      </c>
      <c r="D355" s="180">
        <f>D353+D354</f>
        <v>352000</v>
      </c>
      <c r="E355" s="181">
        <f t="shared" ref="E355:P355" si="152">E353+E354</f>
        <v>352000</v>
      </c>
      <c r="F355" s="181">
        <f t="shared" si="152"/>
        <v>352000</v>
      </c>
      <c r="G355" s="181">
        <f t="shared" si="152"/>
        <v>215000</v>
      </c>
      <c r="H355" s="181">
        <f t="shared" si="152"/>
        <v>137000</v>
      </c>
      <c r="I355" s="181">
        <f t="shared" si="152"/>
        <v>0</v>
      </c>
      <c r="J355" s="181">
        <f t="shared" si="152"/>
        <v>0</v>
      </c>
      <c r="K355" s="181">
        <f t="shared" si="152"/>
        <v>0</v>
      </c>
      <c r="L355" s="181">
        <f t="shared" si="152"/>
        <v>0</v>
      </c>
      <c r="M355" s="181">
        <f t="shared" si="152"/>
        <v>0</v>
      </c>
      <c r="N355" s="181">
        <f t="shared" si="152"/>
        <v>0</v>
      </c>
      <c r="O355" s="181">
        <f t="shared" si="152"/>
        <v>0</v>
      </c>
      <c r="P355" s="181">
        <f t="shared" si="152"/>
        <v>0</v>
      </c>
      <c r="Q355" s="182"/>
      <c r="R355" s="182"/>
      <c r="S355" s="182"/>
      <c r="T355" s="182"/>
      <c r="U355" s="182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148"/>
      <c r="DP355" s="148"/>
      <c r="DQ355" s="148"/>
      <c r="DR355" s="148"/>
      <c r="DS355" s="148"/>
      <c r="DT355" s="148"/>
      <c r="DU355" s="148"/>
      <c r="DV355" s="148"/>
      <c r="DW355" s="148"/>
      <c r="DX355" s="148"/>
      <c r="DY355" s="148"/>
      <c r="DZ355" s="148"/>
      <c r="EA355" s="148"/>
      <c r="EB355" s="148"/>
      <c r="EC355" s="148"/>
      <c r="ED355" s="148"/>
      <c r="EE355" s="148"/>
      <c r="EF355" s="148"/>
      <c r="EG355" s="148"/>
      <c r="EH355" s="148"/>
      <c r="EI355" s="148"/>
      <c r="EJ355" s="148"/>
      <c r="EK355" s="148"/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8"/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8"/>
      <c r="FH355" s="148"/>
      <c r="FI355" s="148"/>
      <c r="FJ355" s="148"/>
      <c r="FK355" s="148"/>
      <c r="FL355" s="148"/>
      <c r="FM355" s="148"/>
      <c r="FN355" s="148"/>
      <c r="FO355" s="148"/>
      <c r="FP355" s="148"/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  <c r="GB355" s="148"/>
      <c r="GC355" s="148"/>
      <c r="GD355" s="148"/>
      <c r="GE355" s="148"/>
      <c r="GF355" s="148"/>
      <c r="GG355" s="148"/>
      <c r="GH355" s="148"/>
      <c r="GI355" s="148"/>
      <c r="GJ355" s="148"/>
      <c r="GK355" s="148"/>
      <c r="GL355" s="148"/>
      <c r="GM355" s="148"/>
      <c r="GN355" s="148"/>
      <c r="GO355" s="148"/>
      <c r="GP355" s="148"/>
      <c r="GQ355" s="148"/>
      <c r="GR355" s="148"/>
      <c r="GS355" s="148"/>
      <c r="GT355" s="148"/>
      <c r="GU355" s="148"/>
      <c r="GV355" s="148"/>
      <c r="GW355" s="148"/>
      <c r="GX355" s="148"/>
      <c r="GY355" s="148"/>
      <c r="GZ355" s="148"/>
      <c r="HA355" s="148"/>
      <c r="HB355" s="148"/>
      <c r="HC355" s="148"/>
      <c r="HD355" s="148"/>
      <c r="HE355" s="148"/>
      <c r="HF355" s="148"/>
      <c r="HG355" s="148"/>
      <c r="HH355" s="148"/>
      <c r="HI355" s="148"/>
      <c r="HJ355" s="148"/>
      <c r="HK355" s="148"/>
      <c r="HL355" s="148"/>
      <c r="HM355" s="148"/>
      <c r="HN355" s="148"/>
      <c r="HO355" s="148"/>
      <c r="HP355" s="148"/>
      <c r="HQ355" s="148"/>
      <c r="HR355" s="148"/>
      <c r="HS355" s="148"/>
      <c r="HT355" s="148"/>
      <c r="HU355" s="148"/>
      <c r="HV355" s="148"/>
      <c r="HW355" s="148"/>
      <c r="HX355" s="148"/>
      <c r="HY355" s="148"/>
      <c r="HZ355" s="148"/>
      <c r="IA355" s="148"/>
      <c r="IB355" s="148"/>
      <c r="IC355" s="148"/>
      <c r="ID355" s="148"/>
      <c r="IE355" s="148"/>
      <c r="IF355" s="148"/>
      <c r="IG355" s="148"/>
      <c r="IH355" s="148"/>
      <c r="II355" s="148"/>
      <c r="IJ355" s="148"/>
      <c r="IK355" s="148"/>
      <c r="IL355" s="148"/>
      <c r="IM355" s="148"/>
      <c r="IN355" s="148"/>
      <c r="IO355" s="148"/>
      <c r="IP355" s="148"/>
      <c r="IQ355" s="148"/>
      <c r="IR355" s="148"/>
      <c r="IS355" s="148"/>
      <c r="IT355" s="148"/>
      <c r="IU355" s="148"/>
      <c r="IV355" s="148"/>
    </row>
    <row r="356" spans="1:256" hidden="1">
      <c r="A356" s="841">
        <v>90007</v>
      </c>
      <c r="B356" s="844" t="s">
        <v>311</v>
      </c>
      <c r="C356" s="178" t="s">
        <v>0</v>
      </c>
      <c r="D356" s="180">
        <f t="shared" si="147"/>
        <v>261950</v>
      </c>
      <c r="E356" s="181">
        <f t="shared" si="148"/>
        <v>261950</v>
      </c>
      <c r="F356" s="181">
        <f t="shared" si="149"/>
        <v>261950</v>
      </c>
      <c r="G356" s="181">
        <v>0</v>
      </c>
      <c r="H356" s="181">
        <v>261950</v>
      </c>
      <c r="I356" s="181">
        <v>0</v>
      </c>
      <c r="J356" s="181">
        <v>0</v>
      </c>
      <c r="K356" s="181">
        <v>0</v>
      </c>
      <c r="L356" s="181">
        <v>0</v>
      </c>
      <c r="M356" s="181">
        <f t="shared" si="151"/>
        <v>0</v>
      </c>
      <c r="N356" s="181">
        <v>0</v>
      </c>
      <c r="O356" s="181">
        <v>0</v>
      </c>
      <c r="P356" s="181">
        <v>0</v>
      </c>
      <c r="Q356" s="182"/>
      <c r="R356" s="182"/>
      <c r="S356" s="182"/>
      <c r="T356" s="182"/>
      <c r="U356" s="182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  <c r="DZ356" s="148"/>
      <c r="EA356" s="148"/>
      <c r="EB356" s="148"/>
      <c r="EC356" s="148"/>
      <c r="ED356" s="148"/>
      <c r="EE356" s="148"/>
      <c r="EF356" s="148"/>
      <c r="EG356" s="148"/>
      <c r="EH356" s="148"/>
      <c r="EI356" s="148"/>
      <c r="EJ356" s="148"/>
      <c r="EK356" s="148"/>
      <c r="EL356" s="148"/>
      <c r="EM356" s="148"/>
      <c r="EN356" s="148"/>
      <c r="EO356" s="148"/>
      <c r="EP356" s="148"/>
      <c r="EQ356" s="148"/>
      <c r="ER356" s="148"/>
      <c r="ES356" s="148"/>
      <c r="ET356" s="148"/>
      <c r="EU356" s="148"/>
      <c r="EV356" s="148"/>
      <c r="EW356" s="148"/>
      <c r="EX356" s="148"/>
      <c r="EY356" s="148"/>
      <c r="EZ356" s="148"/>
      <c r="FA356" s="148"/>
      <c r="FB356" s="148"/>
      <c r="FC356" s="148"/>
      <c r="FD356" s="148"/>
      <c r="FE356" s="148"/>
      <c r="FF356" s="148"/>
      <c r="FG356" s="148"/>
      <c r="FH356" s="148"/>
      <c r="FI356" s="148"/>
      <c r="FJ356" s="148"/>
      <c r="FK356" s="148"/>
      <c r="FL356" s="148"/>
      <c r="FM356" s="148"/>
      <c r="FN356" s="148"/>
      <c r="FO356" s="148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  <c r="GB356" s="148"/>
      <c r="GC356" s="148"/>
      <c r="GD356" s="148"/>
      <c r="GE356" s="148"/>
      <c r="GF356" s="148"/>
      <c r="GG356" s="148"/>
      <c r="GH356" s="148"/>
      <c r="GI356" s="148"/>
      <c r="GJ356" s="148"/>
      <c r="GK356" s="148"/>
      <c r="GL356" s="148"/>
      <c r="GM356" s="148"/>
      <c r="GN356" s="148"/>
      <c r="GO356" s="148"/>
      <c r="GP356" s="148"/>
      <c r="GQ356" s="148"/>
      <c r="GR356" s="148"/>
      <c r="GS356" s="148"/>
      <c r="GT356" s="148"/>
      <c r="GU356" s="148"/>
      <c r="GV356" s="148"/>
      <c r="GW356" s="148"/>
      <c r="GX356" s="148"/>
      <c r="GY356" s="148"/>
      <c r="GZ356" s="148"/>
      <c r="HA356" s="148"/>
      <c r="HB356" s="148"/>
      <c r="HC356" s="148"/>
      <c r="HD356" s="148"/>
      <c r="HE356" s="148"/>
      <c r="HF356" s="148"/>
      <c r="HG356" s="148"/>
      <c r="HH356" s="148"/>
      <c r="HI356" s="148"/>
      <c r="HJ356" s="148"/>
      <c r="HK356" s="148"/>
      <c r="HL356" s="148"/>
      <c r="HM356" s="148"/>
      <c r="HN356" s="148"/>
      <c r="HO356" s="148"/>
      <c r="HP356" s="148"/>
      <c r="HQ356" s="148"/>
      <c r="HR356" s="148"/>
      <c r="HS356" s="148"/>
      <c r="HT356" s="148"/>
      <c r="HU356" s="148"/>
      <c r="HV356" s="148"/>
      <c r="HW356" s="148"/>
      <c r="HX356" s="148"/>
      <c r="HY356" s="148"/>
      <c r="HZ356" s="148"/>
      <c r="IA356" s="148"/>
      <c r="IB356" s="148"/>
      <c r="IC356" s="148"/>
      <c r="ID356" s="148"/>
      <c r="IE356" s="148"/>
      <c r="IF356" s="148"/>
      <c r="IG356" s="148"/>
      <c r="IH356" s="148"/>
      <c r="II356" s="148"/>
      <c r="IJ356" s="148"/>
      <c r="IK356" s="148"/>
      <c r="IL356" s="148"/>
      <c r="IM356" s="148"/>
      <c r="IN356" s="148"/>
      <c r="IO356" s="148"/>
      <c r="IP356" s="148"/>
      <c r="IQ356" s="148"/>
      <c r="IR356" s="148"/>
      <c r="IS356" s="148"/>
      <c r="IT356" s="148"/>
      <c r="IU356" s="148"/>
      <c r="IV356" s="148"/>
    </row>
    <row r="357" spans="1:256" hidden="1">
      <c r="A357" s="842"/>
      <c r="B357" s="845"/>
      <c r="C357" s="178" t="s">
        <v>1</v>
      </c>
      <c r="D357" s="180">
        <f t="shared" si="147"/>
        <v>0</v>
      </c>
      <c r="E357" s="181">
        <f t="shared" si="148"/>
        <v>0</v>
      </c>
      <c r="F357" s="181">
        <f t="shared" si="149"/>
        <v>0</v>
      </c>
      <c r="G357" s="181"/>
      <c r="H357" s="181"/>
      <c r="I357" s="181"/>
      <c r="J357" s="181"/>
      <c r="K357" s="181"/>
      <c r="L357" s="181"/>
      <c r="M357" s="181">
        <f t="shared" si="151"/>
        <v>0</v>
      </c>
      <c r="N357" s="181"/>
      <c r="O357" s="181"/>
      <c r="P357" s="181"/>
      <c r="Q357" s="182"/>
      <c r="R357" s="182"/>
      <c r="S357" s="182"/>
      <c r="T357" s="182"/>
      <c r="U357" s="182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48"/>
      <c r="CC357" s="148"/>
      <c r="CD357" s="148"/>
      <c r="CE357" s="148"/>
      <c r="CF357" s="148"/>
      <c r="CG357" s="148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148"/>
      <c r="DP357" s="148"/>
      <c r="DQ357" s="148"/>
      <c r="DR357" s="148"/>
      <c r="DS357" s="148"/>
      <c r="DT357" s="148"/>
      <c r="DU357" s="148"/>
      <c r="DV357" s="148"/>
      <c r="DW357" s="148"/>
      <c r="DX357" s="148"/>
      <c r="DY357" s="148"/>
      <c r="DZ357" s="148"/>
      <c r="EA357" s="148"/>
      <c r="EB357" s="148"/>
      <c r="EC357" s="148"/>
      <c r="ED357" s="148"/>
      <c r="EE357" s="148"/>
      <c r="EF357" s="148"/>
      <c r="EG357" s="148"/>
      <c r="EH357" s="148"/>
      <c r="EI357" s="148"/>
      <c r="EJ357" s="148"/>
      <c r="EK357" s="148"/>
      <c r="EL357" s="148"/>
      <c r="EM357" s="148"/>
      <c r="EN357" s="148"/>
      <c r="EO357" s="148"/>
      <c r="EP357" s="148"/>
      <c r="EQ357" s="148"/>
      <c r="ER357" s="148"/>
      <c r="ES357" s="148"/>
      <c r="ET357" s="148"/>
      <c r="EU357" s="148"/>
      <c r="EV357" s="148"/>
      <c r="EW357" s="148"/>
      <c r="EX357" s="148"/>
      <c r="EY357" s="148"/>
      <c r="EZ357" s="148"/>
      <c r="FA357" s="148"/>
      <c r="FB357" s="148"/>
      <c r="FC357" s="148"/>
      <c r="FD357" s="148"/>
      <c r="FE357" s="148"/>
      <c r="FF357" s="148"/>
      <c r="FG357" s="148"/>
      <c r="FH357" s="148"/>
      <c r="FI357" s="148"/>
      <c r="FJ357" s="148"/>
      <c r="FK357" s="148"/>
      <c r="FL357" s="148"/>
      <c r="FM357" s="148"/>
      <c r="FN357" s="148"/>
      <c r="FO357" s="148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  <c r="GB357" s="148"/>
      <c r="GC357" s="148"/>
      <c r="GD357" s="148"/>
      <c r="GE357" s="148"/>
      <c r="GF357" s="148"/>
      <c r="GG357" s="148"/>
      <c r="GH357" s="148"/>
      <c r="GI357" s="148"/>
      <c r="GJ357" s="148"/>
      <c r="GK357" s="148"/>
      <c r="GL357" s="148"/>
      <c r="GM357" s="148"/>
      <c r="GN357" s="148"/>
      <c r="GO357" s="148"/>
      <c r="GP357" s="148"/>
      <c r="GQ357" s="148"/>
      <c r="GR357" s="148"/>
      <c r="GS357" s="148"/>
      <c r="GT357" s="148"/>
      <c r="GU357" s="148"/>
      <c r="GV357" s="148"/>
      <c r="GW357" s="148"/>
      <c r="GX357" s="148"/>
      <c r="GY357" s="148"/>
      <c r="GZ357" s="148"/>
      <c r="HA357" s="148"/>
      <c r="HB357" s="148"/>
      <c r="HC357" s="148"/>
      <c r="HD357" s="148"/>
      <c r="HE357" s="148"/>
      <c r="HF357" s="148"/>
      <c r="HG357" s="148"/>
      <c r="HH357" s="148"/>
      <c r="HI357" s="148"/>
      <c r="HJ357" s="148"/>
      <c r="HK357" s="148"/>
      <c r="HL357" s="148"/>
      <c r="HM357" s="148"/>
      <c r="HN357" s="148"/>
      <c r="HO357" s="148"/>
      <c r="HP357" s="148"/>
      <c r="HQ357" s="148"/>
      <c r="HR357" s="148"/>
      <c r="HS357" s="148"/>
      <c r="HT357" s="148"/>
      <c r="HU357" s="148"/>
      <c r="HV357" s="148"/>
      <c r="HW357" s="148"/>
      <c r="HX357" s="148"/>
      <c r="HY357" s="148"/>
      <c r="HZ357" s="148"/>
      <c r="IA357" s="148"/>
      <c r="IB357" s="148"/>
      <c r="IC357" s="148"/>
      <c r="ID357" s="148"/>
      <c r="IE357" s="148"/>
      <c r="IF357" s="148"/>
      <c r="IG357" s="148"/>
      <c r="IH357" s="148"/>
      <c r="II357" s="148"/>
      <c r="IJ357" s="148"/>
      <c r="IK357" s="148"/>
      <c r="IL357" s="148"/>
      <c r="IM357" s="148"/>
      <c r="IN357" s="148"/>
      <c r="IO357" s="148"/>
      <c r="IP357" s="148"/>
      <c r="IQ357" s="148"/>
      <c r="IR357" s="148"/>
      <c r="IS357" s="148"/>
      <c r="IT357" s="148"/>
      <c r="IU357" s="148"/>
      <c r="IV357" s="148"/>
    </row>
    <row r="358" spans="1:256" hidden="1">
      <c r="A358" s="843"/>
      <c r="B358" s="846"/>
      <c r="C358" s="178" t="s">
        <v>2</v>
      </c>
      <c r="D358" s="180">
        <f>D356+D357</f>
        <v>261950</v>
      </c>
      <c r="E358" s="181">
        <f t="shared" ref="E358:P358" si="153">E356+E357</f>
        <v>261950</v>
      </c>
      <c r="F358" s="181">
        <f t="shared" si="153"/>
        <v>261950</v>
      </c>
      <c r="G358" s="181">
        <f t="shared" si="153"/>
        <v>0</v>
      </c>
      <c r="H358" s="181">
        <f t="shared" si="153"/>
        <v>261950</v>
      </c>
      <c r="I358" s="181">
        <f t="shared" si="153"/>
        <v>0</v>
      </c>
      <c r="J358" s="181">
        <f t="shared" si="153"/>
        <v>0</v>
      </c>
      <c r="K358" s="181">
        <f t="shared" si="153"/>
        <v>0</v>
      </c>
      <c r="L358" s="181">
        <f t="shared" si="153"/>
        <v>0</v>
      </c>
      <c r="M358" s="181">
        <f t="shared" si="153"/>
        <v>0</v>
      </c>
      <c r="N358" s="181">
        <f t="shared" si="153"/>
        <v>0</v>
      </c>
      <c r="O358" s="181">
        <f t="shared" si="153"/>
        <v>0</v>
      </c>
      <c r="P358" s="181">
        <f t="shared" si="153"/>
        <v>0</v>
      </c>
      <c r="Q358" s="182"/>
      <c r="R358" s="182"/>
      <c r="S358" s="182"/>
      <c r="T358" s="182"/>
      <c r="U358" s="182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48"/>
      <c r="CC358" s="148"/>
      <c r="CD358" s="148"/>
      <c r="CE358" s="148"/>
      <c r="CF358" s="148"/>
      <c r="CG358" s="148"/>
      <c r="CH358" s="148"/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148"/>
      <c r="DP358" s="148"/>
      <c r="DQ358" s="148"/>
      <c r="DR358" s="148"/>
      <c r="DS358" s="148"/>
      <c r="DT358" s="148"/>
      <c r="DU358" s="148"/>
      <c r="DV358" s="148"/>
      <c r="DW358" s="148"/>
      <c r="DX358" s="148"/>
      <c r="DY358" s="148"/>
      <c r="DZ358" s="148"/>
      <c r="EA358" s="148"/>
      <c r="EB358" s="148"/>
      <c r="EC358" s="148"/>
      <c r="ED358" s="148"/>
      <c r="EE358" s="148"/>
      <c r="EF358" s="148"/>
      <c r="EG358" s="148"/>
      <c r="EH358" s="148"/>
      <c r="EI358" s="148"/>
      <c r="EJ358" s="148"/>
      <c r="EK358" s="148"/>
      <c r="EL358" s="148"/>
      <c r="EM358" s="148"/>
      <c r="EN358" s="148"/>
      <c r="EO358" s="148"/>
      <c r="EP358" s="148"/>
      <c r="EQ358" s="148"/>
      <c r="ER358" s="148"/>
      <c r="ES358" s="148"/>
      <c r="ET358" s="148"/>
      <c r="EU358" s="148"/>
      <c r="EV358" s="148"/>
      <c r="EW358" s="148"/>
      <c r="EX358" s="148"/>
      <c r="EY358" s="148"/>
      <c r="EZ358" s="148"/>
      <c r="FA358" s="148"/>
      <c r="FB358" s="148"/>
      <c r="FC358" s="148"/>
      <c r="FD358" s="148"/>
      <c r="FE358" s="148"/>
      <c r="FF358" s="148"/>
      <c r="FG358" s="148"/>
      <c r="FH358" s="148"/>
      <c r="FI358" s="148"/>
      <c r="FJ358" s="148"/>
      <c r="FK358" s="148"/>
      <c r="FL358" s="148"/>
      <c r="FM358" s="148"/>
      <c r="FN358" s="148"/>
      <c r="FO358" s="148"/>
      <c r="FP358" s="148"/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  <c r="GB358" s="148"/>
      <c r="GC358" s="148"/>
      <c r="GD358" s="148"/>
      <c r="GE358" s="148"/>
      <c r="GF358" s="148"/>
      <c r="GG358" s="148"/>
      <c r="GH358" s="148"/>
      <c r="GI358" s="148"/>
      <c r="GJ358" s="148"/>
      <c r="GK358" s="148"/>
      <c r="GL358" s="148"/>
      <c r="GM358" s="148"/>
      <c r="GN358" s="148"/>
      <c r="GO358" s="148"/>
      <c r="GP358" s="148"/>
      <c r="GQ358" s="148"/>
      <c r="GR358" s="148"/>
      <c r="GS358" s="148"/>
      <c r="GT358" s="148"/>
      <c r="GU358" s="148"/>
      <c r="GV358" s="148"/>
      <c r="GW358" s="148"/>
      <c r="GX358" s="148"/>
      <c r="GY358" s="148"/>
      <c r="GZ358" s="148"/>
      <c r="HA358" s="148"/>
      <c r="HB358" s="148"/>
      <c r="HC358" s="148"/>
      <c r="HD358" s="148"/>
      <c r="HE358" s="148"/>
      <c r="HF358" s="148"/>
      <c r="HG358" s="148"/>
      <c r="HH358" s="148"/>
      <c r="HI358" s="148"/>
      <c r="HJ358" s="148"/>
      <c r="HK358" s="148"/>
      <c r="HL358" s="148"/>
      <c r="HM358" s="148"/>
      <c r="HN358" s="148"/>
      <c r="HO358" s="148"/>
      <c r="HP358" s="148"/>
      <c r="HQ358" s="148"/>
      <c r="HR358" s="148"/>
      <c r="HS358" s="148"/>
      <c r="HT358" s="148"/>
      <c r="HU358" s="148"/>
      <c r="HV358" s="148"/>
      <c r="HW358" s="148"/>
      <c r="HX358" s="148"/>
      <c r="HY358" s="148"/>
      <c r="HZ358" s="148"/>
      <c r="IA358" s="148"/>
      <c r="IB358" s="148"/>
      <c r="IC358" s="148"/>
      <c r="ID358" s="148"/>
      <c r="IE358" s="148"/>
      <c r="IF358" s="148"/>
      <c r="IG358" s="148"/>
      <c r="IH358" s="148"/>
      <c r="II358" s="148"/>
      <c r="IJ358" s="148"/>
      <c r="IK358" s="148"/>
      <c r="IL358" s="148"/>
      <c r="IM358" s="148"/>
      <c r="IN358" s="148"/>
      <c r="IO358" s="148"/>
      <c r="IP358" s="148"/>
      <c r="IQ358" s="148"/>
      <c r="IR358" s="148"/>
      <c r="IS358" s="148"/>
      <c r="IT358" s="148"/>
      <c r="IU358" s="148"/>
      <c r="IV358" s="148"/>
    </row>
    <row r="359" spans="1:256" hidden="1">
      <c r="A359" s="841" t="s">
        <v>312</v>
      </c>
      <c r="B359" s="859" t="s">
        <v>313</v>
      </c>
      <c r="C359" s="178" t="s">
        <v>0</v>
      </c>
      <c r="D359" s="170">
        <f>E359+M359</f>
        <v>37802</v>
      </c>
      <c r="E359" s="171">
        <f>F359+I359+J359+K359+L359</f>
        <v>3186</v>
      </c>
      <c r="F359" s="171">
        <f>G359+H359</f>
        <v>0</v>
      </c>
      <c r="G359" s="171">
        <v>0</v>
      </c>
      <c r="H359" s="171">
        <v>0</v>
      </c>
      <c r="I359" s="171">
        <v>0</v>
      </c>
      <c r="J359" s="171">
        <v>0</v>
      </c>
      <c r="K359" s="171">
        <v>3186</v>
      </c>
      <c r="L359" s="171">
        <v>0</v>
      </c>
      <c r="M359" s="171">
        <f>N359+P359</f>
        <v>34616</v>
      </c>
      <c r="N359" s="171">
        <v>34616</v>
      </c>
      <c r="O359" s="171">
        <v>34616</v>
      </c>
      <c r="P359" s="171">
        <v>0</v>
      </c>
      <c r="Q359" s="172"/>
      <c r="R359" s="172"/>
      <c r="S359" s="172"/>
      <c r="T359" s="172"/>
      <c r="U359" s="172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3"/>
      <c r="BN359" s="163"/>
      <c r="BO359" s="163"/>
      <c r="BP359" s="163"/>
      <c r="BQ359" s="163"/>
      <c r="BR359" s="163"/>
      <c r="BS359" s="163"/>
      <c r="BT359" s="163"/>
      <c r="BU359" s="163"/>
      <c r="BV359" s="163"/>
      <c r="BW359" s="163"/>
      <c r="BX359" s="163"/>
      <c r="BY359" s="163"/>
      <c r="BZ359" s="163"/>
      <c r="CA359" s="163"/>
      <c r="CB359" s="163"/>
      <c r="CC359" s="163"/>
      <c r="CD359" s="163"/>
      <c r="CE359" s="163"/>
      <c r="CF359" s="163"/>
      <c r="CG359" s="163"/>
      <c r="CH359" s="163"/>
      <c r="CI359" s="163"/>
      <c r="CJ359" s="163"/>
      <c r="CK359" s="163"/>
      <c r="CL359" s="163"/>
      <c r="CM359" s="163"/>
      <c r="CN359" s="163"/>
      <c r="CO359" s="163"/>
      <c r="CP359" s="163"/>
      <c r="CQ359" s="163"/>
      <c r="CR359" s="163"/>
      <c r="CS359" s="163"/>
      <c r="CT359" s="163"/>
      <c r="CU359" s="163"/>
      <c r="CV359" s="163"/>
      <c r="CW359" s="163"/>
      <c r="CX359" s="163"/>
      <c r="CY359" s="163"/>
      <c r="CZ359" s="163"/>
      <c r="DA359" s="163"/>
      <c r="DB359" s="163"/>
      <c r="DC359" s="163"/>
      <c r="DD359" s="163"/>
      <c r="DE359" s="163"/>
      <c r="DF359" s="163"/>
      <c r="DG359" s="163"/>
      <c r="DH359" s="163"/>
      <c r="DI359" s="163"/>
      <c r="DJ359" s="163"/>
      <c r="DK359" s="163"/>
      <c r="DL359" s="163"/>
      <c r="DM359" s="163"/>
      <c r="DN359" s="163"/>
      <c r="DO359" s="163"/>
      <c r="DP359" s="163"/>
      <c r="DQ359" s="163"/>
      <c r="DR359" s="163"/>
      <c r="DS359" s="163"/>
      <c r="DT359" s="163"/>
      <c r="DU359" s="163"/>
      <c r="DV359" s="163"/>
      <c r="DW359" s="163"/>
      <c r="DX359" s="163"/>
      <c r="DY359" s="163"/>
      <c r="DZ359" s="163"/>
      <c r="EA359" s="163"/>
      <c r="EB359" s="163"/>
      <c r="EC359" s="163"/>
      <c r="ED359" s="163"/>
      <c r="EE359" s="163"/>
      <c r="EF359" s="163"/>
      <c r="EG359" s="163"/>
      <c r="EH359" s="163"/>
      <c r="EI359" s="163"/>
      <c r="EJ359" s="163"/>
      <c r="EK359" s="163"/>
      <c r="EL359" s="163"/>
      <c r="EM359" s="163"/>
      <c r="EN359" s="163"/>
      <c r="EO359" s="163"/>
      <c r="EP359" s="163"/>
      <c r="EQ359" s="163"/>
      <c r="ER359" s="163"/>
      <c r="ES359" s="163"/>
      <c r="ET359" s="163"/>
      <c r="EU359" s="163"/>
      <c r="EV359" s="163"/>
      <c r="EW359" s="163"/>
      <c r="EX359" s="163"/>
      <c r="EY359" s="163"/>
      <c r="EZ359" s="163"/>
      <c r="FA359" s="163"/>
      <c r="FB359" s="163"/>
      <c r="FC359" s="163"/>
      <c r="FD359" s="163"/>
      <c r="FE359" s="163"/>
      <c r="FF359" s="163"/>
      <c r="FG359" s="163"/>
      <c r="FH359" s="163"/>
      <c r="FI359" s="163"/>
      <c r="FJ359" s="163"/>
      <c r="FK359" s="163"/>
      <c r="FL359" s="163"/>
      <c r="FM359" s="163"/>
      <c r="FN359" s="163"/>
      <c r="FO359" s="163"/>
      <c r="FP359" s="163"/>
      <c r="FQ359" s="163"/>
      <c r="FR359" s="163"/>
      <c r="FS359" s="163"/>
      <c r="FT359" s="163"/>
      <c r="FU359" s="163"/>
      <c r="FV359" s="163"/>
      <c r="FW359" s="163"/>
      <c r="FX359" s="163"/>
      <c r="FY359" s="163"/>
      <c r="FZ359" s="163"/>
      <c r="GA359" s="163"/>
      <c r="GB359" s="163"/>
      <c r="GC359" s="163"/>
      <c r="GD359" s="163"/>
      <c r="GE359" s="163"/>
      <c r="GF359" s="163"/>
      <c r="GG359" s="163"/>
      <c r="GH359" s="163"/>
      <c r="GI359" s="163"/>
      <c r="GJ359" s="163"/>
      <c r="GK359" s="163"/>
      <c r="GL359" s="163"/>
      <c r="GM359" s="163"/>
      <c r="GN359" s="163"/>
      <c r="GO359" s="163"/>
      <c r="GP359" s="163"/>
      <c r="GQ359" s="163"/>
      <c r="GR359" s="163"/>
      <c r="GS359" s="163"/>
      <c r="GT359" s="163"/>
      <c r="GU359" s="163"/>
      <c r="GV359" s="163"/>
      <c r="GW359" s="163"/>
      <c r="GX359" s="163"/>
      <c r="GY359" s="163"/>
      <c r="GZ359" s="163"/>
      <c r="HA359" s="163"/>
      <c r="HB359" s="163"/>
      <c r="HC359" s="163"/>
      <c r="HD359" s="163"/>
      <c r="HE359" s="163"/>
      <c r="HF359" s="163"/>
      <c r="HG359" s="163"/>
      <c r="HH359" s="163"/>
      <c r="HI359" s="163"/>
      <c r="HJ359" s="163"/>
      <c r="HK359" s="163"/>
      <c r="HL359" s="163"/>
      <c r="HM359" s="163"/>
      <c r="HN359" s="163"/>
      <c r="HO359" s="163"/>
      <c r="HP359" s="163"/>
      <c r="HQ359" s="163"/>
      <c r="HR359" s="163"/>
      <c r="HS359" s="163"/>
      <c r="HT359" s="163"/>
      <c r="HU359" s="163"/>
      <c r="HV359" s="163"/>
      <c r="HW359" s="163"/>
      <c r="HX359" s="163"/>
      <c r="HY359" s="163"/>
      <c r="HZ359" s="163"/>
      <c r="IA359" s="163"/>
      <c r="IB359" s="163"/>
      <c r="IC359" s="163"/>
      <c r="ID359" s="163"/>
      <c r="IE359" s="163"/>
      <c r="IF359" s="163"/>
      <c r="IG359" s="163"/>
      <c r="IH359" s="163"/>
      <c r="II359" s="163"/>
      <c r="IJ359" s="163"/>
      <c r="IK359" s="163"/>
      <c r="IL359" s="163"/>
      <c r="IM359" s="163"/>
      <c r="IN359" s="163"/>
      <c r="IO359" s="163"/>
      <c r="IP359" s="163"/>
      <c r="IQ359" s="163"/>
      <c r="IR359" s="163"/>
      <c r="IS359" s="163"/>
      <c r="IT359" s="163"/>
      <c r="IU359" s="163"/>
      <c r="IV359" s="163"/>
    </row>
    <row r="360" spans="1:256" hidden="1">
      <c r="A360" s="842"/>
      <c r="B360" s="860"/>
      <c r="C360" s="178" t="s">
        <v>1</v>
      </c>
      <c r="D360" s="170">
        <f>E360+M360</f>
        <v>0</v>
      </c>
      <c r="E360" s="171">
        <f>F360+I360+J360+K360+L360</f>
        <v>0</v>
      </c>
      <c r="F360" s="171">
        <f>G360+H360</f>
        <v>0</v>
      </c>
      <c r="G360" s="171"/>
      <c r="H360" s="171"/>
      <c r="I360" s="171"/>
      <c r="J360" s="171"/>
      <c r="K360" s="171"/>
      <c r="L360" s="171"/>
      <c r="M360" s="171">
        <f>N360+P360</f>
        <v>0</v>
      </c>
      <c r="N360" s="171"/>
      <c r="O360" s="171"/>
      <c r="P360" s="171"/>
      <c r="Q360" s="172"/>
      <c r="R360" s="172"/>
      <c r="S360" s="172"/>
      <c r="T360" s="172"/>
      <c r="U360" s="172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  <c r="BE360" s="163"/>
      <c r="BF360" s="163"/>
      <c r="BG360" s="163"/>
      <c r="BH360" s="163"/>
      <c r="BI360" s="163"/>
      <c r="BJ360" s="163"/>
      <c r="BK360" s="163"/>
      <c r="BL360" s="163"/>
      <c r="BM360" s="163"/>
      <c r="BN360" s="163"/>
      <c r="BO360" s="163"/>
      <c r="BP360" s="163"/>
      <c r="BQ360" s="163"/>
      <c r="BR360" s="163"/>
      <c r="BS360" s="163"/>
      <c r="BT360" s="163"/>
      <c r="BU360" s="163"/>
      <c r="BV360" s="163"/>
      <c r="BW360" s="163"/>
      <c r="BX360" s="163"/>
      <c r="BY360" s="163"/>
      <c r="BZ360" s="163"/>
      <c r="CA360" s="163"/>
      <c r="CB360" s="163"/>
      <c r="CC360" s="163"/>
      <c r="CD360" s="163"/>
      <c r="CE360" s="163"/>
      <c r="CF360" s="163"/>
      <c r="CG360" s="163"/>
      <c r="CH360" s="163"/>
      <c r="CI360" s="163"/>
      <c r="CJ360" s="163"/>
      <c r="CK360" s="163"/>
      <c r="CL360" s="163"/>
      <c r="CM360" s="163"/>
      <c r="CN360" s="163"/>
      <c r="CO360" s="163"/>
      <c r="CP360" s="163"/>
      <c r="CQ360" s="163"/>
      <c r="CR360" s="163"/>
      <c r="CS360" s="163"/>
      <c r="CT360" s="163"/>
      <c r="CU360" s="163"/>
      <c r="CV360" s="163"/>
      <c r="CW360" s="163"/>
      <c r="CX360" s="163"/>
      <c r="CY360" s="163"/>
      <c r="CZ360" s="163"/>
      <c r="DA360" s="163"/>
      <c r="DB360" s="163"/>
      <c r="DC360" s="163"/>
      <c r="DD360" s="163"/>
      <c r="DE360" s="163"/>
      <c r="DF360" s="163"/>
      <c r="DG360" s="163"/>
      <c r="DH360" s="163"/>
      <c r="DI360" s="163"/>
      <c r="DJ360" s="163"/>
      <c r="DK360" s="163"/>
      <c r="DL360" s="163"/>
      <c r="DM360" s="163"/>
      <c r="DN360" s="163"/>
      <c r="DO360" s="163"/>
      <c r="DP360" s="163"/>
      <c r="DQ360" s="163"/>
      <c r="DR360" s="163"/>
      <c r="DS360" s="163"/>
      <c r="DT360" s="163"/>
      <c r="DU360" s="163"/>
      <c r="DV360" s="163"/>
      <c r="DW360" s="163"/>
      <c r="DX360" s="163"/>
      <c r="DY360" s="163"/>
      <c r="DZ360" s="163"/>
      <c r="EA360" s="163"/>
      <c r="EB360" s="163"/>
      <c r="EC360" s="163"/>
      <c r="ED360" s="163"/>
      <c r="EE360" s="163"/>
      <c r="EF360" s="163"/>
      <c r="EG360" s="163"/>
      <c r="EH360" s="163"/>
      <c r="EI360" s="163"/>
      <c r="EJ360" s="163"/>
      <c r="EK360" s="163"/>
      <c r="EL360" s="163"/>
      <c r="EM360" s="163"/>
      <c r="EN360" s="163"/>
      <c r="EO360" s="163"/>
      <c r="EP360" s="163"/>
      <c r="EQ360" s="163"/>
      <c r="ER360" s="163"/>
      <c r="ES360" s="163"/>
      <c r="ET360" s="163"/>
      <c r="EU360" s="163"/>
      <c r="EV360" s="163"/>
      <c r="EW360" s="163"/>
      <c r="EX360" s="163"/>
      <c r="EY360" s="163"/>
      <c r="EZ360" s="163"/>
      <c r="FA360" s="163"/>
      <c r="FB360" s="163"/>
      <c r="FC360" s="163"/>
      <c r="FD360" s="163"/>
      <c r="FE360" s="163"/>
      <c r="FF360" s="163"/>
      <c r="FG360" s="163"/>
      <c r="FH360" s="163"/>
      <c r="FI360" s="163"/>
      <c r="FJ360" s="163"/>
      <c r="FK360" s="163"/>
      <c r="FL360" s="163"/>
      <c r="FM360" s="163"/>
      <c r="FN360" s="163"/>
      <c r="FO360" s="163"/>
      <c r="FP360" s="163"/>
      <c r="FQ360" s="163"/>
      <c r="FR360" s="163"/>
      <c r="FS360" s="163"/>
      <c r="FT360" s="163"/>
      <c r="FU360" s="163"/>
      <c r="FV360" s="163"/>
      <c r="FW360" s="163"/>
      <c r="FX360" s="163"/>
      <c r="FY360" s="163"/>
      <c r="FZ360" s="163"/>
      <c r="GA360" s="163"/>
      <c r="GB360" s="163"/>
      <c r="GC360" s="163"/>
      <c r="GD360" s="163"/>
      <c r="GE360" s="163"/>
      <c r="GF360" s="163"/>
      <c r="GG360" s="163"/>
      <c r="GH360" s="163"/>
      <c r="GI360" s="163"/>
      <c r="GJ360" s="163"/>
      <c r="GK360" s="163"/>
      <c r="GL360" s="163"/>
      <c r="GM360" s="163"/>
      <c r="GN360" s="163"/>
      <c r="GO360" s="163"/>
      <c r="GP360" s="163"/>
      <c r="GQ360" s="163"/>
      <c r="GR360" s="163"/>
      <c r="GS360" s="163"/>
      <c r="GT360" s="163"/>
      <c r="GU360" s="163"/>
      <c r="GV360" s="163"/>
      <c r="GW360" s="163"/>
      <c r="GX360" s="163"/>
      <c r="GY360" s="163"/>
      <c r="GZ360" s="163"/>
      <c r="HA360" s="163"/>
      <c r="HB360" s="163"/>
      <c r="HC360" s="163"/>
      <c r="HD360" s="163"/>
      <c r="HE360" s="163"/>
      <c r="HF360" s="163"/>
      <c r="HG360" s="163"/>
      <c r="HH360" s="163"/>
      <c r="HI360" s="163"/>
      <c r="HJ360" s="163"/>
      <c r="HK360" s="163"/>
      <c r="HL360" s="163"/>
      <c r="HM360" s="163"/>
      <c r="HN360" s="163"/>
      <c r="HO360" s="163"/>
      <c r="HP360" s="163"/>
      <c r="HQ360" s="163"/>
      <c r="HR360" s="163"/>
      <c r="HS360" s="163"/>
      <c r="HT360" s="163"/>
      <c r="HU360" s="163"/>
      <c r="HV360" s="163"/>
      <c r="HW360" s="163"/>
      <c r="HX360" s="163"/>
      <c r="HY360" s="163"/>
      <c r="HZ360" s="163"/>
      <c r="IA360" s="163"/>
      <c r="IB360" s="163"/>
      <c r="IC360" s="163"/>
      <c r="ID360" s="163"/>
      <c r="IE360" s="163"/>
      <c r="IF360" s="163"/>
      <c r="IG360" s="163"/>
      <c r="IH360" s="163"/>
      <c r="II360" s="163"/>
      <c r="IJ360" s="163"/>
      <c r="IK360" s="163"/>
      <c r="IL360" s="163"/>
      <c r="IM360" s="163"/>
      <c r="IN360" s="163"/>
      <c r="IO360" s="163"/>
      <c r="IP360" s="163"/>
      <c r="IQ360" s="163"/>
      <c r="IR360" s="163"/>
      <c r="IS360" s="163"/>
      <c r="IT360" s="163"/>
      <c r="IU360" s="163"/>
      <c r="IV360" s="163"/>
    </row>
    <row r="361" spans="1:256" hidden="1">
      <c r="A361" s="843"/>
      <c r="B361" s="861"/>
      <c r="C361" s="178" t="s">
        <v>2</v>
      </c>
      <c r="D361" s="170">
        <f>D359+D360</f>
        <v>37802</v>
      </c>
      <c r="E361" s="171">
        <f t="shared" ref="E361:P361" si="154">E359+E360</f>
        <v>3186</v>
      </c>
      <c r="F361" s="171">
        <f t="shared" si="154"/>
        <v>0</v>
      </c>
      <c r="G361" s="171">
        <f t="shared" si="154"/>
        <v>0</v>
      </c>
      <c r="H361" s="171">
        <f t="shared" si="154"/>
        <v>0</v>
      </c>
      <c r="I361" s="171">
        <f t="shared" si="154"/>
        <v>0</v>
      </c>
      <c r="J361" s="171">
        <f t="shared" si="154"/>
        <v>0</v>
      </c>
      <c r="K361" s="171">
        <f t="shared" si="154"/>
        <v>3186</v>
      </c>
      <c r="L361" s="171">
        <f t="shared" si="154"/>
        <v>0</v>
      </c>
      <c r="M361" s="171">
        <f t="shared" si="154"/>
        <v>34616</v>
      </c>
      <c r="N361" s="171">
        <f t="shared" si="154"/>
        <v>34616</v>
      </c>
      <c r="O361" s="171">
        <f t="shared" si="154"/>
        <v>34616</v>
      </c>
      <c r="P361" s="171">
        <f t="shared" si="154"/>
        <v>0</v>
      </c>
      <c r="Q361" s="172"/>
      <c r="R361" s="172"/>
      <c r="S361" s="172"/>
      <c r="T361" s="172"/>
      <c r="U361" s="172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63"/>
      <c r="BD361" s="163"/>
      <c r="BE361" s="163"/>
      <c r="BF361" s="163"/>
      <c r="BG361" s="163"/>
      <c r="BH361" s="163"/>
      <c r="BI361" s="163"/>
      <c r="BJ361" s="163"/>
      <c r="BK361" s="163"/>
      <c r="BL361" s="163"/>
      <c r="BM361" s="163"/>
      <c r="BN361" s="163"/>
      <c r="BO361" s="163"/>
      <c r="BP361" s="163"/>
      <c r="BQ361" s="163"/>
      <c r="BR361" s="163"/>
      <c r="BS361" s="163"/>
      <c r="BT361" s="163"/>
      <c r="BU361" s="163"/>
      <c r="BV361" s="163"/>
      <c r="BW361" s="163"/>
      <c r="BX361" s="163"/>
      <c r="BY361" s="163"/>
      <c r="BZ361" s="163"/>
      <c r="CA361" s="163"/>
      <c r="CB361" s="163"/>
      <c r="CC361" s="163"/>
      <c r="CD361" s="163"/>
      <c r="CE361" s="163"/>
      <c r="CF361" s="163"/>
      <c r="CG361" s="163"/>
      <c r="CH361" s="163"/>
      <c r="CI361" s="163"/>
      <c r="CJ361" s="163"/>
      <c r="CK361" s="163"/>
      <c r="CL361" s="163"/>
      <c r="CM361" s="163"/>
      <c r="CN361" s="163"/>
      <c r="CO361" s="163"/>
      <c r="CP361" s="163"/>
      <c r="CQ361" s="163"/>
      <c r="CR361" s="163"/>
      <c r="CS361" s="163"/>
      <c r="CT361" s="163"/>
      <c r="CU361" s="163"/>
      <c r="CV361" s="163"/>
      <c r="CW361" s="163"/>
      <c r="CX361" s="163"/>
      <c r="CY361" s="163"/>
      <c r="CZ361" s="163"/>
      <c r="DA361" s="163"/>
      <c r="DB361" s="163"/>
      <c r="DC361" s="163"/>
      <c r="DD361" s="163"/>
      <c r="DE361" s="163"/>
      <c r="DF361" s="163"/>
      <c r="DG361" s="163"/>
      <c r="DH361" s="163"/>
      <c r="DI361" s="163"/>
      <c r="DJ361" s="163"/>
      <c r="DK361" s="163"/>
      <c r="DL361" s="163"/>
      <c r="DM361" s="163"/>
      <c r="DN361" s="163"/>
      <c r="DO361" s="163"/>
      <c r="DP361" s="163"/>
      <c r="DQ361" s="163"/>
      <c r="DR361" s="163"/>
      <c r="DS361" s="163"/>
      <c r="DT361" s="163"/>
      <c r="DU361" s="163"/>
      <c r="DV361" s="163"/>
      <c r="DW361" s="163"/>
      <c r="DX361" s="163"/>
      <c r="DY361" s="163"/>
      <c r="DZ361" s="163"/>
      <c r="EA361" s="163"/>
      <c r="EB361" s="163"/>
      <c r="EC361" s="163"/>
      <c r="ED361" s="163"/>
      <c r="EE361" s="163"/>
      <c r="EF361" s="163"/>
      <c r="EG361" s="163"/>
      <c r="EH361" s="163"/>
      <c r="EI361" s="163"/>
      <c r="EJ361" s="163"/>
      <c r="EK361" s="163"/>
      <c r="EL361" s="163"/>
      <c r="EM361" s="163"/>
      <c r="EN361" s="163"/>
      <c r="EO361" s="163"/>
      <c r="EP361" s="163"/>
      <c r="EQ361" s="163"/>
      <c r="ER361" s="163"/>
      <c r="ES361" s="163"/>
      <c r="ET361" s="163"/>
      <c r="EU361" s="163"/>
      <c r="EV361" s="163"/>
      <c r="EW361" s="163"/>
      <c r="EX361" s="163"/>
      <c r="EY361" s="163"/>
      <c r="EZ361" s="163"/>
      <c r="FA361" s="163"/>
      <c r="FB361" s="163"/>
      <c r="FC361" s="163"/>
      <c r="FD361" s="163"/>
      <c r="FE361" s="163"/>
      <c r="FF361" s="163"/>
      <c r="FG361" s="163"/>
      <c r="FH361" s="163"/>
      <c r="FI361" s="163"/>
      <c r="FJ361" s="163"/>
      <c r="FK361" s="163"/>
      <c r="FL361" s="163"/>
      <c r="FM361" s="163"/>
      <c r="FN361" s="163"/>
      <c r="FO361" s="163"/>
      <c r="FP361" s="163"/>
      <c r="FQ361" s="163"/>
      <c r="FR361" s="163"/>
      <c r="FS361" s="163"/>
      <c r="FT361" s="163"/>
      <c r="FU361" s="163"/>
      <c r="FV361" s="163"/>
      <c r="FW361" s="163"/>
      <c r="FX361" s="163"/>
      <c r="FY361" s="163"/>
      <c r="FZ361" s="163"/>
      <c r="GA361" s="163"/>
      <c r="GB361" s="163"/>
      <c r="GC361" s="163"/>
      <c r="GD361" s="163"/>
      <c r="GE361" s="163"/>
      <c r="GF361" s="163"/>
      <c r="GG361" s="163"/>
      <c r="GH361" s="163"/>
      <c r="GI361" s="163"/>
      <c r="GJ361" s="163"/>
      <c r="GK361" s="163"/>
      <c r="GL361" s="163"/>
      <c r="GM361" s="163"/>
      <c r="GN361" s="163"/>
      <c r="GO361" s="163"/>
      <c r="GP361" s="163"/>
      <c r="GQ361" s="163"/>
      <c r="GR361" s="163"/>
      <c r="GS361" s="163"/>
      <c r="GT361" s="163"/>
      <c r="GU361" s="163"/>
      <c r="GV361" s="163"/>
      <c r="GW361" s="163"/>
      <c r="GX361" s="163"/>
      <c r="GY361" s="163"/>
      <c r="GZ361" s="163"/>
      <c r="HA361" s="163"/>
      <c r="HB361" s="163"/>
      <c r="HC361" s="163"/>
      <c r="HD361" s="163"/>
      <c r="HE361" s="163"/>
      <c r="HF361" s="163"/>
      <c r="HG361" s="163"/>
      <c r="HH361" s="163"/>
      <c r="HI361" s="163"/>
      <c r="HJ361" s="163"/>
      <c r="HK361" s="163"/>
      <c r="HL361" s="163"/>
      <c r="HM361" s="163"/>
      <c r="HN361" s="163"/>
      <c r="HO361" s="163"/>
      <c r="HP361" s="163"/>
      <c r="HQ361" s="163"/>
      <c r="HR361" s="163"/>
      <c r="HS361" s="163"/>
      <c r="HT361" s="163"/>
      <c r="HU361" s="163"/>
      <c r="HV361" s="163"/>
      <c r="HW361" s="163"/>
      <c r="HX361" s="163"/>
      <c r="HY361" s="163"/>
      <c r="HZ361" s="163"/>
      <c r="IA361" s="163"/>
      <c r="IB361" s="163"/>
      <c r="IC361" s="163"/>
      <c r="ID361" s="163"/>
      <c r="IE361" s="163"/>
      <c r="IF361" s="163"/>
      <c r="IG361" s="163"/>
      <c r="IH361" s="163"/>
      <c r="II361" s="163"/>
      <c r="IJ361" s="163"/>
      <c r="IK361" s="163"/>
      <c r="IL361" s="163"/>
      <c r="IM361" s="163"/>
      <c r="IN361" s="163"/>
      <c r="IO361" s="163"/>
      <c r="IP361" s="163"/>
      <c r="IQ361" s="163"/>
      <c r="IR361" s="163"/>
      <c r="IS361" s="163"/>
      <c r="IT361" s="163"/>
      <c r="IU361" s="163"/>
      <c r="IV361" s="163"/>
    </row>
    <row r="362" spans="1:256" hidden="1">
      <c r="A362" s="841">
        <v>90019</v>
      </c>
      <c r="B362" s="856" t="s">
        <v>314</v>
      </c>
      <c r="C362" s="178" t="s">
        <v>0</v>
      </c>
      <c r="D362" s="170">
        <f t="shared" si="147"/>
        <v>910000</v>
      </c>
      <c r="E362" s="171">
        <f t="shared" si="148"/>
        <v>910000</v>
      </c>
      <c r="F362" s="171">
        <f t="shared" si="149"/>
        <v>910000</v>
      </c>
      <c r="G362" s="171">
        <v>843600</v>
      </c>
      <c r="H362" s="171">
        <f>910000-843600</f>
        <v>66400</v>
      </c>
      <c r="I362" s="171">
        <v>0</v>
      </c>
      <c r="J362" s="171">
        <v>0</v>
      </c>
      <c r="K362" s="171">
        <v>0</v>
      </c>
      <c r="L362" s="171">
        <v>0</v>
      </c>
      <c r="M362" s="171">
        <f t="shared" si="151"/>
        <v>0</v>
      </c>
      <c r="N362" s="171">
        <v>0</v>
      </c>
      <c r="O362" s="171">
        <v>0</v>
      </c>
      <c r="P362" s="171">
        <v>0</v>
      </c>
      <c r="Q362" s="172"/>
      <c r="R362" s="172"/>
      <c r="S362" s="172"/>
      <c r="T362" s="172"/>
      <c r="U362" s="172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63"/>
      <c r="BD362" s="163"/>
      <c r="BE362" s="163"/>
      <c r="BF362" s="163"/>
      <c r="BG362" s="163"/>
      <c r="BH362" s="163"/>
      <c r="BI362" s="163"/>
      <c r="BJ362" s="163"/>
      <c r="BK362" s="163"/>
      <c r="BL362" s="163"/>
      <c r="BM362" s="163"/>
      <c r="BN362" s="163"/>
      <c r="BO362" s="163"/>
      <c r="BP362" s="163"/>
      <c r="BQ362" s="163"/>
      <c r="BR362" s="163"/>
      <c r="BS362" s="163"/>
      <c r="BT362" s="163"/>
      <c r="BU362" s="163"/>
      <c r="BV362" s="163"/>
      <c r="BW362" s="163"/>
      <c r="BX362" s="163"/>
      <c r="BY362" s="163"/>
      <c r="BZ362" s="163"/>
      <c r="CA362" s="163"/>
      <c r="CB362" s="163"/>
      <c r="CC362" s="163"/>
      <c r="CD362" s="163"/>
      <c r="CE362" s="163"/>
      <c r="CF362" s="163"/>
      <c r="CG362" s="163"/>
      <c r="CH362" s="163"/>
      <c r="CI362" s="163"/>
      <c r="CJ362" s="163"/>
      <c r="CK362" s="163"/>
      <c r="CL362" s="163"/>
      <c r="CM362" s="163"/>
      <c r="CN362" s="163"/>
      <c r="CO362" s="163"/>
      <c r="CP362" s="163"/>
      <c r="CQ362" s="163"/>
      <c r="CR362" s="163"/>
      <c r="CS362" s="163"/>
      <c r="CT362" s="163"/>
      <c r="CU362" s="163"/>
      <c r="CV362" s="163"/>
      <c r="CW362" s="163"/>
      <c r="CX362" s="163"/>
      <c r="CY362" s="163"/>
      <c r="CZ362" s="163"/>
      <c r="DA362" s="163"/>
      <c r="DB362" s="163"/>
      <c r="DC362" s="163"/>
      <c r="DD362" s="163"/>
      <c r="DE362" s="163"/>
      <c r="DF362" s="163"/>
      <c r="DG362" s="163"/>
      <c r="DH362" s="163"/>
      <c r="DI362" s="163"/>
      <c r="DJ362" s="163"/>
      <c r="DK362" s="163"/>
      <c r="DL362" s="163"/>
      <c r="DM362" s="163"/>
      <c r="DN362" s="163"/>
      <c r="DO362" s="163"/>
      <c r="DP362" s="163"/>
      <c r="DQ362" s="163"/>
      <c r="DR362" s="163"/>
      <c r="DS362" s="163"/>
      <c r="DT362" s="163"/>
      <c r="DU362" s="163"/>
      <c r="DV362" s="163"/>
      <c r="DW362" s="163"/>
      <c r="DX362" s="163"/>
      <c r="DY362" s="163"/>
      <c r="DZ362" s="163"/>
      <c r="EA362" s="163"/>
      <c r="EB362" s="163"/>
      <c r="EC362" s="163"/>
      <c r="ED362" s="163"/>
      <c r="EE362" s="163"/>
      <c r="EF362" s="163"/>
      <c r="EG362" s="163"/>
      <c r="EH362" s="163"/>
      <c r="EI362" s="163"/>
      <c r="EJ362" s="163"/>
      <c r="EK362" s="163"/>
      <c r="EL362" s="163"/>
      <c r="EM362" s="163"/>
      <c r="EN362" s="163"/>
      <c r="EO362" s="163"/>
      <c r="EP362" s="163"/>
      <c r="EQ362" s="163"/>
      <c r="ER362" s="163"/>
      <c r="ES362" s="163"/>
      <c r="ET362" s="163"/>
      <c r="EU362" s="163"/>
      <c r="EV362" s="163"/>
      <c r="EW362" s="163"/>
      <c r="EX362" s="163"/>
      <c r="EY362" s="163"/>
      <c r="EZ362" s="163"/>
      <c r="FA362" s="163"/>
      <c r="FB362" s="163"/>
      <c r="FC362" s="163"/>
      <c r="FD362" s="163"/>
      <c r="FE362" s="163"/>
      <c r="FF362" s="163"/>
      <c r="FG362" s="163"/>
      <c r="FH362" s="163"/>
      <c r="FI362" s="163"/>
      <c r="FJ362" s="163"/>
      <c r="FK362" s="163"/>
      <c r="FL362" s="163"/>
      <c r="FM362" s="163"/>
      <c r="FN362" s="163"/>
      <c r="FO362" s="163"/>
      <c r="FP362" s="163"/>
      <c r="FQ362" s="163"/>
      <c r="FR362" s="163"/>
      <c r="FS362" s="163"/>
      <c r="FT362" s="163"/>
      <c r="FU362" s="163"/>
      <c r="FV362" s="163"/>
      <c r="FW362" s="163"/>
      <c r="FX362" s="163"/>
      <c r="FY362" s="163"/>
      <c r="FZ362" s="163"/>
      <c r="GA362" s="163"/>
      <c r="GB362" s="163"/>
      <c r="GC362" s="163"/>
      <c r="GD362" s="163"/>
      <c r="GE362" s="163"/>
      <c r="GF362" s="163"/>
      <c r="GG362" s="163"/>
      <c r="GH362" s="163"/>
      <c r="GI362" s="163"/>
      <c r="GJ362" s="163"/>
      <c r="GK362" s="163"/>
      <c r="GL362" s="163"/>
      <c r="GM362" s="163"/>
      <c r="GN362" s="163"/>
      <c r="GO362" s="163"/>
      <c r="GP362" s="163"/>
      <c r="GQ362" s="163"/>
      <c r="GR362" s="163"/>
      <c r="GS362" s="163"/>
      <c r="GT362" s="163"/>
      <c r="GU362" s="163"/>
      <c r="GV362" s="163"/>
      <c r="GW362" s="163"/>
      <c r="GX362" s="163"/>
      <c r="GY362" s="163"/>
      <c r="GZ362" s="163"/>
      <c r="HA362" s="163"/>
      <c r="HB362" s="163"/>
      <c r="HC362" s="163"/>
      <c r="HD362" s="163"/>
      <c r="HE362" s="163"/>
      <c r="HF362" s="163"/>
      <c r="HG362" s="163"/>
      <c r="HH362" s="163"/>
      <c r="HI362" s="163"/>
      <c r="HJ362" s="163"/>
      <c r="HK362" s="163"/>
      <c r="HL362" s="163"/>
      <c r="HM362" s="163"/>
      <c r="HN362" s="163"/>
      <c r="HO362" s="163"/>
      <c r="HP362" s="163"/>
      <c r="HQ362" s="163"/>
      <c r="HR362" s="163"/>
      <c r="HS362" s="163"/>
      <c r="HT362" s="163"/>
      <c r="HU362" s="163"/>
      <c r="HV362" s="163"/>
      <c r="HW362" s="163"/>
      <c r="HX362" s="163"/>
      <c r="HY362" s="163"/>
      <c r="HZ362" s="163"/>
      <c r="IA362" s="163"/>
      <c r="IB362" s="163"/>
      <c r="IC362" s="163"/>
      <c r="ID362" s="163"/>
      <c r="IE362" s="163"/>
      <c r="IF362" s="163"/>
      <c r="IG362" s="163"/>
      <c r="IH362" s="163"/>
      <c r="II362" s="163"/>
      <c r="IJ362" s="163"/>
      <c r="IK362" s="163"/>
      <c r="IL362" s="163"/>
      <c r="IM362" s="163"/>
      <c r="IN362" s="163"/>
      <c r="IO362" s="163"/>
      <c r="IP362" s="163"/>
      <c r="IQ362" s="163"/>
      <c r="IR362" s="163"/>
      <c r="IS362" s="163"/>
      <c r="IT362" s="163"/>
      <c r="IU362" s="163"/>
      <c r="IV362" s="163"/>
    </row>
    <row r="363" spans="1:256" hidden="1">
      <c r="A363" s="842"/>
      <c r="B363" s="857"/>
      <c r="C363" s="178" t="s">
        <v>1</v>
      </c>
      <c r="D363" s="170">
        <f t="shared" si="147"/>
        <v>0</v>
      </c>
      <c r="E363" s="171">
        <f t="shared" si="148"/>
        <v>0</v>
      </c>
      <c r="F363" s="171">
        <f t="shared" si="149"/>
        <v>0</v>
      </c>
      <c r="G363" s="171"/>
      <c r="H363" s="171"/>
      <c r="I363" s="171"/>
      <c r="J363" s="171"/>
      <c r="K363" s="171"/>
      <c r="L363" s="171"/>
      <c r="M363" s="171">
        <f t="shared" si="151"/>
        <v>0</v>
      </c>
      <c r="N363" s="171"/>
      <c r="O363" s="171"/>
      <c r="P363" s="171"/>
      <c r="Q363" s="172"/>
      <c r="R363" s="172"/>
      <c r="S363" s="172"/>
      <c r="T363" s="172"/>
      <c r="U363" s="172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63"/>
      <c r="BD363" s="163"/>
      <c r="BE363" s="163"/>
      <c r="BF363" s="163"/>
      <c r="BG363" s="163"/>
      <c r="BH363" s="163"/>
      <c r="BI363" s="163"/>
      <c r="BJ363" s="163"/>
      <c r="BK363" s="163"/>
      <c r="BL363" s="163"/>
      <c r="BM363" s="163"/>
      <c r="BN363" s="163"/>
      <c r="BO363" s="163"/>
      <c r="BP363" s="163"/>
      <c r="BQ363" s="163"/>
      <c r="BR363" s="163"/>
      <c r="BS363" s="163"/>
      <c r="BT363" s="163"/>
      <c r="BU363" s="163"/>
      <c r="BV363" s="163"/>
      <c r="BW363" s="163"/>
      <c r="BX363" s="163"/>
      <c r="BY363" s="163"/>
      <c r="BZ363" s="163"/>
      <c r="CA363" s="163"/>
      <c r="CB363" s="163"/>
      <c r="CC363" s="163"/>
      <c r="CD363" s="163"/>
      <c r="CE363" s="163"/>
      <c r="CF363" s="163"/>
      <c r="CG363" s="163"/>
      <c r="CH363" s="163"/>
      <c r="CI363" s="163"/>
      <c r="CJ363" s="163"/>
      <c r="CK363" s="163"/>
      <c r="CL363" s="163"/>
      <c r="CM363" s="163"/>
      <c r="CN363" s="163"/>
      <c r="CO363" s="163"/>
      <c r="CP363" s="163"/>
      <c r="CQ363" s="163"/>
      <c r="CR363" s="163"/>
      <c r="CS363" s="163"/>
      <c r="CT363" s="163"/>
      <c r="CU363" s="163"/>
      <c r="CV363" s="163"/>
      <c r="CW363" s="163"/>
      <c r="CX363" s="163"/>
      <c r="CY363" s="163"/>
      <c r="CZ363" s="163"/>
      <c r="DA363" s="163"/>
      <c r="DB363" s="163"/>
      <c r="DC363" s="163"/>
      <c r="DD363" s="163"/>
      <c r="DE363" s="163"/>
      <c r="DF363" s="163"/>
      <c r="DG363" s="163"/>
      <c r="DH363" s="163"/>
      <c r="DI363" s="163"/>
      <c r="DJ363" s="163"/>
      <c r="DK363" s="163"/>
      <c r="DL363" s="163"/>
      <c r="DM363" s="163"/>
      <c r="DN363" s="163"/>
      <c r="DO363" s="163"/>
      <c r="DP363" s="163"/>
      <c r="DQ363" s="163"/>
      <c r="DR363" s="163"/>
      <c r="DS363" s="163"/>
      <c r="DT363" s="163"/>
      <c r="DU363" s="163"/>
      <c r="DV363" s="163"/>
      <c r="DW363" s="163"/>
      <c r="DX363" s="163"/>
      <c r="DY363" s="163"/>
      <c r="DZ363" s="163"/>
      <c r="EA363" s="163"/>
      <c r="EB363" s="163"/>
      <c r="EC363" s="163"/>
      <c r="ED363" s="163"/>
      <c r="EE363" s="163"/>
      <c r="EF363" s="163"/>
      <c r="EG363" s="163"/>
      <c r="EH363" s="163"/>
      <c r="EI363" s="163"/>
      <c r="EJ363" s="163"/>
      <c r="EK363" s="163"/>
      <c r="EL363" s="163"/>
      <c r="EM363" s="163"/>
      <c r="EN363" s="163"/>
      <c r="EO363" s="163"/>
      <c r="EP363" s="163"/>
      <c r="EQ363" s="163"/>
      <c r="ER363" s="163"/>
      <c r="ES363" s="163"/>
      <c r="ET363" s="163"/>
      <c r="EU363" s="163"/>
      <c r="EV363" s="163"/>
      <c r="EW363" s="163"/>
      <c r="EX363" s="163"/>
      <c r="EY363" s="163"/>
      <c r="EZ363" s="163"/>
      <c r="FA363" s="163"/>
      <c r="FB363" s="163"/>
      <c r="FC363" s="163"/>
      <c r="FD363" s="163"/>
      <c r="FE363" s="163"/>
      <c r="FF363" s="163"/>
      <c r="FG363" s="163"/>
      <c r="FH363" s="163"/>
      <c r="FI363" s="163"/>
      <c r="FJ363" s="163"/>
      <c r="FK363" s="163"/>
      <c r="FL363" s="163"/>
      <c r="FM363" s="163"/>
      <c r="FN363" s="163"/>
      <c r="FO363" s="163"/>
      <c r="FP363" s="163"/>
      <c r="FQ363" s="163"/>
      <c r="FR363" s="163"/>
      <c r="FS363" s="163"/>
      <c r="FT363" s="163"/>
      <c r="FU363" s="163"/>
      <c r="FV363" s="163"/>
      <c r="FW363" s="163"/>
      <c r="FX363" s="163"/>
      <c r="FY363" s="163"/>
      <c r="FZ363" s="163"/>
      <c r="GA363" s="163"/>
      <c r="GB363" s="163"/>
      <c r="GC363" s="163"/>
      <c r="GD363" s="163"/>
      <c r="GE363" s="163"/>
      <c r="GF363" s="163"/>
      <c r="GG363" s="163"/>
      <c r="GH363" s="163"/>
      <c r="GI363" s="163"/>
      <c r="GJ363" s="163"/>
      <c r="GK363" s="163"/>
      <c r="GL363" s="163"/>
      <c r="GM363" s="163"/>
      <c r="GN363" s="163"/>
      <c r="GO363" s="163"/>
      <c r="GP363" s="163"/>
      <c r="GQ363" s="163"/>
      <c r="GR363" s="163"/>
      <c r="GS363" s="163"/>
      <c r="GT363" s="163"/>
      <c r="GU363" s="163"/>
      <c r="GV363" s="163"/>
      <c r="GW363" s="163"/>
      <c r="GX363" s="163"/>
      <c r="GY363" s="163"/>
      <c r="GZ363" s="163"/>
      <c r="HA363" s="163"/>
      <c r="HB363" s="163"/>
      <c r="HC363" s="163"/>
      <c r="HD363" s="163"/>
      <c r="HE363" s="163"/>
      <c r="HF363" s="163"/>
      <c r="HG363" s="163"/>
      <c r="HH363" s="163"/>
      <c r="HI363" s="163"/>
      <c r="HJ363" s="163"/>
      <c r="HK363" s="163"/>
      <c r="HL363" s="163"/>
      <c r="HM363" s="163"/>
      <c r="HN363" s="163"/>
      <c r="HO363" s="163"/>
      <c r="HP363" s="163"/>
      <c r="HQ363" s="163"/>
      <c r="HR363" s="163"/>
      <c r="HS363" s="163"/>
      <c r="HT363" s="163"/>
      <c r="HU363" s="163"/>
      <c r="HV363" s="163"/>
      <c r="HW363" s="163"/>
      <c r="HX363" s="163"/>
      <c r="HY363" s="163"/>
      <c r="HZ363" s="163"/>
      <c r="IA363" s="163"/>
      <c r="IB363" s="163"/>
      <c r="IC363" s="163"/>
      <c r="ID363" s="163"/>
      <c r="IE363" s="163"/>
      <c r="IF363" s="163"/>
      <c r="IG363" s="163"/>
      <c r="IH363" s="163"/>
      <c r="II363" s="163"/>
      <c r="IJ363" s="163"/>
      <c r="IK363" s="163"/>
      <c r="IL363" s="163"/>
      <c r="IM363" s="163"/>
      <c r="IN363" s="163"/>
      <c r="IO363" s="163"/>
      <c r="IP363" s="163"/>
      <c r="IQ363" s="163"/>
      <c r="IR363" s="163"/>
      <c r="IS363" s="163"/>
      <c r="IT363" s="163"/>
      <c r="IU363" s="163"/>
      <c r="IV363" s="163"/>
    </row>
    <row r="364" spans="1:256" hidden="1">
      <c r="A364" s="843"/>
      <c r="B364" s="858"/>
      <c r="C364" s="178" t="s">
        <v>2</v>
      </c>
      <c r="D364" s="170">
        <f>D362+D363</f>
        <v>910000</v>
      </c>
      <c r="E364" s="171">
        <f t="shared" ref="E364:P364" si="155">E362+E363</f>
        <v>910000</v>
      </c>
      <c r="F364" s="171">
        <f t="shared" si="155"/>
        <v>910000</v>
      </c>
      <c r="G364" s="171">
        <f t="shared" si="155"/>
        <v>843600</v>
      </c>
      <c r="H364" s="171">
        <f t="shared" si="155"/>
        <v>66400</v>
      </c>
      <c r="I364" s="171">
        <f t="shared" si="155"/>
        <v>0</v>
      </c>
      <c r="J364" s="171">
        <f t="shared" si="155"/>
        <v>0</v>
      </c>
      <c r="K364" s="171">
        <f t="shared" si="155"/>
        <v>0</v>
      </c>
      <c r="L364" s="171">
        <f t="shared" si="155"/>
        <v>0</v>
      </c>
      <c r="M364" s="171">
        <f t="shared" si="155"/>
        <v>0</v>
      </c>
      <c r="N364" s="171">
        <f t="shared" si="155"/>
        <v>0</v>
      </c>
      <c r="O364" s="171">
        <f t="shared" si="155"/>
        <v>0</v>
      </c>
      <c r="P364" s="171">
        <f t="shared" si="155"/>
        <v>0</v>
      </c>
      <c r="Q364" s="172"/>
      <c r="R364" s="172"/>
      <c r="S364" s="172"/>
      <c r="T364" s="172"/>
      <c r="U364" s="172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3"/>
      <c r="BD364" s="163"/>
      <c r="BE364" s="163"/>
      <c r="BF364" s="163"/>
      <c r="BG364" s="163"/>
      <c r="BH364" s="163"/>
      <c r="BI364" s="163"/>
      <c r="BJ364" s="163"/>
      <c r="BK364" s="163"/>
      <c r="BL364" s="163"/>
      <c r="BM364" s="163"/>
      <c r="BN364" s="163"/>
      <c r="BO364" s="163"/>
      <c r="BP364" s="163"/>
      <c r="BQ364" s="163"/>
      <c r="BR364" s="163"/>
      <c r="BS364" s="163"/>
      <c r="BT364" s="163"/>
      <c r="BU364" s="163"/>
      <c r="BV364" s="163"/>
      <c r="BW364" s="163"/>
      <c r="BX364" s="163"/>
      <c r="BY364" s="163"/>
      <c r="BZ364" s="163"/>
      <c r="CA364" s="163"/>
      <c r="CB364" s="163"/>
      <c r="CC364" s="163"/>
      <c r="CD364" s="163"/>
      <c r="CE364" s="163"/>
      <c r="CF364" s="163"/>
      <c r="CG364" s="163"/>
      <c r="CH364" s="163"/>
      <c r="CI364" s="163"/>
      <c r="CJ364" s="163"/>
      <c r="CK364" s="163"/>
      <c r="CL364" s="163"/>
      <c r="CM364" s="163"/>
      <c r="CN364" s="163"/>
      <c r="CO364" s="163"/>
      <c r="CP364" s="163"/>
      <c r="CQ364" s="163"/>
      <c r="CR364" s="163"/>
      <c r="CS364" s="163"/>
      <c r="CT364" s="163"/>
      <c r="CU364" s="163"/>
      <c r="CV364" s="163"/>
      <c r="CW364" s="163"/>
      <c r="CX364" s="163"/>
      <c r="CY364" s="163"/>
      <c r="CZ364" s="163"/>
      <c r="DA364" s="163"/>
      <c r="DB364" s="163"/>
      <c r="DC364" s="163"/>
      <c r="DD364" s="163"/>
      <c r="DE364" s="163"/>
      <c r="DF364" s="163"/>
      <c r="DG364" s="163"/>
      <c r="DH364" s="163"/>
      <c r="DI364" s="163"/>
      <c r="DJ364" s="163"/>
      <c r="DK364" s="163"/>
      <c r="DL364" s="163"/>
      <c r="DM364" s="163"/>
      <c r="DN364" s="163"/>
      <c r="DO364" s="163"/>
      <c r="DP364" s="163"/>
      <c r="DQ364" s="163"/>
      <c r="DR364" s="163"/>
      <c r="DS364" s="163"/>
      <c r="DT364" s="163"/>
      <c r="DU364" s="163"/>
      <c r="DV364" s="163"/>
      <c r="DW364" s="163"/>
      <c r="DX364" s="163"/>
      <c r="DY364" s="163"/>
      <c r="DZ364" s="163"/>
      <c r="EA364" s="163"/>
      <c r="EB364" s="163"/>
      <c r="EC364" s="163"/>
      <c r="ED364" s="163"/>
      <c r="EE364" s="163"/>
      <c r="EF364" s="163"/>
      <c r="EG364" s="163"/>
      <c r="EH364" s="163"/>
      <c r="EI364" s="163"/>
      <c r="EJ364" s="163"/>
      <c r="EK364" s="163"/>
      <c r="EL364" s="163"/>
      <c r="EM364" s="163"/>
      <c r="EN364" s="163"/>
      <c r="EO364" s="163"/>
      <c r="EP364" s="163"/>
      <c r="EQ364" s="163"/>
      <c r="ER364" s="163"/>
      <c r="ES364" s="163"/>
      <c r="ET364" s="163"/>
      <c r="EU364" s="163"/>
      <c r="EV364" s="163"/>
      <c r="EW364" s="163"/>
      <c r="EX364" s="163"/>
      <c r="EY364" s="163"/>
      <c r="EZ364" s="163"/>
      <c r="FA364" s="163"/>
      <c r="FB364" s="163"/>
      <c r="FC364" s="163"/>
      <c r="FD364" s="163"/>
      <c r="FE364" s="163"/>
      <c r="FF364" s="163"/>
      <c r="FG364" s="163"/>
      <c r="FH364" s="163"/>
      <c r="FI364" s="163"/>
      <c r="FJ364" s="163"/>
      <c r="FK364" s="163"/>
      <c r="FL364" s="163"/>
      <c r="FM364" s="163"/>
      <c r="FN364" s="163"/>
      <c r="FO364" s="163"/>
      <c r="FP364" s="163"/>
      <c r="FQ364" s="163"/>
      <c r="FR364" s="163"/>
      <c r="FS364" s="163"/>
      <c r="FT364" s="163"/>
      <c r="FU364" s="163"/>
      <c r="FV364" s="163"/>
      <c r="FW364" s="163"/>
      <c r="FX364" s="163"/>
      <c r="FY364" s="163"/>
      <c r="FZ364" s="163"/>
      <c r="GA364" s="163"/>
      <c r="GB364" s="163"/>
      <c r="GC364" s="163"/>
      <c r="GD364" s="163"/>
      <c r="GE364" s="163"/>
      <c r="GF364" s="163"/>
      <c r="GG364" s="163"/>
      <c r="GH364" s="163"/>
      <c r="GI364" s="163"/>
      <c r="GJ364" s="163"/>
      <c r="GK364" s="163"/>
      <c r="GL364" s="163"/>
      <c r="GM364" s="163"/>
      <c r="GN364" s="163"/>
      <c r="GO364" s="163"/>
      <c r="GP364" s="163"/>
      <c r="GQ364" s="163"/>
      <c r="GR364" s="163"/>
      <c r="GS364" s="163"/>
      <c r="GT364" s="163"/>
      <c r="GU364" s="163"/>
      <c r="GV364" s="163"/>
      <c r="GW364" s="163"/>
      <c r="GX364" s="163"/>
      <c r="GY364" s="163"/>
      <c r="GZ364" s="163"/>
      <c r="HA364" s="163"/>
      <c r="HB364" s="163"/>
      <c r="HC364" s="163"/>
      <c r="HD364" s="163"/>
      <c r="HE364" s="163"/>
      <c r="HF364" s="163"/>
      <c r="HG364" s="163"/>
      <c r="HH364" s="163"/>
      <c r="HI364" s="163"/>
      <c r="HJ364" s="163"/>
      <c r="HK364" s="163"/>
      <c r="HL364" s="163"/>
      <c r="HM364" s="163"/>
      <c r="HN364" s="163"/>
      <c r="HO364" s="163"/>
      <c r="HP364" s="163"/>
      <c r="HQ364" s="163"/>
      <c r="HR364" s="163"/>
      <c r="HS364" s="163"/>
      <c r="HT364" s="163"/>
      <c r="HU364" s="163"/>
      <c r="HV364" s="163"/>
      <c r="HW364" s="163"/>
      <c r="HX364" s="163"/>
      <c r="HY364" s="163"/>
      <c r="HZ364" s="163"/>
      <c r="IA364" s="163"/>
      <c r="IB364" s="163"/>
      <c r="IC364" s="163"/>
      <c r="ID364" s="163"/>
      <c r="IE364" s="163"/>
      <c r="IF364" s="163"/>
      <c r="IG364" s="163"/>
      <c r="IH364" s="163"/>
      <c r="II364" s="163"/>
      <c r="IJ364" s="163"/>
      <c r="IK364" s="163"/>
      <c r="IL364" s="163"/>
      <c r="IM364" s="163"/>
      <c r="IN364" s="163"/>
      <c r="IO364" s="163"/>
      <c r="IP364" s="163"/>
      <c r="IQ364" s="163"/>
      <c r="IR364" s="163"/>
      <c r="IS364" s="163"/>
      <c r="IT364" s="163"/>
      <c r="IU364" s="163"/>
      <c r="IV364" s="163"/>
    </row>
    <row r="365" spans="1:256">
      <c r="A365" s="841">
        <v>90020</v>
      </c>
      <c r="B365" s="856" t="s">
        <v>315</v>
      </c>
      <c r="C365" s="178" t="s">
        <v>0</v>
      </c>
      <c r="D365" s="170">
        <f t="shared" si="147"/>
        <v>47500</v>
      </c>
      <c r="E365" s="171">
        <f t="shared" si="148"/>
        <v>47500</v>
      </c>
      <c r="F365" s="171">
        <f t="shared" si="149"/>
        <v>47500</v>
      </c>
      <c r="G365" s="171">
        <v>43200</v>
      </c>
      <c r="H365" s="171">
        <f>47500-43200</f>
        <v>4300</v>
      </c>
      <c r="I365" s="171">
        <v>0</v>
      </c>
      <c r="J365" s="171">
        <v>0</v>
      </c>
      <c r="K365" s="171">
        <v>0</v>
      </c>
      <c r="L365" s="171">
        <v>0</v>
      </c>
      <c r="M365" s="171">
        <f t="shared" si="151"/>
        <v>0</v>
      </c>
      <c r="N365" s="171">
        <v>0</v>
      </c>
      <c r="O365" s="171">
        <v>0</v>
      </c>
      <c r="P365" s="171">
        <v>0</v>
      </c>
      <c r="Q365" s="172"/>
      <c r="R365" s="172"/>
      <c r="S365" s="172"/>
      <c r="T365" s="172"/>
      <c r="U365" s="172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63"/>
      <c r="BD365" s="163"/>
      <c r="BE365" s="163"/>
      <c r="BF365" s="163"/>
      <c r="BG365" s="163"/>
      <c r="BH365" s="163"/>
      <c r="BI365" s="163"/>
      <c r="BJ365" s="163"/>
      <c r="BK365" s="163"/>
      <c r="BL365" s="163"/>
      <c r="BM365" s="163"/>
      <c r="BN365" s="163"/>
      <c r="BO365" s="163"/>
      <c r="BP365" s="163"/>
      <c r="BQ365" s="163"/>
      <c r="BR365" s="163"/>
      <c r="BS365" s="163"/>
      <c r="BT365" s="163"/>
      <c r="BU365" s="163"/>
      <c r="BV365" s="163"/>
      <c r="BW365" s="163"/>
      <c r="BX365" s="163"/>
      <c r="BY365" s="163"/>
      <c r="BZ365" s="163"/>
      <c r="CA365" s="163"/>
      <c r="CB365" s="163"/>
      <c r="CC365" s="163"/>
      <c r="CD365" s="163"/>
      <c r="CE365" s="163"/>
      <c r="CF365" s="163"/>
      <c r="CG365" s="163"/>
      <c r="CH365" s="163"/>
      <c r="CI365" s="163"/>
      <c r="CJ365" s="163"/>
      <c r="CK365" s="163"/>
      <c r="CL365" s="163"/>
      <c r="CM365" s="163"/>
      <c r="CN365" s="163"/>
      <c r="CO365" s="163"/>
      <c r="CP365" s="163"/>
      <c r="CQ365" s="163"/>
      <c r="CR365" s="163"/>
      <c r="CS365" s="163"/>
      <c r="CT365" s="163"/>
      <c r="CU365" s="163"/>
      <c r="CV365" s="163"/>
      <c r="CW365" s="163"/>
      <c r="CX365" s="163"/>
      <c r="CY365" s="163"/>
      <c r="CZ365" s="163"/>
      <c r="DA365" s="163"/>
      <c r="DB365" s="163"/>
      <c r="DC365" s="163"/>
      <c r="DD365" s="163"/>
      <c r="DE365" s="163"/>
      <c r="DF365" s="163"/>
      <c r="DG365" s="163"/>
      <c r="DH365" s="163"/>
      <c r="DI365" s="163"/>
      <c r="DJ365" s="163"/>
      <c r="DK365" s="163"/>
      <c r="DL365" s="163"/>
      <c r="DM365" s="163"/>
      <c r="DN365" s="163"/>
      <c r="DO365" s="163"/>
      <c r="DP365" s="163"/>
      <c r="DQ365" s="163"/>
      <c r="DR365" s="163"/>
      <c r="DS365" s="163"/>
      <c r="DT365" s="163"/>
      <c r="DU365" s="163"/>
      <c r="DV365" s="163"/>
      <c r="DW365" s="163"/>
      <c r="DX365" s="163"/>
      <c r="DY365" s="163"/>
      <c r="DZ365" s="163"/>
      <c r="EA365" s="163"/>
      <c r="EB365" s="163"/>
      <c r="EC365" s="163"/>
      <c r="ED365" s="163"/>
      <c r="EE365" s="163"/>
      <c r="EF365" s="163"/>
      <c r="EG365" s="163"/>
      <c r="EH365" s="163"/>
      <c r="EI365" s="163"/>
      <c r="EJ365" s="163"/>
      <c r="EK365" s="163"/>
      <c r="EL365" s="163"/>
      <c r="EM365" s="163"/>
      <c r="EN365" s="163"/>
      <c r="EO365" s="163"/>
      <c r="EP365" s="163"/>
      <c r="EQ365" s="163"/>
      <c r="ER365" s="163"/>
      <c r="ES365" s="163"/>
      <c r="ET365" s="163"/>
      <c r="EU365" s="163"/>
      <c r="EV365" s="163"/>
      <c r="EW365" s="163"/>
      <c r="EX365" s="163"/>
      <c r="EY365" s="163"/>
      <c r="EZ365" s="163"/>
      <c r="FA365" s="163"/>
      <c r="FB365" s="163"/>
      <c r="FC365" s="163"/>
      <c r="FD365" s="163"/>
      <c r="FE365" s="163"/>
      <c r="FF365" s="163"/>
      <c r="FG365" s="163"/>
      <c r="FH365" s="163"/>
      <c r="FI365" s="163"/>
      <c r="FJ365" s="163"/>
      <c r="FK365" s="163"/>
      <c r="FL365" s="163"/>
      <c r="FM365" s="163"/>
      <c r="FN365" s="163"/>
      <c r="FO365" s="163"/>
      <c r="FP365" s="163"/>
      <c r="FQ365" s="163"/>
      <c r="FR365" s="163"/>
      <c r="FS365" s="163"/>
      <c r="FT365" s="163"/>
      <c r="FU365" s="163"/>
      <c r="FV365" s="163"/>
      <c r="FW365" s="163"/>
      <c r="FX365" s="163"/>
      <c r="FY365" s="163"/>
      <c r="FZ365" s="163"/>
      <c r="GA365" s="163"/>
      <c r="GB365" s="163"/>
      <c r="GC365" s="163"/>
      <c r="GD365" s="163"/>
      <c r="GE365" s="163"/>
      <c r="GF365" s="163"/>
      <c r="GG365" s="163"/>
      <c r="GH365" s="163"/>
      <c r="GI365" s="163"/>
      <c r="GJ365" s="163"/>
      <c r="GK365" s="163"/>
      <c r="GL365" s="163"/>
      <c r="GM365" s="163"/>
      <c r="GN365" s="163"/>
      <c r="GO365" s="163"/>
      <c r="GP365" s="163"/>
      <c r="GQ365" s="163"/>
      <c r="GR365" s="163"/>
      <c r="GS365" s="163"/>
      <c r="GT365" s="163"/>
      <c r="GU365" s="163"/>
      <c r="GV365" s="163"/>
      <c r="GW365" s="163"/>
      <c r="GX365" s="163"/>
      <c r="GY365" s="163"/>
      <c r="GZ365" s="163"/>
      <c r="HA365" s="163"/>
      <c r="HB365" s="163"/>
      <c r="HC365" s="163"/>
      <c r="HD365" s="163"/>
      <c r="HE365" s="163"/>
      <c r="HF365" s="163"/>
      <c r="HG365" s="163"/>
      <c r="HH365" s="163"/>
      <c r="HI365" s="163"/>
      <c r="HJ365" s="163"/>
      <c r="HK365" s="163"/>
      <c r="HL365" s="163"/>
      <c r="HM365" s="163"/>
      <c r="HN365" s="163"/>
      <c r="HO365" s="163"/>
      <c r="HP365" s="163"/>
      <c r="HQ365" s="163"/>
      <c r="HR365" s="163"/>
      <c r="HS365" s="163"/>
      <c r="HT365" s="163"/>
      <c r="HU365" s="163"/>
      <c r="HV365" s="163"/>
      <c r="HW365" s="163"/>
      <c r="HX365" s="163"/>
      <c r="HY365" s="163"/>
      <c r="HZ365" s="163"/>
      <c r="IA365" s="163"/>
      <c r="IB365" s="163"/>
      <c r="IC365" s="163"/>
      <c r="ID365" s="163"/>
      <c r="IE365" s="163"/>
      <c r="IF365" s="163"/>
      <c r="IG365" s="163"/>
      <c r="IH365" s="163"/>
      <c r="II365" s="163"/>
      <c r="IJ365" s="163"/>
      <c r="IK365" s="163"/>
      <c r="IL365" s="163"/>
      <c r="IM365" s="163"/>
      <c r="IN365" s="163"/>
      <c r="IO365" s="163"/>
      <c r="IP365" s="163"/>
      <c r="IQ365" s="163"/>
      <c r="IR365" s="163"/>
      <c r="IS365" s="163"/>
      <c r="IT365" s="163"/>
      <c r="IU365" s="163"/>
      <c r="IV365" s="163"/>
    </row>
    <row r="366" spans="1:256">
      <c r="A366" s="842"/>
      <c r="B366" s="857"/>
      <c r="C366" s="178" t="s">
        <v>1</v>
      </c>
      <c r="D366" s="170">
        <f t="shared" si="147"/>
        <v>70.02</v>
      </c>
      <c r="E366" s="171">
        <f t="shared" si="148"/>
        <v>70.02</v>
      </c>
      <c r="F366" s="171">
        <f t="shared" si="149"/>
        <v>70.02</v>
      </c>
      <c r="G366" s="171">
        <v>70.02</v>
      </c>
      <c r="H366" s="171"/>
      <c r="I366" s="171"/>
      <c r="J366" s="171"/>
      <c r="K366" s="171"/>
      <c r="L366" s="171"/>
      <c r="M366" s="171">
        <f t="shared" si="151"/>
        <v>0</v>
      </c>
      <c r="N366" s="171"/>
      <c r="O366" s="171"/>
      <c r="P366" s="171"/>
      <c r="Q366" s="172"/>
      <c r="R366" s="172"/>
      <c r="S366" s="172"/>
      <c r="T366" s="172"/>
      <c r="U366" s="172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3"/>
      <c r="BN366" s="163"/>
      <c r="BO366" s="163"/>
      <c r="BP366" s="163"/>
      <c r="BQ366" s="163"/>
      <c r="BR366" s="163"/>
      <c r="BS366" s="163"/>
      <c r="BT366" s="163"/>
      <c r="BU366" s="163"/>
      <c r="BV366" s="163"/>
      <c r="BW366" s="163"/>
      <c r="BX366" s="163"/>
      <c r="BY366" s="163"/>
      <c r="BZ366" s="163"/>
      <c r="CA366" s="163"/>
      <c r="CB366" s="163"/>
      <c r="CC366" s="163"/>
      <c r="CD366" s="163"/>
      <c r="CE366" s="163"/>
      <c r="CF366" s="163"/>
      <c r="CG366" s="163"/>
      <c r="CH366" s="163"/>
      <c r="CI366" s="163"/>
      <c r="CJ366" s="163"/>
      <c r="CK366" s="163"/>
      <c r="CL366" s="163"/>
      <c r="CM366" s="163"/>
      <c r="CN366" s="163"/>
      <c r="CO366" s="163"/>
      <c r="CP366" s="163"/>
      <c r="CQ366" s="163"/>
      <c r="CR366" s="163"/>
      <c r="CS366" s="163"/>
      <c r="CT366" s="163"/>
      <c r="CU366" s="163"/>
      <c r="CV366" s="163"/>
      <c r="CW366" s="163"/>
      <c r="CX366" s="163"/>
      <c r="CY366" s="163"/>
      <c r="CZ366" s="163"/>
      <c r="DA366" s="163"/>
      <c r="DB366" s="163"/>
      <c r="DC366" s="163"/>
      <c r="DD366" s="163"/>
      <c r="DE366" s="163"/>
      <c r="DF366" s="163"/>
      <c r="DG366" s="163"/>
      <c r="DH366" s="163"/>
      <c r="DI366" s="163"/>
      <c r="DJ366" s="163"/>
      <c r="DK366" s="163"/>
      <c r="DL366" s="163"/>
      <c r="DM366" s="163"/>
      <c r="DN366" s="163"/>
      <c r="DO366" s="163"/>
      <c r="DP366" s="163"/>
      <c r="DQ366" s="163"/>
      <c r="DR366" s="163"/>
      <c r="DS366" s="163"/>
      <c r="DT366" s="163"/>
      <c r="DU366" s="163"/>
      <c r="DV366" s="163"/>
      <c r="DW366" s="163"/>
      <c r="DX366" s="163"/>
      <c r="DY366" s="163"/>
      <c r="DZ366" s="163"/>
      <c r="EA366" s="163"/>
      <c r="EB366" s="163"/>
      <c r="EC366" s="163"/>
      <c r="ED366" s="163"/>
      <c r="EE366" s="163"/>
      <c r="EF366" s="163"/>
      <c r="EG366" s="163"/>
      <c r="EH366" s="163"/>
      <c r="EI366" s="163"/>
      <c r="EJ366" s="163"/>
      <c r="EK366" s="163"/>
      <c r="EL366" s="163"/>
      <c r="EM366" s="163"/>
      <c r="EN366" s="163"/>
      <c r="EO366" s="163"/>
      <c r="EP366" s="163"/>
      <c r="EQ366" s="163"/>
      <c r="ER366" s="163"/>
      <c r="ES366" s="163"/>
      <c r="ET366" s="163"/>
      <c r="EU366" s="163"/>
      <c r="EV366" s="163"/>
      <c r="EW366" s="163"/>
      <c r="EX366" s="163"/>
      <c r="EY366" s="163"/>
      <c r="EZ366" s="163"/>
      <c r="FA366" s="163"/>
      <c r="FB366" s="163"/>
      <c r="FC366" s="163"/>
      <c r="FD366" s="163"/>
      <c r="FE366" s="163"/>
      <c r="FF366" s="163"/>
      <c r="FG366" s="163"/>
      <c r="FH366" s="163"/>
      <c r="FI366" s="163"/>
      <c r="FJ366" s="163"/>
      <c r="FK366" s="163"/>
      <c r="FL366" s="163"/>
      <c r="FM366" s="163"/>
      <c r="FN366" s="163"/>
      <c r="FO366" s="163"/>
      <c r="FP366" s="163"/>
      <c r="FQ366" s="163"/>
      <c r="FR366" s="163"/>
      <c r="FS366" s="163"/>
      <c r="FT366" s="163"/>
      <c r="FU366" s="163"/>
      <c r="FV366" s="163"/>
      <c r="FW366" s="163"/>
      <c r="FX366" s="163"/>
      <c r="FY366" s="163"/>
      <c r="FZ366" s="163"/>
      <c r="GA366" s="163"/>
      <c r="GB366" s="163"/>
      <c r="GC366" s="163"/>
      <c r="GD366" s="163"/>
      <c r="GE366" s="163"/>
      <c r="GF366" s="163"/>
      <c r="GG366" s="163"/>
      <c r="GH366" s="163"/>
      <c r="GI366" s="163"/>
      <c r="GJ366" s="163"/>
      <c r="GK366" s="163"/>
      <c r="GL366" s="163"/>
      <c r="GM366" s="163"/>
      <c r="GN366" s="163"/>
      <c r="GO366" s="163"/>
      <c r="GP366" s="163"/>
      <c r="GQ366" s="163"/>
      <c r="GR366" s="163"/>
      <c r="GS366" s="163"/>
      <c r="GT366" s="163"/>
      <c r="GU366" s="163"/>
      <c r="GV366" s="163"/>
      <c r="GW366" s="163"/>
      <c r="GX366" s="163"/>
      <c r="GY366" s="163"/>
      <c r="GZ366" s="163"/>
      <c r="HA366" s="163"/>
      <c r="HB366" s="163"/>
      <c r="HC366" s="163"/>
      <c r="HD366" s="163"/>
      <c r="HE366" s="163"/>
      <c r="HF366" s="163"/>
      <c r="HG366" s="163"/>
      <c r="HH366" s="163"/>
      <c r="HI366" s="163"/>
      <c r="HJ366" s="163"/>
      <c r="HK366" s="163"/>
      <c r="HL366" s="163"/>
      <c r="HM366" s="163"/>
      <c r="HN366" s="163"/>
      <c r="HO366" s="163"/>
      <c r="HP366" s="163"/>
      <c r="HQ366" s="163"/>
      <c r="HR366" s="163"/>
      <c r="HS366" s="163"/>
      <c r="HT366" s="163"/>
      <c r="HU366" s="163"/>
      <c r="HV366" s="163"/>
      <c r="HW366" s="163"/>
      <c r="HX366" s="163"/>
      <c r="HY366" s="163"/>
      <c r="HZ366" s="163"/>
      <c r="IA366" s="163"/>
      <c r="IB366" s="163"/>
      <c r="IC366" s="163"/>
      <c r="ID366" s="163"/>
      <c r="IE366" s="163"/>
      <c r="IF366" s="163"/>
      <c r="IG366" s="163"/>
      <c r="IH366" s="163"/>
      <c r="II366" s="163"/>
      <c r="IJ366" s="163"/>
      <c r="IK366" s="163"/>
      <c r="IL366" s="163"/>
      <c r="IM366" s="163"/>
      <c r="IN366" s="163"/>
      <c r="IO366" s="163"/>
      <c r="IP366" s="163"/>
      <c r="IQ366" s="163"/>
      <c r="IR366" s="163"/>
      <c r="IS366" s="163"/>
      <c r="IT366" s="163"/>
      <c r="IU366" s="163"/>
      <c r="IV366" s="163"/>
    </row>
    <row r="367" spans="1:256">
      <c r="A367" s="843"/>
      <c r="B367" s="858"/>
      <c r="C367" s="178" t="s">
        <v>2</v>
      </c>
      <c r="D367" s="170">
        <f>D365+D366</f>
        <v>47570.02</v>
      </c>
      <c r="E367" s="171">
        <f t="shared" ref="E367:P367" si="156">E365+E366</f>
        <v>47570.02</v>
      </c>
      <c r="F367" s="171">
        <f t="shared" si="156"/>
        <v>47570.02</v>
      </c>
      <c r="G367" s="171">
        <f t="shared" si="156"/>
        <v>43270.02</v>
      </c>
      <c r="H367" s="171">
        <f t="shared" si="156"/>
        <v>4300</v>
      </c>
      <c r="I367" s="171">
        <f t="shared" si="156"/>
        <v>0</v>
      </c>
      <c r="J367" s="171">
        <f t="shared" si="156"/>
        <v>0</v>
      </c>
      <c r="K367" s="171">
        <f t="shared" si="156"/>
        <v>0</v>
      </c>
      <c r="L367" s="171">
        <f t="shared" si="156"/>
        <v>0</v>
      </c>
      <c r="M367" s="171">
        <f t="shared" si="156"/>
        <v>0</v>
      </c>
      <c r="N367" s="171">
        <f t="shared" si="156"/>
        <v>0</v>
      </c>
      <c r="O367" s="171">
        <f t="shared" si="156"/>
        <v>0</v>
      </c>
      <c r="P367" s="171">
        <f t="shared" si="156"/>
        <v>0</v>
      </c>
      <c r="Q367" s="172"/>
      <c r="R367" s="172"/>
      <c r="S367" s="172"/>
      <c r="T367" s="172"/>
      <c r="U367" s="172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63"/>
      <c r="BD367" s="163"/>
      <c r="BE367" s="163"/>
      <c r="BF367" s="163"/>
      <c r="BG367" s="163"/>
      <c r="BH367" s="163"/>
      <c r="BI367" s="163"/>
      <c r="BJ367" s="163"/>
      <c r="BK367" s="163"/>
      <c r="BL367" s="163"/>
      <c r="BM367" s="163"/>
      <c r="BN367" s="163"/>
      <c r="BO367" s="163"/>
      <c r="BP367" s="163"/>
      <c r="BQ367" s="163"/>
      <c r="BR367" s="163"/>
      <c r="BS367" s="163"/>
      <c r="BT367" s="163"/>
      <c r="BU367" s="163"/>
      <c r="BV367" s="163"/>
      <c r="BW367" s="163"/>
      <c r="BX367" s="163"/>
      <c r="BY367" s="163"/>
      <c r="BZ367" s="163"/>
      <c r="CA367" s="163"/>
      <c r="CB367" s="163"/>
      <c r="CC367" s="163"/>
      <c r="CD367" s="163"/>
      <c r="CE367" s="163"/>
      <c r="CF367" s="163"/>
      <c r="CG367" s="163"/>
      <c r="CH367" s="163"/>
      <c r="CI367" s="163"/>
      <c r="CJ367" s="163"/>
      <c r="CK367" s="163"/>
      <c r="CL367" s="163"/>
      <c r="CM367" s="163"/>
      <c r="CN367" s="163"/>
      <c r="CO367" s="163"/>
      <c r="CP367" s="163"/>
      <c r="CQ367" s="163"/>
      <c r="CR367" s="163"/>
      <c r="CS367" s="163"/>
      <c r="CT367" s="163"/>
      <c r="CU367" s="163"/>
      <c r="CV367" s="163"/>
      <c r="CW367" s="163"/>
      <c r="CX367" s="163"/>
      <c r="CY367" s="163"/>
      <c r="CZ367" s="163"/>
      <c r="DA367" s="163"/>
      <c r="DB367" s="163"/>
      <c r="DC367" s="163"/>
      <c r="DD367" s="163"/>
      <c r="DE367" s="163"/>
      <c r="DF367" s="163"/>
      <c r="DG367" s="163"/>
      <c r="DH367" s="163"/>
      <c r="DI367" s="163"/>
      <c r="DJ367" s="163"/>
      <c r="DK367" s="163"/>
      <c r="DL367" s="163"/>
      <c r="DM367" s="163"/>
      <c r="DN367" s="163"/>
      <c r="DO367" s="163"/>
      <c r="DP367" s="163"/>
      <c r="DQ367" s="163"/>
      <c r="DR367" s="163"/>
      <c r="DS367" s="163"/>
      <c r="DT367" s="163"/>
      <c r="DU367" s="163"/>
      <c r="DV367" s="163"/>
      <c r="DW367" s="163"/>
      <c r="DX367" s="163"/>
      <c r="DY367" s="163"/>
      <c r="DZ367" s="163"/>
      <c r="EA367" s="163"/>
      <c r="EB367" s="163"/>
      <c r="EC367" s="163"/>
      <c r="ED367" s="163"/>
      <c r="EE367" s="163"/>
      <c r="EF367" s="163"/>
      <c r="EG367" s="163"/>
      <c r="EH367" s="163"/>
      <c r="EI367" s="163"/>
      <c r="EJ367" s="163"/>
      <c r="EK367" s="163"/>
      <c r="EL367" s="163"/>
      <c r="EM367" s="163"/>
      <c r="EN367" s="163"/>
      <c r="EO367" s="163"/>
      <c r="EP367" s="163"/>
      <c r="EQ367" s="163"/>
      <c r="ER367" s="163"/>
      <c r="ES367" s="163"/>
      <c r="ET367" s="163"/>
      <c r="EU367" s="163"/>
      <c r="EV367" s="163"/>
      <c r="EW367" s="163"/>
      <c r="EX367" s="163"/>
      <c r="EY367" s="163"/>
      <c r="EZ367" s="163"/>
      <c r="FA367" s="163"/>
      <c r="FB367" s="163"/>
      <c r="FC367" s="163"/>
      <c r="FD367" s="163"/>
      <c r="FE367" s="163"/>
      <c r="FF367" s="163"/>
      <c r="FG367" s="163"/>
      <c r="FH367" s="163"/>
      <c r="FI367" s="163"/>
      <c r="FJ367" s="163"/>
      <c r="FK367" s="163"/>
      <c r="FL367" s="163"/>
      <c r="FM367" s="163"/>
      <c r="FN367" s="163"/>
      <c r="FO367" s="163"/>
      <c r="FP367" s="163"/>
      <c r="FQ367" s="163"/>
      <c r="FR367" s="163"/>
      <c r="FS367" s="163"/>
      <c r="FT367" s="163"/>
      <c r="FU367" s="163"/>
      <c r="FV367" s="163"/>
      <c r="FW367" s="163"/>
      <c r="FX367" s="163"/>
      <c r="FY367" s="163"/>
      <c r="FZ367" s="163"/>
      <c r="GA367" s="163"/>
      <c r="GB367" s="163"/>
      <c r="GC367" s="163"/>
      <c r="GD367" s="163"/>
      <c r="GE367" s="163"/>
      <c r="GF367" s="163"/>
      <c r="GG367" s="163"/>
      <c r="GH367" s="163"/>
      <c r="GI367" s="163"/>
      <c r="GJ367" s="163"/>
      <c r="GK367" s="163"/>
      <c r="GL367" s="163"/>
      <c r="GM367" s="163"/>
      <c r="GN367" s="163"/>
      <c r="GO367" s="163"/>
      <c r="GP367" s="163"/>
      <c r="GQ367" s="163"/>
      <c r="GR367" s="163"/>
      <c r="GS367" s="163"/>
      <c r="GT367" s="163"/>
      <c r="GU367" s="163"/>
      <c r="GV367" s="163"/>
      <c r="GW367" s="163"/>
      <c r="GX367" s="163"/>
      <c r="GY367" s="163"/>
      <c r="GZ367" s="163"/>
      <c r="HA367" s="163"/>
      <c r="HB367" s="163"/>
      <c r="HC367" s="163"/>
      <c r="HD367" s="163"/>
      <c r="HE367" s="163"/>
      <c r="HF367" s="163"/>
      <c r="HG367" s="163"/>
      <c r="HH367" s="163"/>
      <c r="HI367" s="163"/>
      <c r="HJ367" s="163"/>
      <c r="HK367" s="163"/>
      <c r="HL367" s="163"/>
      <c r="HM367" s="163"/>
      <c r="HN367" s="163"/>
      <c r="HO367" s="163"/>
      <c r="HP367" s="163"/>
      <c r="HQ367" s="163"/>
      <c r="HR367" s="163"/>
      <c r="HS367" s="163"/>
      <c r="HT367" s="163"/>
      <c r="HU367" s="163"/>
      <c r="HV367" s="163"/>
      <c r="HW367" s="163"/>
      <c r="HX367" s="163"/>
      <c r="HY367" s="163"/>
      <c r="HZ367" s="163"/>
      <c r="IA367" s="163"/>
      <c r="IB367" s="163"/>
      <c r="IC367" s="163"/>
      <c r="ID367" s="163"/>
      <c r="IE367" s="163"/>
      <c r="IF367" s="163"/>
      <c r="IG367" s="163"/>
      <c r="IH367" s="163"/>
      <c r="II367" s="163"/>
      <c r="IJ367" s="163"/>
      <c r="IK367" s="163"/>
      <c r="IL367" s="163"/>
      <c r="IM367" s="163"/>
      <c r="IN367" s="163"/>
      <c r="IO367" s="163"/>
      <c r="IP367" s="163"/>
      <c r="IQ367" s="163"/>
      <c r="IR367" s="163"/>
      <c r="IS367" s="163"/>
      <c r="IT367" s="163"/>
      <c r="IU367" s="163"/>
      <c r="IV367" s="163"/>
    </row>
    <row r="368" spans="1:256">
      <c r="A368" s="841">
        <v>90024</v>
      </c>
      <c r="B368" s="856" t="s">
        <v>316</v>
      </c>
      <c r="C368" s="178" t="s">
        <v>0</v>
      </c>
      <c r="D368" s="170">
        <f t="shared" si="147"/>
        <v>1770</v>
      </c>
      <c r="E368" s="171">
        <f t="shared" si="148"/>
        <v>1770</v>
      </c>
      <c r="F368" s="171">
        <f t="shared" si="149"/>
        <v>1770</v>
      </c>
      <c r="G368" s="171">
        <v>0</v>
      </c>
      <c r="H368" s="171">
        <v>1770</v>
      </c>
      <c r="I368" s="171">
        <v>0</v>
      </c>
      <c r="J368" s="171">
        <v>0</v>
      </c>
      <c r="K368" s="171">
        <v>0</v>
      </c>
      <c r="L368" s="171">
        <v>0</v>
      </c>
      <c r="M368" s="171">
        <f t="shared" si="151"/>
        <v>0</v>
      </c>
      <c r="N368" s="171">
        <v>0</v>
      </c>
      <c r="O368" s="171">
        <v>0</v>
      </c>
      <c r="P368" s="171">
        <v>0</v>
      </c>
      <c r="Q368" s="172"/>
      <c r="R368" s="172"/>
      <c r="S368" s="172"/>
      <c r="T368" s="172"/>
      <c r="U368" s="172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63"/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3"/>
      <c r="BN368" s="163"/>
      <c r="BO368" s="163"/>
      <c r="BP368" s="163"/>
      <c r="BQ368" s="163"/>
      <c r="BR368" s="163"/>
      <c r="BS368" s="163"/>
      <c r="BT368" s="163"/>
      <c r="BU368" s="163"/>
      <c r="BV368" s="163"/>
      <c r="BW368" s="163"/>
      <c r="BX368" s="163"/>
      <c r="BY368" s="163"/>
      <c r="BZ368" s="163"/>
      <c r="CA368" s="163"/>
      <c r="CB368" s="163"/>
      <c r="CC368" s="163"/>
      <c r="CD368" s="163"/>
      <c r="CE368" s="163"/>
      <c r="CF368" s="163"/>
      <c r="CG368" s="163"/>
      <c r="CH368" s="163"/>
      <c r="CI368" s="163"/>
      <c r="CJ368" s="163"/>
      <c r="CK368" s="163"/>
      <c r="CL368" s="163"/>
      <c r="CM368" s="163"/>
      <c r="CN368" s="163"/>
      <c r="CO368" s="163"/>
      <c r="CP368" s="163"/>
      <c r="CQ368" s="163"/>
      <c r="CR368" s="163"/>
      <c r="CS368" s="163"/>
      <c r="CT368" s="163"/>
      <c r="CU368" s="163"/>
      <c r="CV368" s="163"/>
      <c r="CW368" s="163"/>
      <c r="CX368" s="163"/>
      <c r="CY368" s="163"/>
      <c r="CZ368" s="163"/>
      <c r="DA368" s="163"/>
      <c r="DB368" s="163"/>
      <c r="DC368" s="163"/>
      <c r="DD368" s="163"/>
      <c r="DE368" s="163"/>
      <c r="DF368" s="163"/>
      <c r="DG368" s="163"/>
      <c r="DH368" s="163"/>
      <c r="DI368" s="163"/>
      <c r="DJ368" s="163"/>
      <c r="DK368" s="163"/>
      <c r="DL368" s="163"/>
      <c r="DM368" s="163"/>
      <c r="DN368" s="163"/>
      <c r="DO368" s="163"/>
      <c r="DP368" s="163"/>
      <c r="DQ368" s="163"/>
      <c r="DR368" s="163"/>
      <c r="DS368" s="163"/>
      <c r="DT368" s="163"/>
      <c r="DU368" s="163"/>
      <c r="DV368" s="163"/>
      <c r="DW368" s="163"/>
      <c r="DX368" s="163"/>
      <c r="DY368" s="163"/>
      <c r="DZ368" s="163"/>
      <c r="EA368" s="163"/>
      <c r="EB368" s="163"/>
      <c r="EC368" s="163"/>
      <c r="ED368" s="163"/>
      <c r="EE368" s="163"/>
      <c r="EF368" s="163"/>
      <c r="EG368" s="163"/>
      <c r="EH368" s="163"/>
      <c r="EI368" s="163"/>
      <c r="EJ368" s="163"/>
      <c r="EK368" s="163"/>
      <c r="EL368" s="163"/>
      <c r="EM368" s="163"/>
      <c r="EN368" s="163"/>
      <c r="EO368" s="163"/>
      <c r="EP368" s="163"/>
      <c r="EQ368" s="163"/>
      <c r="ER368" s="163"/>
      <c r="ES368" s="163"/>
      <c r="ET368" s="163"/>
      <c r="EU368" s="163"/>
      <c r="EV368" s="163"/>
      <c r="EW368" s="163"/>
      <c r="EX368" s="163"/>
      <c r="EY368" s="163"/>
      <c r="EZ368" s="163"/>
      <c r="FA368" s="163"/>
      <c r="FB368" s="163"/>
      <c r="FC368" s="163"/>
      <c r="FD368" s="163"/>
      <c r="FE368" s="163"/>
      <c r="FF368" s="163"/>
      <c r="FG368" s="163"/>
      <c r="FH368" s="163"/>
      <c r="FI368" s="163"/>
      <c r="FJ368" s="163"/>
      <c r="FK368" s="163"/>
      <c r="FL368" s="163"/>
      <c r="FM368" s="163"/>
      <c r="FN368" s="163"/>
      <c r="FO368" s="163"/>
      <c r="FP368" s="163"/>
      <c r="FQ368" s="163"/>
      <c r="FR368" s="163"/>
      <c r="FS368" s="163"/>
      <c r="FT368" s="163"/>
      <c r="FU368" s="163"/>
      <c r="FV368" s="163"/>
      <c r="FW368" s="163"/>
      <c r="FX368" s="163"/>
      <c r="FY368" s="163"/>
      <c r="FZ368" s="163"/>
      <c r="GA368" s="163"/>
      <c r="GB368" s="163"/>
      <c r="GC368" s="163"/>
      <c r="GD368" s="163"/>
      <c r="GE368" s="163"/>
      <c r="GF368" s="163"/>
      <c r="GG368" s="163"/>
      <c r="GH368" s="163"/>
      <c r="GI368" s="163"/>
      <c r="GJ368" s="163"/>
      <c r="GK368" s="163"/>
      <c r="GL368" s="163"/>
      <c r="GM368" s="163"/>
      <c r="GN368" s="163"/>
      <c r="GO368" s="163"/>
      <c r="GP368" s="163"/>
      <c r="GQ368" s="163"/>
      <c r="GR368" s="163"/>
      <c r="GS368" s="163"/>
      <c r="GT368" s="163"/>
      <c r="GU368" s="163"/>
      <c r="GV368" s="163"/>
      <c r="GW368" s="163"/>
      <c r="GX368" s="163"/>
      <c r="GY368" s="163"/>
      <c r="GZ368" s="163"/>
      <c r="HA368" s="163"/>
      <c r="HB368" s="163"/>
      <c r="HC368" s="163"/>
      <c r="HD368" s="163"/>
      <c r="HE368" s="163"/>
      <c r="HF368" s="163"/>
      <c r="HG368" s="163"/>
      <c r="HH368" s="163"/>
      <c r="HI368" s="163"/>
      <c r="HJ368" s="163"/>
      <c r="HK368" s="163"/>
      <c r="HL368" s="163"/>
      <c r="HM368" s="163"/>
      <c r="HN368" s="163"/>
      <c r="HO368" s="163"/>
      <c r="HP368" s="163"/>
      <c r="HQ368" s="163"/>
      <c r="HR368" s="163"/>
      <c r="HS368" s="163"/>
      <c r="HT368" s="163"/>
      <c r="HU368" s="163"/>
      <c r="HV368" s="163"/>
      <c r="HW368" s="163"/>
      <c r="HX368" s="163"/>
      <c r="HY368" s="163"/>
      <c r="HZ368" s="163"/>
      <c r="IA368" s="163"/>
      <c r="IB368" s="163"/>
      <c r="IC368" s="163"/>
      <c r="ID368" s="163"/>
      <c r="IE368" s="163"/>
      <c r="IF368" s="163"/>
      <c r="IG368" s="163"/>
      <c r="IH368" s="163"/>
      <c r="II368" s="163"/>
      <c r="IJ368" s="163"/>
      <c r="IK368" s="163"/>
      <c r="IL368" s="163"/>
      <c r="IM368" s="163"/>
      <c r="IN368" s="163"/>
      <c r="IO368" s="163"/>
      <c r="IP368" s="163"/>
      <c r="IQ368" s="163"/>
      <c r="IR368" s="163"/>
      <c r="IS368" s="163"/>
      <c r="IT368" s="163"/>
      <c r="IU368" s="163"/>
      <c r="IV368" s="163"/>
    </row>
    <row r="369" spans="1:256">
      <c r="A369" s="842"/>
      <c r="B369" s="857"/>
      <c r="C369" s="178" t="s">
        <v>1</v>
      </c>
      <c r="D369" s="170">
        <f t="shared" si="147"/>
        <v>183.79</v>
      </c>
      <c r="E369" s="171">
        <f t="shared" si="148"/>
        <v>183.79</v>
      </c>
      <c r="F369" s="171">
        <f t="shared" si="149"/>
        <v>183.79</v>
      </c>
      <c r="G369" s="171"/>
      <c r="H369" s="171">
        <v>183.79</v>
      </c>
      <c r="I369" s="171"/>
      <c r="J369" s="171"/>
      <c r="K369" s="171"/>
      <c r="L369" s="171"/>
      <c r="M369" s="171">
        <f t="shared" si="151"/>
        <v>0</v>
      </c>
      <c r="N369" s="171"/>
      <c r="O369" s="171"/>
      <c r="P369" s="171"/>
      <c r="Q369" s="172"/>
      <c r="R369" s="172"/>
      <c r="S369" s="172"/>
      <c r="T369" s="172"/>
      <c r="U369" s="172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63"/>
      <c r="BD369" s="163"/>
      <c r="BE369" s="163"/>
      <c r="BF369" s="163"/>
      <c r="BG369" s="163"/>
      <c r="BH369" s="163"/>
      <c r="BI369" s="163"/>
      <c r="BJ369" s="163"/>
      <c r="BK369" s="163"/>
      <c r="BL369" s="163"/>
      <c r="BM369" s="163"/>
      <c r="BN369" s="163"/>
      <c r="BO369" s="163"/>
      <c r="BP369" s="163"/>
      <c r="BQ369" s="163"/>
      <c r="BR369" s="163"/>
      <c r="BS369" s="163"/>
      <c r="BT369" s="163"/>
      <c r="BU369" s="163"/>
      <c r="BV369" s="163"/>
      <c r="BW369" s="163"/>
      <c r="BX369" s="163"/>
      <c r="BY369" s="163"/>
      <c r="BZ369" s="163"/>
      <c r="CA369" s="163"/>
      <c r="CB369" s="163"/>
      <c r="CC369" s="163"/>
      <c r="CD369" s="163"/>
      <c r="CE369" s="163"/>
      <c r="CF369" s="163"/>
      <c r="CG369" s="163"/>
      <c r="CH369" s="163"/>
      <c r="CI369" s="163"/>
      <c r="CJ369" s="163"/>
      <c r="CK369" s="163"/>
      <c r="CL369" s="163"/>
      <c r="CM369" s="163"/>
      <c r="CN369" s="163"/>
      <c r="CO369" s="163"/>
      <c r="CP369" s="163"/>
      <c r="CQ369" s="163"/>
      <c r="CR369" s="163"/>
      <c r="CS369" s="163"/>
      <c r="CT369" s="163"/>
      <c r="CU369" s="163"/>
      <c r="CV369" s="163"/>
      <c r="CW369" s="163"/>
      <c r="CX369" s="163"/>
      <c r="CY369" s="163"/>
      <c r="CZ369" s="163"/>
      <c r="DA369" s="163"/>
      <c r="DB369" s="163"/>
      <c r="DC369" s="163"/>
      <c r="DD369" s="163"/>
      <c r="DE369" s="163"/>
      <c r="DF369" s="163"/>
      <c r="DG369" s="163"/>
      <c r="DH369" s="163"/>
      <c r="DI369" s="163"/>
      <c r="DJ369" s="163"/>
      <c r="DK369" s="163"/>
      <c r="DL369" s="163"/>
      <c r="DM369" s="163"/>
      <c r="DN369" s="163"/>
      <c r="DO369" s="163"/>
      <c r="DP369" s="163"/>
      <c r="DQ369" s="163"/>
      <c r="DR369" s="163"/>
      <c r="DS369" s="163"/>
      <c r="DT369" s="163"/>
      <c r="DU369" s="163"/>
      <c r="DV369" s="163"/>
      <c r="DW369" s="163"/>
      <c r="DX369" s="163"/>
      <c r="DY369" s="163"/>
      <c r="DZ369" s="163"/>
      <c r="EA369" s="163"/>
      <c r="EB369" s="163"/>
      <c r="EC369" s="163"/>
      <c r="ED369" s="163"/>
      <c r="EE369" s="163"/>
      <c r="EF369" s="163"/>
      <c r="EG369" s="163"/>
      <c r="EH369" s="163"/>
      <c r="EI369" s="163"/>
      <c r="EJ369" s="163"/>
      <c r="EK369" s="163"/>
      <c r="EL369" s="163"/>
      <c r="EM369" s="163"/>
      <c r="EN369" s="163"/>
      <c r="EO369" s="163"/>
      <c r="EP369" s="163"/>
      <c r="EQ369" s="163"/>
      <c r="ER369" s="163"/>
      <c r="ES369" s="163"/>
      <c r="ET369" s="163"/>
      <c r="EU369" s="163"/>
      <c r="EV369" s="163"/>
      <c r="EW369" s="163"/>
      <c r="EX369" s="163"/>
      <c r="EY369" s="163"/>
      <c r="EZ369" s="163"/>
      <c r="FA369" s="163"/>
      <c r="FB369" s="163"/>
      <c r="FC369" s="163"/>
      <c r="FD369" s="163"/>
      <c r="FE369" s="163"/>
      <c r="FF369" s="163"/>
      <c r="FG369" s="163"/>
      <c r="FH369" s="163"/>
      <c r="FI369" s="163"/>
      <c r="FJ369" s="163"/>
      <c r="FK369" s="163"/>
      <c r="FL369" s="163"/>
      <c r="FM369" s="163"/>
      <c r="FN369" s="163"/>
      <c r="FO369" s="163"/>
      <c r="FP369" s="163"/>
      <c r="FQ369" s="163"/>
      <c r="FR369" s="163"/>
      <c r="FS369" s="163"/>
      <c r="FT369" s="163"/>
      <c r="FU369" s="163"/>
      <c r="FV369" s="163"/>
      <c r="FW369" s="163"/>
      <c r="FX369" s="163"/>
      <c r="FY369" s="163"/>
      <c r="FZ369" s="163"/>
      <c r="GA369" s="163"/>
      <c r="GB369" s="163"/>
      <c r="GC369" s="163"/>
      <c r="GD369" s="163"/>
      <c r="GE369" s="163"/>
      <c r="GF369" s="163"/>
      <c r="GG369" s="163"/>
      <c r="GH369" s="163"/>
      <c r="GI369" s="163"/>
      <c r="GJ369" s="163"/>
      <c r="GK369" s="163"/>
      <c r="GL369" s="163"/>
      <c r="GM369" s="163"/>
      <c r="GN369" s="163"/>
      <c r="GO369" s="163"/>
      <c r="GP369" s="163"/>
      <c r="GQ369" s="163"/>
      <c r="GR369" s="163"/>
      <c r="GS369" s="163"/>
      <c r="GT369" s="163"/>
      <c r="GU369" s="163"/>
      <c r="GV369" s="163"/>
      <c r="GW369" s="163"/>
      <c r="GX369" s="163"/>
      <c r="GY369" s="163"/>
      <c r="GZ369" s="163"/>
      <c r="HA369" s="163"/>
      <c r="HB369" s="163"/>
      <c r="HC369" s="163"/>
      <c r="HD369" s="163"/>
      <c r="HE369" s="163"/>
      <c r="HF369" s="163"/>
      <c r="HG369" s="163"/>
      <c r="HH369" s="163"/>
      <c r="HI369" s="163"/>
      <c r="HJ369" s="163"/>
      <c r="HK369" s="163"/>
      <c r="HL369" s="163"/>
      <c r="HM369" s="163"/>
      <c r="HN369" s="163"/>
      <c r="HO369" s="163"/>
      <c r="HP369" s="163"/>
      <c r="HQ369" s="163"/>
      <c r="HR369" s="163"/>
      <c r="HS369" s="163"/>
      <c r="HT369" s="163"/>
      <c r="HU369" s="163"/>
      <c r="HV369" s="163"/>
      <c r="HW369" s="163"/>
      <c r="HX369" s="163"/>
      <c r="HY369" s="163"/>
      <c r="HZ369" s="163"/>
      <c r="IA369" s="163"/>
      <c r="IB369" s="163"/>
      <c r="IC369" s="163"/>
      <c r="ID369" s="163"/>
      <c r="IE369" s="163"/>
      <c r="IF369" s="163"/>
      <c r="IG369" s="163"/>
      <c r="IH369" s="163"/>
      <c r="II369" s="163"/>
      <c r="IJ369" s="163"/>
      <c r="IK369" s="163"/>
      <c r="IL369" s="163"/>
      <c r="IM369" s="163"/>
      <c r="IN369" s="163"/>
      <c r="IO369" s="163"/>
      <c r="IP369" s="163"/>
      <c r="IQ369" s="163"/>
      <c r="IR369" s="163"/>
      <c r="IS369" s="163"/>
      <c r="IT369" s="163"/>
      <c r="IU369" s="163"/>
      <c r="IV369" s="163"/>
    </row>
    <row r="370" spans="1:256">
      <c r="A370" s="843"/>
      <c r="B370" s="858"/>
      <c r="C370" s="178" t="s">
        <v>2</v>
      </c>
      <c r="D370" s="170">
        <f>D368+D369</f>
        <v>1953.79</v>
      </c>
      <c r="E370" s="171">
        <f t="shared" ref="E370:P370" si="157">E368+E369</f>
        <v>1953.79</v>
      </c>
      <c r="F370" s="171">
        <f t="shared" si="157"/>
        <v>1953.79</v>
      </c>
      <c r="G370" s="171">
        <f t="shared" si="157"/>
        <v>0</v>
      </c>
      <c r="H370" s="171">
        <f t="shared" si="157"/>
        <v>1953.79</v>
      </c>
      <c r="I370" s="171">
        <f t="shared" si="157"/>
        <v>0</v>
      </c>
      <c r="J370" s="171">
        <f t="shared" si="157"/>
        <v>0</v>
      </c>
      <c r="K370" s="171">
        <f t="shared" si="157"/>
        <v>0</v>
      </c>
      <c r="L370" s="171">
        <f t="shared" si="157"/>
        <v>0</v>
      </c>
      <c r="M370" s="171">
        <f t="shared" si="157"/>
        <v>0</v>
      </c>
      <c r="N370" s="171">
        <f t="shared" si="157"/>
        <v>0</v>
      </c>
      <c r="O370" s="171">
        <f t="shared" si="157"/>
        <v>0</v>
      </c>
      <c r="P370" s="171">
        <f t="shared" si="157"/>
        <v>0</v>
      </c>
      <c r="Q370" s="172"/>
      <c r="R370" s="172"/>
      <c r="S370" s="172"/>
      <c r="T370" s="172"/>
      <c r="U370" s="172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3"/>
      <c r="BD370" s="163"/>
      <c r="BE370" s="163"/>
      <c r="BF370" s="163"/>
      <c r="BG370" s="163"/>
      <c r="BH370" s="163"/>
      <c r="BI370" s="163"/>
      <c r="BJ370" s="163"/>
      <c r="BK370" s="163"/>
      <c r="BL370" s="163"/>
      <c r="BM370" s="163"/>
      <c r="BN370" s="163"/>
      <c r="BO370" s="163"/>
      <c r="BP370" s="163"/>
      <c r="BQ370" s="163"/>
      <c r="BR370" s="163"/>
      <c r="BS370" s="163"/>
      <c r="BT370" s="163"/>
      <c r="BU370" s="163"/>
      <c r="BV370" s="163"/>
      <c r="BW370" s="163"/>
      <c r="BX370" s="163"/>
      <c r="BY370" s="163"/>
      <c r="BZ370" s="163"/>
      <c r="CA370" s="163"/>
      <c r="CB370" s="163"/>
      <c r="CC370" s="163"/>
      <c r="CD370" s="163"/>
      <c r="CE370" s="163"/>
      <c r="CF370" s="163"/>
      <c r="CG370" s="163"/>
      <c r="CH370" s="163"/>
      <c r="CI370" s="163"/>
      <c r="CJ370" s="163"/>
      <c r="CK370" s="163"/>
      <c r="CL370" s="163"/>
      <c r="CM370" s="163"/>
      <c r="CN370" s="163"/>
      <c r="CO370" s="163"/>
      <c r="CP370" s="163"/>
      <c r="CQ370" s="163"/>
      <c r="CR370" s="163"/>
      <c r="CS370" s="163"/>
      <c r="CT370" s="163"/>
      <c r="CU370" s="163"/>
      <c r="CV370" s="163"/>
      <c r="CW370" s="163"/>
      <c r="CX370" s="163"/>
      <c r="CY370" s="163"/>
      <c r="CZ370" s="163"/>
      <c r="DA370" s="163"/>
      <c r="DB370" s="163"/>
      <c r="DC370" s="163"/>
      <c r="DD370" s="163"/>
      <c r="DE370" s="163"/>
      <c r="DF370" s="163"/>
      <c r="DG370" s="163"/>
      <c r="DH370" s="163"/>
      <c r="DI370" s="163"/>
      <c r="DJ370" s="163"/>
      <c r="DK370" s="163"/>
      <c r="DL370" s="163"/>
      <c r="DM370" s="163"/>
      <c r="DN370" s="163"/>
      <c r="DO370" s="163"/>
      <c r="DP370" s="163"/>
      <c r="DQ370" s="163"/>
      <c r="DR370" s="163"/>
      <c r="DS370" s="163"/>
      <c r="DT370" s="163"/>
      <c r="DU370" s="163"/>
      <c r="DV370" s="163"/>
      <c r="DW370" s="163"/>
      <c r="DX370" s="163"/>
      <c r="DY370" s="163"/>
      <c r="DZ370" s="163"/>
      <c r="EA370" s="163"/>
      <c r="EB370" s="163"/>
      <c r="EC370" s="163"/>
      <c r="ED370" s="163"/>
      <c r="EE370" s="163"/>
      <c r="EF370" s="163"/>
      <c r="EG370" s="163"/>
      <c r="EH370" s="163"/>
      <c r="EI370" s="163"/>
      <c r="EJ370" s="163"/>
      <c r="EK370" s="163"/>
      <c r="EL370" s="163"/>
      <c r="EM370" s="163"/>
      <c r="EN370" s="163"/>
      <c r="EO370" s="163"/>
      <c r="EP370" s="163"/>
      <c r="EQ370" s="163"/>
      <c r="ER370" s="163"/>
      <c r="ES370" s="163"/>
      <c r="ET370" s="163"/>
      <c r="EU370" s="163"/>
      <c r="EV370" s="163"/>
      <c r="EW370" s="163"/>
      <c r="EX370" s="163"/>
      <c r="EY370" s="163"/>
      <c r="EZ370" s="163"/>
      <c r="FA370" s="163"/>
      <c r="FB370" s="163"/>
      <c r="FC370" s="163"/>
      <c r="FD370" s="163"/>
      <c r="FE370" s="163"/>
      <c r="FF370" s="163"/>
      <c r="FG370" s="163"/>
      <c r="FH370" s="163"/>
      <c r="FI370" s="163"/>
      <c r="FJ370" s="163"/>
      <c r="FK370" s="163"/>
      <c r="FL370" s="163"/>
      <c r="FM370" s="163"/>
      <c r="FN370" s="163"/>
      <c r="FO370" s="163"/>
      <c r="FP370" s="163"/>
      <c r="FQ370" s="163"/>
      <c r="FR370" s="163"/>
      <c r="FS370" s="163"/>
      <c r="FT370" s="163"/>
      <c r="FU370" s="163"/>
      <c r="FV370" s="163"/>
      <c r="FW370" s="163"/>
      <c r="FX370" s="163"/>
      <c r="FY370" s="163"/>
      <c r="FZ370" s="163"/>
      <c r="GA370" s="163"/>
      <c r="GB370" s="163"/>
      <c r="GC370" s="163"/>
      <c r="GD370" s="163"/>
      <c r="GE370" s="163"/>
      <c r="GF370" s="163"/>
      <c r="GG370" s="163"/>
      <c r="GH370" s="163"/>
      <c r="GI370" s="163"/>
      <c r="GJ370" s="163"/>
      <c r="GK370" s="163"/>
      <c r="GL370" s="163"/>
      <c r="GM370" s="163"/>
      <c r="GN370" s="163"/>
      <c r="GO370" s="163"/>
      <c r="GP370" s="163"/>
      <c r="GQ370" s="163"/>
      <c r="GR370" s="163"/>
      <c r="GS370" s="163"/>
      <c r="GT370" s="163"/>
      <c r="GU370" s="163"/>
      <c r="GV370" s="163"/>
      <c r="GW370" s="163"/>
      <c r="GX370" s="163"/>
      <c r="GY370" s="163"/>
      <c r="GZ370" s="163"/>
      <c r="HA370" s="163"/>
      <c r="HB370" s="163"/>
      <c r="HC370" s="163"/>
      <c r="HD370" s="163"/>
      <c r="HE370" s="163"/>
      <c r="HF370" s="163"/>
      <c r="HG370" s="163"/>
      <c r="HH370" s="163"/>
      <c r="HI370" s="163"/>
      <c r="HJ370" s="163"/>
      <c r="HK370" s="163"/>
      <c r="HL370" s="163"/>
      <c r="HM370" s="163"/>
      <c r="HN370" s="163"/>
      <c r="HO370" s="163"/>
      <c r="HP370" s="163"/>
      <c r="HQ370" s="163"/>
      <c r="HR370" s="163"/>
      <c r="HS370" s="163"/>
      <c r="HT370" s="163"/>
      <c r="HU370" s="163"/>
      <c r="HV370" s="163"/>
      <c r="HW370" s="163"/>
      <c r="HX370" s="163"/>
      <c r="HY370" s="163"/>
      <c r="HZ370" s="163"/>
      <c r="IA370" s="163"/>
      <c r="IB370" s="163"/>
      <c r="IC370" s="163"/>
      <c r="ID370" s="163"/>
      <c r="IE370" s="163"/>
      <c r="IF370" s="163"/>
      <c r="IG370" s="163"/>
      <c r="IH370" s="163"/>
      <c r="II370" s="163"/>
      <c r="IJ370" s="163"/>
      <c r="IK370" s="163"/>
      <c r="IL370" s="163"/>
      <c r="IM370" s="163"/>
      <c r="IN370" s="163"/>
      <c r="IO370" s="163"/>
      <c r="IP370" s="163"/>
      <c r="IQ370" s="163"/>
      <c r="IR370" s="163"/>
      <c r="IS370" s="163"/>
      <c r="IT370" s="163"/>
      <c r="IU370" s="163"/>
      <c r="IV370" s="163"/>
    </row>
    <row r="371" spans="1:256">
      <c r="A371" s="841">
        <v>90026</v>
      </c>
      <c r="B371" s="844" t="s">
        <v>317</v>
      </c>
      <c r="C371" s="178" t="s">
        <v>0</v>
      </c>
      <c r="D371" s="170">
        <f t="shared" si="147"/>
        <v>101010</v>
      </c>
      <c r="E371" s="171">
        <f t="shared" si="148"/>
        <v>101010</v>
      </c>
      <c r="F371" s="171">
        <f t="shared" si="149"/>
        <v>101010</v>
      </c>
      <c r="G371" s="171">
        <v>73450</v>
      </c>
      <c r="H371" s="171">
        <f>101010-73450</f>
        <v>27560</v>
      </c>
      <c r="I371" s="171">
        <v>0</v>
      </c>
      <c r="J371" s="171">
        <v>0</v>
      </c>
      <c r="K371" s="171">
        <v>0</v>
      </c>
      <c r="L371" s="171">
        <v>0</v>
      </c>
      <c r="M371" s="171">
        <f t="shared" si="151"/>
        <v>0</v>
      </c>
      <c r="N371" s="171">
        <v>0</v>
      </c>
      <c r="O371" s="171">
        <v>0</v>
      </c>
      <c r="P371" s="171">
        <v>0</v>
      </c>
      <c r="Q371" s="172"/>
      <c r="R371" s="172"/>
      <c r="S371" s="172"/>
      <c r="T371" s="172"/>
      <c r="U371" s="172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  <c r="AS371" s="163"/>
      <c r="AT371" s="163"/>
      <c r="AU371" s="163"/>
      <c r="AV371" s="163"/>
      <c r="AW371" s="163"/>
      <c r="AX371" s="163"/>
      <c r="AY371" s="163"/>
      <c r="AZ371" s="163"/>
      <c r="BA371" s="163"/>
      <c r="BB371" s="163"/>
      <c r="BC371" s="163"/>
      <c r="BD371" s="163"/>
      <c r="BE371" s="163"/>
      <c r="BF371" s="163"/>
      <c r="BG371" s="163"/>
      <c r="BH371" s="163"/>
      <c r="BI371" s="163"/>
      <c r="BJ371" s="163"/>
      <c r="BK371" s="163"/>
      <c r="BL371" s="163"/>
      <c r="BM371" s="163"/>
      <c r="BN371" s="163"/>
      <c r="BO371" s="163"/>
      <c r="BP371" s="163"/>
      <c r="BQ371" s="163"/>
      <c r="BR371" s="163"/>
      <c r="BS371" s="163"/>
      <c r="BT371" s="163"/>
      <c r="BU371" s="163"/>
      <c r="BV371" s="163"/>
      <c r="BW371" s="163"/>
      <c r="BX371" s="163"/>
      <c r="BY371" s="163"/>
      <c r="BZ371" s="163"/>
      <c r="CA371" s="163"/>
      <c r="CB371" s="163"/>
      <c r="CC371" s="163"/>
      <c r="CD371" s="163"/>
      <c r="CE371" s="163"/>
      <c r="CF371" s="163"/>
      <c r="CG371" s="163"/>
      <c r="CH371" s="163"/>
      <c r="CI371" s="163"/>
      <c r="CJ371" s="163"/>
      <c r="CK371" s="163"/>
      <c r="CL371" s="163"/>
      <c r="CM371" s="163"/>
      <c r="CN371" s="163"/>
      <c r="CO371" s="163"/>
      <c r="CP371" s="163"/>
      <c r="CQ371" s="163"/>
      <c r="CR371" s="163"/>
      <c r="CS371" s="163"/>
      <c r="CT371" s="163"/>
      <c r="CU371" s="163"/>
      <c r="CV371" s="163"/>
      <c r="CW371" s="163"/>
      <c r="CX371" s="163"/>
      <c r="CY371" s="163"/>
      <c r="CZ371" s="163"/>
      <c r="DA371" s="163"/>
      <c r="DB371" s="163"/>
      <c r="DC371" s="163"/>
      <c r="DD371" s="163"/>
      <c r="DE371" s="163"/>
      <c r="DF371" s="163"/>
      <c r="DG371" s="163"/>
      <c r="DH371" s="163"/>
      <c r="DI371" s="163"/>
      <c r="DJ371" s="163"/>
      <c r="DK371" s="163"/>
      <c r="DL371" s="163"/>
      <c r="DM371" s="163"/>
      <c r="DN371" s="163"/>
      <c r="DO371" s="163"/>
      <c r="DP371" s="163"/>
      <c r="DQ371" s="163"/>
      <c r="DR371" s="163"/>
      <c r="DS371" s="163"/>
      <c r="DT371" s="163"/>
      <c r="DU371" s="163"/>
      <c r="DV371" s="163"/>
      <c r="DW371" s="163"/>
      <c r="DX371" s="163"/>
      <c r="DY371" s="163"/>
      <c r="DZ371" s="163"/>
      <c r="EA371" s="163"/>
      <c r="EB371" s="163"/>
      <c r="EC371" s="163"/>
      <c r="ED371" s="163"/>
      <c r="EE371" s="163"/>
      <c r="EF371" s="163"/>
      <c r="EG371" s="163"/>
      <c r="EH371" s="163"/>
      <c r="EI371" s="163"/>
      <c r="EJ371" s="163"/>
      <c r="EK371" s="163"/>
      <c r="EL371" s="163"/>
      <c r="EM371" s="163"/>
      <c r="EN371" s="163"/>
      <c r="EO371" s="163"/>
      <c r="EP371" s="163"/>
      <c r="EQ371" s="163"/>
      <c r="ER371" s="163"/>
      <c r="ES371" s="163"/>
      <c r="ET371" s="163"/>
      <c r="EU371" s="163"/>
      <c r="EV371" s="163"/>
      <c r="EW371" s="163"/>
      <c r="EX371" s="163"/>
      <c r="EY371" s="163"/>
      <c r="EZ371" s="163"/>
      <c r="FA371" s="163"/>
      <c r="FB371" s="163"/>
      <c r="FC371" s="163"/>
      <c r="FD371" s="163"/>
      <c r="FE371" s="163"/>
      <c r="FF371" s="163"/>
      <c r="FG371" s="163"/>
      <c r="FH371" s="163"/>
      <c r="FI371" s="163"/>
      <c r="FJ371" s="163"/>
      <c r="FK371" s="163"/>
      <c r="FL371" s="163"/>
      <c r="FM371" s="163"/>
      <c r="FN371" s="163"/>
      <c r="FO371" s="163"/>
      <c r="FP371" s="163"/>
      <c r="FQ371" s="163"/>
      <c r="FR371" s="163"/>
      <c r="FS371" s="163"/>
      <c r="FT371" s="163"/>
      <c r="FU371" s="163"/>
      <c r="FV371" s="163"/>
      <c r="FW371" s="163"/>
      <c r="FX371" s="163"/>
      <c r="FY371" s="163"/>
      <c r="FZ371" s="163"/>
      <c r="GA371" s="163"/>
      <c r="GB371" s="163"/>
      <c r="GC371" s="163"/>
      <c r="GD371" s="163"/>
      <c r="GE371" s="163"/>
      <c r="GF371" s="163"/>
      <c r="GG371" s="163"/>
      <c r="GH371" s="163"/>
      <c r="GI371" s="163"/>
      <c r="GJ371" s="163"/>
      <c r="GK371" s="163"/>
      <c r="GL371" s="163"/>
      <c r="GM371" s="163"/>
      <c r="GN371" s="163"/>
      <c r="GO371" s="163"/>
      <c r="GP371" s="163"/>
      <c r="GQ371" s="163"/>
      <c r="GR371" s="163"/>
      <c r="GS371" s="163"/>
      <c r="GT371" s="163"/>
      <c r="GU371" s="163"/>
      <c r="GV371" s="163"/>
      <c r="GW371" s="163"/>
      <c r="GX371" s="163"/>
      <c r="GY371" s="163"/>
      <c r="GZ371" s="163"/>
      <c r="HA371" s="163"/>
      <c r="HB371" s="163"/>
      <c r="HC371" s="163"/>
      <c r="HD371" s="163"/>
      <c r="HE371" s="163"/>
      <c r="HF371" s="163"/>
      <c r="HG371" s="163"/>
      <c r="HH371" s="163"/>
      <c r="HI371" s="163"/>
      <c r="HJ371" s="163"/>
      <c r="HK371" s="163"/>
      <c r="HL371" s="163"/>
      <c r="HM371" s="163"/>
      <c r="HN371" s="163"/>
      <c r="HO371" s="163"/>
      <c r="HP371" s="163"/>
      <c r="HQ371" s="163"/>
      <c r="HR371" s="163"/>
      <c r="HS371" s="163"/>
      <c r="HT371" s="163"/>
      <c r="HU371" s="163"/>
      <c r="HV371" s="163"/>
      <c r="HW371" s="163"/>
      <c r="HX371" s="163"/>
      <c r="HY371" s="163"/>
      <c r="HZ371" s="163"/>
      <c r="IA371" s="163"/>
      <c r="IB371" s="163"/>
      <c r="IC371" s="163"/>
      <c r="ID371" s="163"/>
      <c r="IE371" s="163"/>
      <c r="IF371" s="163"/>
      <c r="IG371" s="163"/>
      <c r="IH371" s="163"/>
      <c r="II371" s="163"/>
      <c r="IJ371" s="163"/>
      <c r="IK371" s="163"/>
      <c r="IL371" s="163"/>
      <c r="IM371" s="163"/>
      <c r="IN371" s="163"/>
      <c r="IO371" s="163"/>
      <c r="IP371" s="163"/>
      <c r="IQ371" s="163"/>
      <c r="IR371" s="163"/>
      <c r="IS371" s="163"/>
      <c r="IT371" s="163"/>
      <c r="IU371" s="163"/>
      <c r="IV371" s="163"/>
    </row>
    <row r="372" spans="1:256">
      <c r="A372" s="842"/>
      <c r="B372" s="845"/>
      <c r="C372" s="178" t="s">
        <v>1</v>
      </c>
      <c r="D372" s="170">
        <f t="shared" si="147"/>
        <v>213759.99</v>
      </c>
      <c r="E372" s="171">
        <f t="shared" si="148"/>
        <v>5419.99</v>
      </c>
      <c r="F372" s="171">
        <f t="shared" si="149"/>
        <v>2199.9899999999998</v>
      </c>
      <c r="G372" s="171"/>
      <c r="H372" s="171">
        <v>2199.9899999999998</v>
      </c>
      <c r="I372" s="171"/>
      <c r="J372" s="171"/>
      <c r="K372" s="171">
        <v>3220</v>
      </c>
      <c r="L372" s="171"/>
      <c r="M372" s="171">
        <f t="shared" si="151"/>
        <v>208340</v>
      </c>
      <c r="N372" s="171">
        <v>208340</v>
      </c>
      <c r="O372" s="171">
        <v>208340</v>
      </c>
      <c r="P372" s="171"/>
      <c r="Q372" s="172"/>
      <c r="R372" s="172"/>
      <c r="S372" s="172"/>
      <c r="T372" s="172"/>
      <c r="U372" s="172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63"/>
      <c r="BD372" s="163"/>
      <c r="BE372" s="163"/>
      <c r="BF372" s="163"/>
      <c r="BG372" s="163"/>
      <c r="BH372" s="163"/>
      <c r="BI372" s="163"/>
      <c r="BJ372" s="163"/>
      <c r="BK372" s="163"/>
      <c r="BL372" s="163"/>
      <c r="BM372" s="163"/>
      <c r="BN372" s="163"/>
      <c r="BO372" s="163"/>
      <c r="BP372" s="163"/>
      <c r="BQ372" s="163"/>
      <c r="BR372" s="163"/>
      <c r="BS372" s="163"/>
      <c r="BT372" s="163"/>
      <c r="BU372" s="163"/>
      <c r="BV372" s="163"/>
      <c r="BW372" s="163"/>
      <c r="BX372" s="163"/>
      <c r="BY372" s="163"/>
      <c r="BZ372" s="163"/>
      <c r="CA372" s="163"/>
      <c r="CB372" s="163"/>
      <c r="CC372" s="163"/>
      <c r="CD372" s="163"/>
      <c r="CE372" s="163"/>
      <c r="CF372" s="163"/>
      <c r="CG372" s="163"/>
      <c r="CH372" s="163"/>
      <c r="CI372" s="163"/>
      <c r="CJ372" s="163"/>
      <c r="CK372" s="163"/>
      <c r="CL372" s="163"/>
      <c r="CM372" s="163"/>
      <c r="CN372" s="163"/>
      <c r="CO372" s="163"/>
      <c r="CP372" s="163"/>
      <c r="CQ372" s="163"/>
      <c r="CR372" s="163"/>
      <c r="CS372" s="163"/>
      <c r="CT372" s="163"/>
      <c r="CU372" s="163"/>
      <c r="CV372" s="163"/>
      <c r="CW372" s="163"/>
      <c r="CX372" s="163"/>
      <c r="CY372" s="163"/>
      <c r="CZ372" s="163"/>
      <c r="DA372" s="163"/>
      <c r="DB372" s="163"/>
      <c r="DC372" s="163"/>
      <c r="DD372" s="163"/>
      <c r="DE372" s="163"/>
      <c r="DF372" s="163"/>
      <c r="DG372" s="163"/>
      <c r="DH372" s="163"/>
      <c r="DI372" s="163"/>
      <c r="DJ372" s="163"/>
      <c r="DK372" s="163"/>
      <c r="DL372" s="163"/>
      <c r="DM372" s="163"/>
      <c r="DN372" s="163"/>
      <c r="DO372" s="163"/>
      <c r="DP372" s="163"/>
      <c r="DQ372" s="163"/>
      <c r="DR372" s="163"/>
      <c r="DS372" s="163"/>
      <c r="DT372" s="163"/>
      <c r="DU372" s="163"/>
      <c r="DV372" s="163"/>
      <c r="DW372" s="163"/>
      <c r="DX372" s="163"/>
      <c r="DY372" s="163"/>
      <c r="DZ372" s="163"/>
      <c r="EA372" s="163"/>
      <c r="EB372" s="163"/>
      <c r="EC372" s="163"/>
      <c r="ED372" s="163"/>
      <c r="EE372" s="163"/>
      <c r="EF372" s="163"/>
      <c r="EG372" s="163"/>
      <c r="EH372" s="163"/>
      <c r="EI372" s="163"/>
      <c r="EJ372" s="163"/>
      <c r="EK372" s="163"/>
      <c r="EL372" s="163"/>
      <c r="EM372" s="163"/>
      <c r="EN372" s="163"/>
      <c r="EO372" s="163"/>
      <c r="EP372" s="163"/>
      <c r="EQ372" s="163"/>
      <c r="ER372" s="163"/>
      <c r="ES372" s="163"/>
      <c r="ET372" s="163"/>
      <c r="EU372" s="163"/>
      <c r="EV372" s="163"/>
      <c r="EW372" s="163"/>
      <c r="EX372" s="163"/>
      <c r="EY372" s="163"/>
      <c r="EZ372" s="163"/>
      <c r="FA372" s="163"/>
      <c r="FB372" s="163"/>
      <c r="FC372" s="163"/>
      <c r="FD372" s="163"/>
      <c r="FE372" s="163"/>
      <c r="FF372" s="163"/>
      <c r="FG372" s="163"/>
      <c r="FH372" s="163"/>
      <c r="FI372" s="163"/>
      <c r="FJ372" s="163"/>
      <c r="FK372" s="163"/>
      <c r="FL372" s="163"/>
      <c r="FM372" s="163"/>
      <c r="FN372" s="163"/>
      <c r="FO372" s="163"/>
      <c r="FP372" s="163"/>
      <c r="FQ372" s="163"/>
      <c r="FR372" s="163"/>
      <c r="FS372" s="163"/>
      <c r="FT372" s="163"/>
      <c r="FU372" s="163"/>
      <c r="FV372" s="163"/>
      <c r="FW372" s="163"/>
      <c r="FX372" s="163"/>
      <c r="FY372" s="163"/>
      <c r="FZ372" s="163"/>
      <c r="GA372" s="163"/>
      <c r="GB372" s="163"/>
      <c r="GC372" s="163"/>
      <c r="GD372" s="163"/>
      <c r="GE372" s="163"/>
      <c r="GF372" s="163"/>
      <c r="GG372" s="163"/>
      <c r="GH372" s="163"/>
      <c r="GI372" s="163"/>
      <c r="GJ372" s="163"/>
      <c r="GK372" s="163"/>
      <c r="GL372" s="163"/>
      <c r="GM372" s="163"/>
      <c r="GN372" s="163"/>
      <c r="GO372" s="163"/>
      <c r="GP372" s="163"/>
      <c r="GQ372" s="163"/>
      <c r="GR372" s="163"/>
      <c r="GS372" s="163"/>
      <c r="GT372" s="163"/>
      <c r="GU372" s="163"/>
      <c r="GV372" s="163"/>
      <c r="GW372" s="163"/>
      <c r="GX372" s="163"/>
      <c r="GY372" s="163"/>
      <c r="GZ372" s="163"/>
      <c r="HA372" s="163"/>
      <c r="HB372" s="163"/>
      <c r="HC372" s="163"/>
      <c r="HD372" s="163"/>
      <c r="HE372" s="163"/>
      <c r="HF372" s="163"/>
      <c r="HG372" s="163"/>
      <c r="HH372" s="163"/>
      <c r="HI372" s="163"/>
      <c r="HJ372" s="163"/>
      <c r="HK372" s="163"/>
      <c r="HL372" s="163"/>
      <c r="HM372" s="163"/>
      <c r="HN372" s="163"/>
      <c r="HO372" s="163"/>
      <c r="HP372" s="163"/>
      <c r="HQ372" s="163"/>
      <c r="HR372" s="163"/>
      <c r="HS372" s="163"/>
      <c r="HT372" s="163"/>
      <c r="HU372" s="163"/>
      <c r="HV372" s="163"/>
      <c r="HW372" s="163"/>
      <c r="HX372" s="163"/>
      <c r="HY372" s="163"/>
      <c r="HZ372" s="163"/>
      <c r="IA372" s="163"/>
      <c r="IB372" s="163"/>
      <c r="IC372" s="163"/>
      <c r="ID372" s="163"/>
      <c r="IE372" s="163"/>
      <c r="IF372" s="163"/>
      <c r="IG372" s="163"/>
      <c r="IH372" s="163"/>
      <c r="II372" s="163"/>
      <c r="IJ372" s="163"/>
      <c r="IK372" s="163"/>
      <c r="IL372" s="163"/>
      <c r="IM372" s="163"/>
      <c r="IN372" s="163"/>
      <c r="IO372" s="163"/>
      <c r="IP372" s="163"/>
      <c r="IQ372" s="163"/>
      <c r="IR372" s="163"/>
      <c r="IS372" s="163"/>
      <c r="IT372" s="163"/>
      <c r="IU372" s="163"/>
      <c r="IV372" s="163"/>
    </row>
    <row r="373" spans="1:256">
      <c r="A373" s="843"/>
      <c r="B373" s="846"/>
      <c r="C373" s="178" t="s">
        <v>2</v>
      </c>
      <c r="D373" s="170">
        <f>D371+D372</f>
        <v>314769.99</v>
      </c>
      <c r="E373" s="171">
        <f t="shared" ref="E373:P373" si="158">E371+E372</f>
        <v>106429.99</v>
      </c>
      <c r="F373" s="171">
        <f t="shared" si="158"/>
        <v>103209.99</v>
      </c>
      <c r="G373" s="171">
        <f t="shared" si="158"/>
        <v>73450</v>
      </c>
      <c r="H373" s="171">
        <f t="shared" si="158"/>
        <v>29759.989999999998</v>
      </c>
      <c r="I373" s="171">
        <f t="shared" si="158"/>
        <v>0</v>
      </c>
      <c r="J373" s="171">
        <f t="shared" si="158"/>
        <v>0</v>
      </c>
      <c r="K373" s="171">
        <f t="shared" si="158"/>
        <v>3220</v>
      </c>
      <c r="L373" s="171">
        <f t="shared" si="158"/>
        <v>0</v>
      </c>
      <c r="M373" s="171">
        <f t="shared" si="158"/>
        <v>208340</v>
      </c>
      <c r="N373" s="171">
        <f t="shared" si="158"/>
        <v>208340</v>
      </c>
      <c r="O373" s="171">
        <f t="shared" si="158"/>
        <v>208340</v>
      </c>
      <c r="P373" s="171">
        <f t="shared" si="158"/>
        <v>0</v>
      </c>
      <c r="Q373" s="172"/>
      <c r="R373" s="172"/>
      <c r="S373" s="172"/>
      <c r="T373" s="172"/>
      <c r="U373" s="172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63"/>
      <c r="BD373" s="163"/>
      <c r="BE373" s="163"/>
      <c r="BF373" s="163"/>
      <c r="BG373" s="163"/>
      <c r="BH373" s="163"/>
      <c r="BI373" s="163"/>
      <c r="BJ373" s="163"/>
      <c r="BK373" s="163"/>
      <c r="BL373" s="163"/>
      <c r="BM373" s="163"/>
      <c r="BN373" s="163"/>
      <c r="BO373" s="163"/>
      <c r="BP373" s="163"/>
      <c r="BQ373" s="163"/>
      <c r="BR373" s="163"/>
      <c r="BS373" s="163"/>
      <c r="BT373" s="163"/>
      <c r="BU373" s="163"/>
      <c r="BV373" s="163"/>
      <c r="BW373" s="163"/>
      <c r="BX373" s="163"/>
      <c r="BY373" s="163"/>
      <c r="BZ373" s="163"/>
      <c r="CA373" s="163"/>
      <c r="CB373" s="163"/>
      <c r="CC373" s="163"/>
      <c r="CD373" s="163"/>
      <c r="CE373" s="163"/>
      <c r="CF373" s="163"/>
      <c r="CG373" s="163"/>
      <c r="CH373" s="163"/>
      <c r="CI373" s="163"/>
      <c r="CJ373" s="163"/>
      <c r="CK373" s="163"/>
      <c r="CL373" s="163"/>
      <c r="CM373" s="163"/>
      <c r="CN373" s="163"/>
      <c r="CO373" s="163"/>
      <c r="CP373" s="163"/>
      <c r="CQ373" s="163"/>
      <c r="CR373" s="163"/>
      <c r="CS373" s="163"/>
      <c r="CT373" s="163"/>
      <c r="CU373" s="163"/>
      <c r="CV373" s="163"/>
      <c r="CW373" s="163"/>
      <c r="CX373" s="163"/>
      <c r="CY373" s="163"/>
      <c r="CZ373" s="163"/>
      <c r="DA373" s="163"/>
      <c r="DB373" s="163"/>
      <c r="DC373" s="163"/>
      <c r="DD373" s="163"/>
      <c r="DE373" s="163"/>
      <c r="DF373" s="163"/>
      <c r="DG373" s="163"/>
      <c r="DH373" s="163"/>
      <c r="DI373" s="163"/>
      <c r="DJ373" s="163"/>
      <c r="DK373" s="163"/>
      <c r="DL373" s="163"/>
      <c r="DM373" s="163"/>
      <c r="DN373" s="163"/>
      <c r="DO373" s="163"/>
      <c r="DP373" s="163"/>
      <c r="DQ373" s="163"/>
      <c r="DR373" s="163"/>
      <c r="DS373" s="163"/>
      <c r="DT373" s="163"/>
      <c r="DU373" s="163"/>
      <c r="DV373" s="163"/>
      <c r="DW373" s="163"/>
      <c r="DX373" s="163"/>
      <c r="DY373" s="163"/>
      <c r="DZ373" s="163"/>
      <c r="EA373" s="163"/>
      <c r="EB373" s="163"/>
      <c r="EC373" s="163"/>
      <c r="ED373" s="163"/>
      <c r="EE373" s="163"/>
      <c r="EF373" s="163"/>
      <c r="EG373" s="163"/>
      <c r="EH373" s="163"/>
      <c r="EI373" s="163"/>
      <c r="EJ373" s="163"/>
      <c r="EK373" s="163"/>
      <c r="EL373" s="163"/>
      <c r="EM373" s="163"/>
      <c r="EN373" s="163"/>
      <c r="EO373" s="163"/>
      <c r="EP373" s="163"/>
      <c r="EQ373" s="163"/>
      <c r="ER373" s="163"/>
      <c r="ES373" s="163"/>
      <c r="ET373" s="163"/>
      <c r="EU373" s="163"/>
      <c r="EV373" s="163"/>
      <c r="EW373" s="163"/>
      <c r="EX373" s="163"/>
      <c r="EY373" s="163"/>
      <c r="EZ373" s="163"/>
      <c r="FA373" s="163"/>
      <c r="FB373" s="163"/>
      <c r="FC373" s="163"/>
      <c r="FD373" s="163"/>
      <c r="FE373" s="163"/>
      <c r="FF373" s="163"/>
      <c r="FG373" s="163"/>
      <c r="FH373" s="163"/>
      <c r="FI373" s="163"/>
      <c r="FJ373" s="163"/>
      <c r="FK373" s="163"/>
      <c r="FL373" s="163"/>
      <c r="FM373" s="163"/>
      <c r="FN373" s="163"/>
      <c r="FO373" s="163"/>
      <c r="FP373" s="163"/>
      <c r="FQ373" s="163"/>
      <c r="FR373" s="163"/>
      <c r="FS373" s="163"/>
      <c r="FT373" s="163"/>
      <c r="FU373" s="163"/>
      <c r="FV373" s="163"/>
      <c r="FW373" s="163"/>
      <c r="FX373" s="163"/>
      <c r="FY373" s="163"/>
      <c r="FZ373" s="163"/>
      <c r="GA373" s="163"/>
      <c r="GB373" s="163"/>
      <c r="GC373" s="163"/>
      <c r="GD373" s="163"/>
      <c r="GE373" s="163"/>
      <c r="GF373" s="163"/>
      <c r="GG373" s="163"/>
      <c r="GH373" s="163"/>
      <c r="GI373" s="163"/>
      <c r="GJ373" s="163"/>
      <c r="GK373" s="163"/>
      <c r="GL373" s="163"/>
      <c r="GM373" s="163"/>
      <c r="GN373" s="163"/>
      <c r="GO373" s="163"/>
      <c r="GP373" s="163"/>
      <c r="GQ373" s="163"/>
      <c r="GR373" s="163"/>
      <c r="GS373" s="163"/>
      <c r="GT373" s="163"/>
      <c r="GU373" s="163"/>
      <c r="GV373" s="163"/>
      <c r="GW373" s="163"/>
      <c r="GX373" s="163"/>
      <c r="GY373" s="163"/>
      <c r="GZ373" s="163"/>
      <c r="HA373" s="163"/>
      <c r="HB373" s="163"/>
      <c r="HC373" s="163"/>
      <c r="HD373" s="163"/>
      <c r="HE373" s="163"/>
      <c r="HF373" s="163"/>
      <c r="HG373" s="163"/>
      <c r="HH373" s="163"/>
      <c r="HI373" s="163"/>
      <c r="HJ373" s="163"/>
      <c r="HK373" s="163"/>
      <c r="HL373" s="163"/>
      <c r="HM373" s="163"/>
      <c r="HN373" s="163"/>
      <c r="HO373" s="163"/>
      <c r="HP373" s="163"/>
      <c r="HQ373" s="163"/>
      <c r="HR373" s="163"/>
      <c r="HS373" s="163"/>
      <c r="HT373" s="163"/>
      <c r="HU373" s="163"/>
      <c r="HV373" s="163"/>
      <c r="HW373" s="163"/>
      <c r="HX373" s="163"/>
      <c r="HY373" s="163"/>
      <c r="HZ373" s="163"/>
      <c r="IA373" s="163"/>
      <c r="IB373" s="163"/>
      <c r="IC373" s="163"/>
      <c r="ID373" s="163"/>
      <c r="IE373" s="163"/>
      <c r="IF373" s="163"/>
      <c r="IG373" s="163"/>
      <c r="IH373" s="163"/>
      <c r="II373" s="163"/>
      <c r="IJ373" s="163"/>
      <c r="IK373" s="163"/>
      <c r="IL373" s="163"/>
      <c r="IM373" s="163"/>
      <c r="IN373" s="163"/>
      <c r="IO373" s="163"/>
      <c r="IP373" s="163"/>
      <c r="IQ373" s="163"/>
      <c r="IR373" s="163"/>
      <c r="IS373" s="163"/>
      <c r="IT373" s="163"/>
      <c r="IU373" s="163"/>
      <c r="IV373" s="163"/>
    </row>
    <row r="374" spans="1:256">
      <c r="A374" s="841">
        <v>90095</v>
      </c>
      <c r="B374" s="844" t="s">
        <v>108</v>
      </c>
      <c r="C374" s="178" t="s">
        <v>0</v>
      </c>
      <c r="D374" s="180">
        <f t="shared" si="147"/>
        <v>19893777</v>
      </c>
      <c r="E374" s="181">
        <f t="shared" si="148"/>
        <v>3125405</v>
      </c>
      <c r="F374" s="181">
        <f t="shared" si="149"/>
        <v>1972742</v>
      </c>
      <c r="G374" s="181">
        <v>1089637</v>
      </c>
      <c r="H374" s="181">
        <v>883105</v>
      </c>
      <c r="I374" s="181">
        <v>0</v>
      </c>
      <c r="J374" s="181">
        <v>0</v>
      </c>
      <c r="K374" s="181">
        <v>1152663</v>
      </c>
      <c r="L374" s="181">
        <v>0</v>
      </c>
      <c r="M374" s="181">
        <f t="shared" si="151"/>
        <v>16768372</v>
      </c>
      <c r="N374" s="181">
        <v>3768372</v>
      </c>
      <c r="O374" s="181">
        <v>3768372</v>
      </c>
      <c r="P374" s="181">
        <v>13000000</v>
      </c>
      <c r="Q374" s="182"/>
      <c r="R374" s="182"/>
      <c r="S374" s="182"/>
      <c r="T374" s="182"/>
      <c r="U374" s="182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48"/>
      <c r="CC374" s="148"/>
      <c r="CD374" s="148"/>
      <c r="CE374" s="148"/>
      <c r="CF374" s="148"/>
      <c r="CG374" s="148"/>
      <c r="CH374" s="148"/>
      <c r="CI374" s="148"/>
      <c r="CJ374" s="148"/>
      <c r="CK374" s="148"/>
      <c r="CL374" s="148"/>
      <c r="CM374" s="148"/>
      <c r="CN374" s="148"/>
      <c r="CO374" s="148"/>
      <c r="CP374" s="148"/>
      <c r="CQ374" s="148"/>
      <c r="CR374" s="148"/>
      <c r="CS374" s="148"/>
      <c r="CT374" s="148"/>
      <c r="CU374" s="148"/>
      <c r="CV374" s="148"/>
      <c r="CW374" s="14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  <c r="FF374" s="148"/>
      <c r="FG374" s="148"/>
      <c r="FH374" s="148"/>
      <c r="FI374" s="148"/>
      <c r="FJ374" s="148"/>
      <c r="FK374" s="148"/>
      <c r="FL374" s="148"/>
      <c r="FM374" s="148"/>
      <c r="FN374" s="148"/>
      <c r="FO374" s="148"/>
      <c r="FP374" s="148"/>
      <c r="FQ374" s="148"/>
      <c r="FR374" s="148"/>
      <c r="FS374" s="148"/>
      <c r="FT374" s="148"/>
      <c r="FU374" s="148"/>
      <c r="FV374" s="148"/>
      <c r="FW374" s="148"/>
      <c r="FX374" s="148"/>
      <c r="FY374" s="148"/>
      <c r="FZ374" s="148"/>
      <c r="GA374" s="148"/>
      <c r="GB374" s="148"/>
      <c r="GC374" s="148"/>
      <c r="GD374" s="148"/>
      <c r="GE374" s="148"/>
      <c r="GF374" s="148"/>
      <c r="GG374" s="148"/>
      <c r="GH374" s="148"/>
      <c r="GI374" s="148"/>
      <c r="GJ374" s="148"/>
      <c r="GK374" s="148"/>
      <c r="GL374" s="148"/>
      <c r="GM374" s="148"/>
      <c r="GN374" s="148"/>
      <c r="GO374" s="148"/>
      <c r="GP374" s="148"/>
      <c r="GQ374" s="148"/>
      <c r="GR374" s="148"/>
      <c r="GS374" s="148"/>
      <c r="GT374" s="148"/>
      <c r="GU374" s="148"/>
      <c r="GV374" s="148"/>
      <c r="GW374" s="148"/>
      <c r="GX374" s="148"/>
      <c r="GY374" s="148"/>
      <c r="GZ374" s="148"/>
      <c r="HA374" s="148"/>
      <c r="HB374" s="148"/>
      <c r="HC374" s="148"/>
      <c r="HD374" s="148"/>
      <c r="HE374" s="148"/>
      <c r="HF374" s="148"/>
      <c r="HG374" s="148"/>
      <c r="HH374" s="148"/>
      <c r="HI374" s="148"/>
      <c r="HJ374" s="148"/>
      <c r="HK374" s="148"/>
      <c r="HL374" s="148"/>
      <c r="HM374" s="148"/>
      <c r="HN374" s="148"/>
      <c r="HO374" s="148"/>
      <c r="HP374" s="148"/>
      <c r="HQ374" s="148"/>
      <c r="HR374" s="148"/>
      <c r="HS374" s="148"/>
      <c r="HT374" s="148"/>
      <c r="HU374" s="148"/>
      <c r="HV374" s="148"/>
      <c r="HW374" s="148"/>
      <c r="HX374" s="148"/>
      <c r="HY374" s="148"/>
      <c r="HZ374" s="148"/>
      <c r="IA374" s="148"/>
      <c r="IB374" s="148"/>
      <c r="IC374" s="148"/>
      <c r="ID374" s="148"/>
      <c r="IE374" s="148"/>
      <c r="IF374" s="148"/>
      <c r="IG374" s="148"/>
      <c r="IH374" s="148"/>
      <c r="II374" s="148"/>
      <c r="IJ374" s="148"/>
      <c r="IK374" s="148"/>
      <c r="IL374" s="148"/>
      <c r="IM374" s="148"/>
      <c r="IN374" s="148"/>
      <c r="IO374" s="148"/>
      <c r="IP374" s="148"/>
      <c r="IQ374" s="148"/>
      <c r="IR374" s="148"/>
      <c r="IS374" s="148"/>
      <c r="IT374" s="148"/>
      <c r="IU374" s="148"/>
      <c r="IV374" s="148"/>
    </row>
    <row r="375" spans="1:256">
      <c r="A375" s="842"/>
      <c r="B375" s="845"/>
      <c r="C375" s="178" t="s">
        <v>1</v>
      </c>
      <c r="D375" s="180">
        <f t="shared" si="147"/>
        <v>-11846522</v>
      </c>
      <c r="E375" s="181">
        <f t="shared" si="148"/>
        <v>55186</v>
      </c>
      <c r="F375" s="181">
        <f t="shared" si="149"/>
        <v>0</v>
      </c>
      <c r="G375" s="181"/>
      <c r="H375" s="181"/>
      <c r="I375" s="181"/>
      <c r="J375" s="181"/>
      <c r="K375" s="181">
        <f>1224-93220+71341+17835+12263+3066+1748+437+21146+5286+1600+400+800+200+7698+1924+80+20+1070+268</f>
        <v>55186</v>
      </c>
      <c r="L375" s="181"/>
      <c r="M375" s="181">
        <f t="shared" si="151"/>
        <v>-11901708</v>
      </c>
      <c r="N375" s="181">
        <f>-115704+213996</f>
        <v>98292</v>
      </c>
      <c r="O375" s="181">
        <v>98292</v>
      </c>
      <c r="P375" s="181">
        <v>-12000000</v>
      </c>
      <c r="Q375" s="182"/>
      <c r="R375" s="182"/>
      <c r="S375" s="182"/>
      <c r="T375" s="182"/>
      <c r="U375" s="182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48"/>
      <c r="CC375" s="148"/>
      <c r="CD375" s="148"/>
      <c r="CE375" s="148"/>
      <c r="CF375" s="148"/>
      <c r="CG375" s="148"/>
      <c r="CH375" s="148"/>
      <c r="CI375" s="148"/>
      <c r="CJ375" s="148"/>
      <c r="CK375" s="148"/>
      <c r="CL375" s="148"/>
      <c r="CM375" s="148"/>
      <c r="CN375" s="148"/>
      <c r="CO375" s="148"/>
      <c r="CP375" s="148"/>
      <c r="CQ375" s="148"/>
      <c r="CR375" s="148"/>
      <c r="CS375" s="148"/>
      <c r="CT375" s="148"/>
      <c r="CU375" s="148"/>
      <c r="CV375" s="148"/>
      <c r="CW375" s="148"/>
      <c r="CX375" s="148"/>
      <c r="CY375" s="148"/>
      <c r="CZ375" s="148"/>
      <c r="DA375" s="148"/>
      <c r="DB375" s="148"/>
      <c r="DC375" s="148"/>
      <c r="DD375" s="148"/>
      <c r="DE375" s="148"/>
      <c r="DF375" s="148"/>
      <c r="DG375" s="148"/>
      <c r="DH375" s="148"/>
      <c r="DI375" s="148"/>
      <c r="DJ375" s="148"/>
      <c r="DK375" s="148"/>
      <c r="DL375" s="148"/>
      <c r="DM375" s="148"/>
      <c r="DN375" s="148"/>
      <c r="DO375" s="148"/>
      <c r="DP375" s="148"/>
      <c r="DQ375" s="148"/>
      <c r="DR375" s="148"/>
      <c r="DS375" s="148"/>
      <c r="DT375" s="148"/>
      <c r="DU375" s="148"/>
      <c r="DV375" s="148"/>
      <c r="DW375" s="148"/>
      <c r="DX375" s="148"/>
      <c r="DY375" s="148"/>
      <c r="DZ375" s="148"/>
      <c r="EA375" s="148"/>
      <c r="EB375" s="148"/>
      <c r="EC375" s="148"/>
      <c r="ED375" s="148"/>
      <c r="EE375" s="148"/>
      <c r="EF375" s="148"/>
      <c r="EG375" s="148"/>
      <c r="EH375" s="148"/>
      <c r="EI375" s="148"/>
      <c r="EJ375" s="148"/>
      <c r="EK375" s="148"/>
      <c r="EL375" s="148"/>
      <c r="EM375" s="148"/>
      <c r="EN375" s="148"/>
      <c r="EO375" s="148"/>
      <c r="EP375" s="148"/>
      <c r="EQ375" s="148"/>
      <c r="ER375" s="148"/>
      <c r="ES375" s="148"/>
      <c r="ET375" s="148"/>
      <c r="EU375" s="148"/>
      <c r="EV375" s="148"/>
      <c r="EW375" s="148"/>
      <c r="EX375" s="148"/>
      <c r="EY375" s="148"/>
      <c r="EZ375" s="148"/>
      <c r="FA375" s="148"/>
      <c r="FB375" s="148"/>
      <c r="FC375" s="148"/>
      <c r="FD375" s="148"/>
      <c r="FE375" s="148"/>
      <c r="FF375" s="148"/>
      <c r="FG375" s="148"/>
      <c r="FH375" s="148"/>
      <c r="FI375" s="148"/>
      <c r="FJ375" s="148"/>
      <c r="FK375" s="148"/>
      <c r="FL375" s="148"/>
      <c r="FM375" s="148"/>
      <c r="FN375" s="148"/>
      <c r="FO375" s="148"/>
      <c r="FP375" s="148"/>
      <c r="FQ375" s="148"/>
      <c r="FR375" s="148"/>
      <c r="FS375" s="148"/>
      <c r="FT375" s="148"/>
      <c r="FU375" s="148"/>
      <c r="FV375" s="148"/>
      <c r="FW375" s="148"/>
      <c r="FX375" s="148"/>
      <c r="FY375" s="148"/>
      <c r="FZ375" s="148"/>
      <c r="GA375" s="148"/>
      <c r="GB375" s="148"/>
      <c r="GC375" s="148"/>
      <c r="GD375" s="148"/>
      <c r="GE375" s="148"/>
      <c r="GF375" s="148"/>
      <c r="GG375" s="148"/>
      <c r="GH375" s="148"/>
      <c r="GI375" s="148"/>
      <c r="GJ375" s="148"/>
      <c r="GK375" s="148"/>
      <c r="GL375" s="148"/>
      <c r="GM375" s="148"/>
      <c r="GN375" s="148"/>
      <c r="GO375" s="148"/>
      <c r="GP375" s="148"/>
      <c r="GQ375" s="148"/>
      <c r="GR375" s="148"/>
      <c r="GS375" s="148"/>
      <c r="GT375" s="148"/>
      <c r="GU375" s="148"/>
      <c r="GV375" s="148"/>
      <c r="GW375" s="148"/>
      <c r="GX375" s="148"/>
      <c r="GY375" s="148"/>
      <c r="GZ375" s="148"/>
      <c r="HA375" s="148"/>
      <c r="HB375" s="148"/>
      <c r="HC375" s="148"/>
      <c r="HD375" s="148"/>
      <c r="HE375" s="148"/>
      <c r="HF375" s="148"/>
      <c r="HG375" s="148"/>
      <c r="HH375" s="148"/>
      <c r="HI375" s="148"/>
      <c r="HJ375" s="148"/>
      <c r="HK375" s="148"/>
      <c r="HL375" s="148"/>
      <c r="HM375" s="148"/>
      <c r="HN375" s="148"/>
      <c r="HO375" s="148"/>
      <c r="HP375" s="148"/>
      <c r="HQ375" s="148"/>
      <c r="HR375" s="148"/>
      <c r="HS375" s="148"/>
      <c r="HT375" s="148"/>
      <c r="HU375" s="148"/>
      <c r="HV375" s="148"/>
      <c r="HW375" s="148"/>
      <c r="HX375" s="148"/>
      <c r="HY375" s="148"/>
      <c r="HZ375" s="148"/>
      <c r="IA375" s="148"/>
      <c r="IB375" s="148"/>
      <c r="IC375" s="148"/>
      <c r="ID375" s="148"/>
      <c r="IE375" s="148"/>
      <c r="IF375" s="148"/>
      <c r="IG375" s="148"/>
      <c r="IH375" s="148"/>
      <c r="II375" s="148"/>
      <c r="IJ375" s="148"/>
      <c r="IK375" s="148"/>
      <c r="IL375" s="148"/>
      <c r="IM375" s="148"/>
      <c r="IN375" s="148"/>
      <c r="IO375" s="148"/>
      <c r="IP375" s="148"/>
      <c r="IQ375" s="148"/>
      <c r="IR375" s="148"/>
      <c r="IS375" s="148"/>
      <c r="IT375" s="148"/>
      <c r="IU375" s="148"/>
      <c r="IV375" s="148"/>
    </row>
    <row r="376" spans="1:256">
      <c r="A376" s="843"/>
      <c r="B376" s="846"/>
      <c r="C376" s="178" t="s">
        <v>2</v>
      </c>
      <c r="D376" s="180">
        <f>D374+D375</f>
        <v>8047255</v>
      </c>
      <c r="E376" s="181">
        <f t="shared" ref="E376:P376" si="159">E374+E375</f>
        <v>3180591</v>
      </c>
      <c r="F376" s="181">
        <f t="shared" si="159"/>
        <v>1972742</v>
      </c>
      <c r="G376" s="181">
        <f t="shared" si="159"/>
        <v>1089637</v>
      </c>
      <c r="H376" s="181">
        <f t="shared" si="159"/>
        <v>883105</v>
      </c>
      <c r="I376" s="181">
        <f t="shared" si="159"/>
        <v>0</v>
      </c>
      <c r="J376" s="181">
        <f t="shared" si="159"/>
        <v>0</v>
      </c>
      <c r="K376" s="181">
        <f t="shared" si="159"/>
        <v>1207849</v>
      </c>
      <c r="L376" s="181">
        <f t="shared" si="159"/>
        <v>0</v>
      </c>
      <c r="M376" s="181">
        <f t="shared" si="159"/>
        <v>4866664</v>
      </c>
      <c r="N376" s="181">
        <f t="shared" si="159"/>
        <v>3866664</v>
      </c>
      <c r="O376" s="181">
        <f t="shared" si="159"/>
        <v>3866664</v>
      </c>
      <c r="P376" s="181">
        <f t="shared" si="159"/>
        <v>1000000</v>
      </c>
      <c r="Q376" s="182"/>
      <c r="R376" s="182"/>
      <c r="S376" s="182"/>
      <c r="T376" s="182"/>
      <c r="U376" s="182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48"/>
      <c r="CC376" s="148"/>
      <c r="CD376" s="148"/>
      <c r="CE376" s="148"/>
      <c r="CF376" s="148"/>
      <c r="CG376" s="148"/>
      <c r="CH376" s="148"/>
      <c r="CI376" s="148"/>
      <c r="CJ376" s="148"/>
      <c r="CK376" s="148"/>
      <c r="CL376" s="148"/>
      <c r="CM376" s="148"/>
      <c r="CN376" s="148"/>
      <c r="CO376" s="148"/>
      <c r="CP376" s="148"/>
      <c r="CQ376" s="148"/>
      <c r="CR376" s="148"/>
      <c r="CS376" s="148"/>
      <c r="CT376" s="148"/>
      <c r="CU376" s="148"/>
      <c r="CV376" s="148"/>
      <c r="CW376" s="148"/>
      <c r="CX376" s="148"/>
      <c r="CY376" s="148"/>
      <c r="CZ376" s="148"/>
      <c r="DA376" s="148"/>
      <c r="DB376" s="148"/>
      <c r="DC376" s="148"/>
      <c r="DD376" s="148"/>
      <c r="DE376" s="148"/>
      <c r="DF376" s="148"/>
      <c r="DG376" s="148"/>
      <c r="DH376" s="148"/>
      <c r="DI376" s="148"/>
      <c r="DJ376" s="148"/>
      <c r="DK376" s="148"/>
      <c r="DL376" s="148"/>
      <c r="DM376" s="148"/>
      <c r="DN376" s="148"/>
      <c r="DO376" s="148"/>
      <c r="DP376" s="148"/>
      <c r="DQ376" s="148"/>
      <c r="DR376" s="148"/>
      <c r="DS376" s="148"/>
      <c r="DT376" s="148"/>
      <c r="DU376" s="148"/>
      <c r="DV376" s="148"/>
      <c r="DW376" s="148"/>
      <c r="DX376" s="148"/>
      <c r="DY376" s="148"/>
      <c r="DZ376" s="148"/>
      <c r="EA376" s="148"/>
      <c r="EB376" s="148"/>
      <c r="EC376" s="148"/>
      <c r="ED376" s="148"/>
      <c r="EE376" s="148"/>
      <c r="EF376" s="148"/>
      <c r="EG376" s="148"/>
      <c r="EH376" s="148"/>
      <c r="EI376" s="148"/>
      <c r="EJ376" s="148"/>
      <c r="EK376" s="148"/>
      <c r="EL376" s="148"/>
      <c r="EM376" s="148"/>
      <c r="EN376" s="148"/>
      <c r="EO376" s="148"/>
      <c r="EP376" s="148"/>
      <c r="EQ376" s="148"/>
      <c r="ER376" s="148"/>
      <c r="ES376" s="148"/>
      <c r="ET376" s="148"/>
      <c r="EU376" s="148"/>
      <c r="EV376" s="148"/>
      <c r="EW376" s="148"/>
      <c r="EX376" s="148"/>
      <c r="EY376" s="148"/>
      <c r="EZ376" s="148"/>
      <c r="FA376" s="148"/>
      <c r="FB376" s="148"/>
      <c r="FC376" s="148"/>
      <c r="FD376" s="148"/>
      <c r="FE376" s="148"/>
      <c r="FF376" s="148"/>
      <c r="FG376" s="148"/>
      <c r="FH376" s="148"/>
      <c r="FI376" s="148"/>
      <c r="FJ376" s="148"/>
      <c r="FK376" s="148"/>
      <c r="FL376" s="148"/>
      <c r="FM376" s="148"/>
      <c r="FN376" s="148"/>
      <c r="FO376" s="148"/>
      <c r="FP376" s="148"/>
      <c r="FQ376" s="148"/>
      <c r="FR376" s="148"/>
      <c r="FS376" s="148"/>
      <c r="FT376" s="148"/>
      <c r="FU376" s="148"/>
      <c r="FV376" s="148"/>
      <c r="FW376" s="148"/>
      <c r="FX376" s="148"/>
      <c r="FY376" s="148"/>
      <c r="FZ376" s="148"/>
      <c r="GA376" s="148"/>
      <c r="GB376" s="148"/>
      <c r="GC376" s="148"/>
      <c r="GD376" s="148"/>
      <c r="GE376" s="148"/>
      <c r="GF376" s="148"/>
      <c r="GG376" s="148"/>
      <c r="GH376" s="148"/>
      <c r="GI376" s="148"/>
      <c r="GJ376" s="148"/>
      <c r="GK376" s="148"/>
      <c r="GL376" s="148"/>
      <c r="GM376" s="148"/>
      <c r="GN376" s="148"/>
      <c r="GO376" s="148"/>
      <c r="GP376" s="148"/>
      <c r="GQ376" s="148"/>
      <c r="GR376" s="148"/>
      <c r="GS376" s="148"/>
      <c r="GT376" s="148"/>
      <c r="GU376" s="148"/>
      <c r="GV376" s="148"/>
      <c r="GW376" s="148"/>
      <c r="GX376" s="148"/>
      <c r="GY376" s="148"/>
      <c r="GZ376" s="148"/>
      <c r="HA376" s="148"/>
      <c r="HB376" s="148"/>
      <c r="HC376" s="148"/>
      <c r="HD376" s="148"/>
      <c r="HE376" s="148"/>
      <c r="HF376" s="148"/>
      <c r="HG376" s="148"/>
      <c r="HH376" s="148"/>
      <c r="HI376" s="148"/>
      <c r="HJ376" s="148"/>
      <c r="HK376" s="148"/>
      <c r="HL376" s="148"/>
      <c r="HM376" s="148"/>
      <c r="HN376" s="148"/>
      <c r="HO376" s="148"/>
      <c r="HP376" s="148"/>
      <c r="HQ376" s="148"/>
      <c r="HR376" s="148"/>
      <c r="HS376" s="148"/>
      <c r="HT376" s="148"/>
      <c r="HU376" s="148"/>
      <c r="HV376" s="148"/>
      <c r="HW376" s="148"/>
      <c r="HX376" s="148"/>
      <c r="HY376" s="148"/>
      <c r="HZ376" s="148"/>
      <c r="IA376" s="148"/>
      <c r="IB376" s="148"/>
      <c r="IC376" s="148"/>
      <c r="ID376" s="148"/>
      <c r="IE376" s="148"/>
      <c r="IF376" s="148"/>
      <c r="IG376" s="148"/>
      <c r="IH376" s="148"/>
      <c r="II376" s="148"/>
      <c r="IJ376" s="148"/>
      <c r="IK376" s="148"/>
      <c r="IL376" s="148"/>
      <c r="IM376" s="148"/>
      <c r="IN376" s="148"/>
      <c r="IO376" s="148"/>
      <c r="IP376" s="148"/>
      <c r="IQ376" s="148"/>
      <c r="IR376" s="148"/>
      <c r="IS376" s="148"/>
      <c r="IT376" s="148"/>
      <c r="IU376" s="148"/>
      <c r="IV376" s="148"/>
    </row>
    <row r="377" spans="1:256" ht="15">
      <c r="A377" s="835">
        <v>921</v>
      </c>
      <c r="B377" s="838" t="s">
        <v>68</v>
      </c>
      <c r="C377" s="196" t="s">
        <v>0</v>
      </c>
      <c r="D377" s="191">
        <f>D383+D386+D389+D392+D395+D398+D401+D407+D404+D380</f>
        <v>277049823</v>
      </c>
      <c r="E377" s="175">
        <f>E383+E386+E389+E392+E395+E398+E401+E407+E404+E380</f>
        <v>165551598</v>
      </c>
      <c r="F377" s="175">
        <f t="shared" ref="F377:P378" si="160">F383+F386+F389+F392+F395+F398+F401+F407+F404+F380</f>
        <v>10025000</v>
      </c>
      <c r="G377" s="175">
        <f t="shared" si="160"/>
        <v>154000</v>
      </c>
      <c r="H377" s="175">
        <f t="shared" si="160"/>
        <v>9871000</v>
      </c>
      <c r="I377" s="175">
        <f t="shared" si="160"/>
        <v>154886265</v>
      </c>
      <c r="J377" s="175">
        <f t="shared" si="160"/>
        <v>450000</v>
      </c>
      <c r="K377" s="175">
        <f t="shared" si="160"/>
        <v>190333</v>
      </c>
      <c r="L377" s="175">
        <f t="shared" si="160"/>
        <v>0</v>
      </c>
      <c r="M377" s="175">
        <f t="shared" si="160"/>
        <v>111498225</v>
      </c>
      <c r="N377" s="175">
        <f t="shared" si="160"/>
        <v>111498225</v>
      </c>
      <c r="O377" s="175">
        <f t="shared" si="160"/>
        <v>0</v>
      </c>
      <c r="P377" s="175">
        <f t="shared" si="160"/>
        <v>0</v>
      </c>
      <c r="Q377" s="188"/>
      <c r="R377" s="188"/>
      <c r="S377" s="188"/>
      <c r="T377" s="188"/>
      <c r="U377" s="188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89"/>
      <c r="AT377" s="189"/>
      <c r="AU377" s="189"/>
      <c r="AV377" s="189"/>
      <c r="AW377" s="189"/>
      <c r="AX377" s="189"/>
      <c r="AY377" s="189"/>
      <c r="AZ377" s="189"/>
      <c r="BA377" s="189"/>
      <c r="BB377" s="189"/>
      <c r="BC377" s="189"/>
      <c r="BD377" s="189"/>
      <c r="BE377" s="189"/>
      <c r="BF377" s="189"/>
      <c r="BG377" s="189"/>
      <c r="BH377" s="189"/>
      <c r="BI377" s="189"/>
      <c r="BJ377" s="189"/>
      <c r="BK377" s="189"/>
      <c r="BL377" s="189"/>
      <c r="BM377" s="189"/>
      <c r="BN377" s="189"/>
      <c r="BO377" s="189"/>
      <c r="BP377" s="189"/>
      <c r="BQ377" s="189"/>
      <c r="BR377" s="189"/>
      <c r="BS377" s="189"/>
      <c r="BT377" s="189"/>
      <c r="BU377" s="189"/>
      <c r="BV377" s="189"/>
      <c r="BW377" s="189"/>
      <c r="BX377" s="189"/>
      <c r="BY377" s="189"/>
      <c r="BZ377" s="189"/>
      <c r="CA377" s="189"/>
      <c r="CB377" s="189"/>
      <c r="CC377" s="189"/>
      <c r="CD377" s="189"/>
      <c r="CE377" s="189"/>
      <c r="CF377" s="189"/>
      <c r="CG377" s="189"/>
      <c r="CH377" s="189"/>
      <c r="CI377" s="189"/>
      <c r="CJ377" s="189"/>
      <c r="CK377" s="189"/>
      <c r="CL377" s="189"/>
      <c r="CM377" s="189"/>
      <c r="CN377" s="189"/>
      <c r="CO377" s="189"/>
      <c r="CP377" s="189"/>
      <c r="CQ377" s="189"/>
      <c r="CR377" s="189"/>
      <c r="CS377" s="189"/>
      <c r="CT377" s="189"/>
      <c r="CU377" s="189"/>
      <c r="CV377" s="189"/>
      <c r="CW377" s="189"/>
      <c r="CX377" s="189"/>
      <c r="CY377" s="189"/>
      <c r="CZ377" s="189"/>
      <c r="DA377" s="189"/>
      <c r="DB377" s="189"/>
      <c r="DC377" s="189"/>
      <c r="DD377" s="189"/>
      <c r="DE377" s="189"/>
      <c r="DF377" s="189"/>
      <c r="DG377" s="189"/>
      <c r="DH377" s="189"/>
      <c r="DI377" s="189"/>
      <c r="DJ377" s="189"/>
      <c r="DK377" s="189"/>
      <c r="DL377" s="189"/>
      <c r="DM377" s="189"/>
      <c r="DN377" s="189"/>
      <c r="DO377" s="189"/>
      <c r="DP377" s="189"/>
      <c r="DQ377" s="189"/>
      <c r="DR377" s="189"/>
      <c r="DS377" s="189"/>
      <c r="DT377" s="189"/>
      <c r="DU377" s="189"/>
      <c r="DV377" s="189"/>
      <c r="DW377" s="189"/>
      <c r="DX377" s="189"/>
      <c r="DY377" s="189"/>
      <c r="DZ377" s="189"/>
      <c r="EA377" s="189"/>
      <c r="EB377" s="189"/>
      <c r="EC377" s="189"/>
      <c r="ED377" s="189"/>
      <c r="EE377" s="189"/>
      <c r="EF377" s="189"/>
      <c r="EG377" s="189"/>
      <c r="EH377" s="189"/>
      <c r="EI377" s="189"/>
      <c r="EJ377" s="189"/>
      <c r="EK377" s="189"/>
      <c r="EL377" s="189"/>
      <c r="EM377" s="189"/>
      <c r="EN377" s="189"/>
      <c r="EO377" s="189"/>
      <c r="EP377" s="189"/>
      <c r="EQ377" s="189"/>
      <c r="ER377" s="189"/>
      <c r="ES377" s="189"/>
      <c r="ET377" s="189"/>
      <c r="EU377" s="189"/>
      <c r="EV377" s="189"/>
      <c r="EW377" s="189"/>
      <c r="EX377" s="189"/>
      <c r="EY377" s="189"/>
      <c r="EZ377" s="189"/>
      <c r="FA377" s="189"/>
      <c r="FB377" s="189"/>
      <c r="FC377" s="189"/>
      <c r="FD377" s="189"/>
      <c r="FE377" s="189"/>
      <c r="FF377" s="189"/>
      <c r="FG377" s="189"/>
      <c r="FH377" s="189"/>
      <c r="FI377" s="189"/>
      <c r="FJ377" s="189"/>
      <c r="FK377" s="189"/>
      <c r="FL377" s="189"/>
      <c r="FM377" s="189"/>
      <c r="FN377" s="189"/>
      <c r="FO377" s="189"/>
      <c r="FP377" s="189"/>
      <c r="FQ377" s="189"/>
      <c r="FR377" s="189"/>
      <c r="FS377" s="189"/>
      <c r="FT377" s="189"/>
      <c r="FU377" s="189"/>
      <c r="FV377" s="189"/>
      <c r="FW377" s="189"/>
      <c r="FX377" s="189"/>
      <c r="FY377" s="189"/>
      <c r="FZ377" s="189"/>
      <c r="GA377" s="189"/>
      <c r="GB377" s="189"/>
      <c r="GC377" s="189"/>
      <c r="GD377" s="189"/>
      <c r="GE377" s="189"/>
      <c r="GF377" s="189"/>
      <c r="GG377" s="189"/>
      <c r="GH377" s="189"/>
      <c r="GI377" s="189"/>
      <c r="GJ377" s="189"/>
      <c r="GK377" s="189"/>
      <c r="GL377" s="189"/>
      <c r="GM377" s="189"/>
      <c r="GN377" s="189"/>
      <c r="GO377" s="189"/>
      <c r="GP377" s="189"/>
      <c r="GQ377" s="189"/>
      <c r="GR377" s="189"/>
      <c r="GS377" s="189"/>
      <c r="GT377" s="189"/>
      <c r="GU377" s="189"/>
      <c r="GV377" s="189"/>
      <c r="GW377" s="189"/>
      <c r="GX377" s="189"/>
      <c r="GY377" s="189"/>
      <c r="GZ377" s="189"/>
      <c r="HA377" s="189"/>
      <c r="HB377" s="189"/>
      <c r="HC377" s="189"/>
      <c r="HD377" s="189"/>
      <c r="HE377" s="189"/>
      <c r="HF377" s="189"/>
      <c r="HG377" s="189"/>
      <c r="HH377" s="189"/>
      <c r="HI377" s="189"/>
      <c r="HJ377" s="189"/>
      <c r="HK377" s="189"/>
      <c r="HL377" s="189"/>
      <c r="HM377" s="189"/>
      <c r="HN377" s="189"/>
      <c r="HO377" s="189"/>
      <c r="HP377" s="189"/>
      <c r="HQ377" s="189"/>
      <c r="HR377" s="189"/>
      <c r="HS377" s="189"/>
      <c r="HT377" s="189"/>
      <c r="HU377" s="189"/>
      <c r="HV377" s="189"/>
      <c r="HW377" s="189"/>
      <c r="HX377" s="189"/>
      <c r="HY377" s="189"/>
      <c r="HZ377" s="189"/>
      <c r="IA377" s="189"/>
      <c r="IB377" s="189"/>
      <c r="IC377" s="189"/>
      <c r="ID377" s="189"/>
      <c r="IE377" s="189"/>
      <c r="IF377" s="189"/>
      <c r="IG377" s="189"/>
      <c r="IH377" s="189"/>
      <c r="II377" s="189"/>
      <c r="IJ377" s="189"/>
      <c r="IK377" s="189"/>
      <c r="IL377" s="189"/>
      <c r="IM377" s="189"/>
      <c r="IN377" s="189"/>
      <c r="IO377" s="189"/>
      <c r="IP377" s="189"/>
      <c r="IQ377" s="189"/>
      <c r="IR377" s="189"/>
      <c r="IS377" s="189"/>
      <c r="IT377" s="189"/>
      <c r="IU377" s="189"/>
      <c r="IV377" s="189"/>
    </row>
    <row r="378" spans="1:256" ht="15">
      <c r="A378" s="836"/>
      <c r="B378" s="839"/>
      <c r="C378" s="196" t="s">
        <v>1</v>
      </c>
      <c r="D378" s="191">
        <f>D384+D387+D390+D393+D396+D399+D402+D408+D405+D381</f>
        <v>13213044</v>
      </c>
      <c r="E378" s="175">
        <f>E384+E387+E390+E393+E396+E399+E402+E408+E405+E381</f>
        <v>6559340</v>
      </c>
      <c r="F378" s="175">
        <f t="shared" si="160"/>
        <v>4500000</v>
      </c>
      <c r="G378" s="175">
        <f t="shared" si="160"/>
        <v>0</v>
      </c>
      <c r="H378" s="175">
        <f t="shared" si="160"/>
        <v>4500000</v>
      </c>
      <c r="I378" s="175">
        <f t="shared" si="160"/>
        <v>2059340</v>
      </c>
      <c r="J378" s="175">
        <f t="shared" si="160"/>
        <v>0</v>
      </c>
      <c r="K378" s="175">
        <f t="shared" si="160"/>
        <v>0</v>
      </c>
      <c r="L378" s="175">
        <f t="shared" si="160"/>
        <v>0</v>
      </c>
      <c r="M378" s="175">
        <f t="shared" si="160"/>
        <v>6653704</v>
      </c>
      <c r="N378" s="175">
        <f t="shared" si="160"/>
        <v>6653704</v>
      </c>
      <c r="O378" s="175">
        <f t="shared" si="160"/>
        <v>0</v>
      </c>
      <c r="P378" s="175">
        <f t="shared" si="160"/>
        <v>0</v>
      </c>
      <c r="Q378" s="188"/>
      <c r="R378" s="188"/>
      <c r="S378" s="188"/>
      <c r="T378" s="188"/>
      <c r="U378" s="188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189"/>
      <c r="AT378" s="189"/>
      <c r="AU378" s="189"/>
      <c r="AV378" s="189"/>
      <c r="AW378" s="189"/>
      <c r="AX378" s="189"/>
      <c r="AY378" s="189"/>
      <c r="AZ378" s="189"/>
      <c r="BA378" s="189"/>
      <c r="BB378" s="189"/>
      <c r="BC378" s="189"/>
      <c r="BD378" s="189"/>
      <c r="BE378" s="189"/>
      <c r="BF378" s="189"/>
      <c r="BG378" s="189"/>
      <c r="BH378" s="189"/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89"/>
      <c r="BW378" s="189"/>
      <c r="BX378" s="189"/>
      <c r="BY378" s="189"/>
      <c r="BZ378" s="189"/>
      <c r="CA378" s="189"/>
      <c r="CB378" s="189"/>
      <c r="CC378" s="189"/>
      <c r="CD378" s="189"/>
      <c r="CE378" s="189"/>
      <c r="CF378" s="189"/>
      <c r="CG378" s="189"/>
      <c r="CH378" s="189"/>
      <c r="CI378" s="189"/>
      <c r="CJ378" s="189"/>
      <c r="CK378" s="189"/>
      <c r="CL378" s="189"/>
      <c r="CM378" s="189"/>
      <c r="CN378" s="189"/>
      <c r="CO378" s="189"/>
      <c r="CP378" s="189"/>
      <c r="CQ378" s="189"/>
      <c r="CR378" s="189"/>
      <c r="CS378" s="189"/>
      <c r="CT378" s="189"/>
      <c r="CU378" s="189"/>
      <c r="CV378" s="189"/>
      <c r="CW378" s="189"/>
      <c r="CX378" s="189"/>
      <c r="CY378" s="189"/>
      <c r="CZ378" s="189"/>
      <c r="DA378" s="189"/>
      <c r="DB378" s="189"/>
      <c r="DC378" s="189"/>
      <c r="DD378" s="189"/>
      <c r="DE378" s="189"/>
      <c r="DF378" s="189"/>
      <c r="DG378" s="189"/>
      <c r="DH378" s="189"/>
      <c r="DI378" s="189"/>
      <c r="DJ378" s="189"/>
      <c r="DK378" s="189"/>
      <c r="DL378" s="189"/>
      <c r="DM378" s="189"/>
      <c r="DN378" s="189"/>
      <c r="DO378" s="189"/>
      <c r="DP378" s="189"/>
      <c r="DQ378" s="189"/>
      <c r="DR378" s="189"/>
      <c r="DS378" s="189"/>
      <c r="DT378" s="189"/>
      <c r="DU378" s="189"/>
      <c r="DV378" s="189"/>
      <c r="DW378" s="189"/>
      <c r="DX378" s="189"/>
      <c r="DY378" s="189"/>
      <c r="DZ378" s="189"/>
      <c r="EA378" s="189"/>
      <c r="EB378" s="189"/>
      <c r="EC378" s="189"/>
      <c r="ED378" s="189"/>
      <c r="EE378" s="189"/>
      <c r="EF378" s="189"/>
      <c r="EG378" s="189"/>
      <c r="EH378" s="189"/>
      <c r="EI378" s="189"/>
      <c r="EJ378" s="189"/>
      <c r="EK378" s="189"/>
      <c r="EL378" s="189"/>
      <c r="EM378" s="189"/>
      <c r="EN378" s="189"/>
      <c r="EO378" s="189"/>
      <c r="EP378" s="189"/>
      <c r="EQ378" s="189"/>
      <c r="ER378" s="189"/>
      <c r="ES378" s="189"/>
      <c r="ET378" s="189"/>
      <c r="EU378" s="189"/>
      <c r="EV378" s="189"/>
      <c r="EW378" s="189"/>
      <c r="EX378" s="189"/>
      <c r="EY378" s="189"/>
      <c r="EZ378" s="189"/>
      <c r="FA378" s="189"/>
      <c r="FB378" s="189"/>
      <c r="FC378" s="189"/>
      <c r="FD378" s="189"/>
      <c r="FE378" s="189"/>
      <c r="FF378" s="189"/>
      <c r="FG378" s="189"/>
      <c r="FH378" s="189"/>
      <c r="FI378" s="189"/>
      <c r="FJ378" s="189"/>
      <c r="FK378" s="189"/>
      <c r="FL378" s="189"/>
      <c r="FM378" s="189"/>
      <c r="FN378" s="189"/>
      <c r="FO378" s="189"/>
      <c r="FP378" s="189"/>
      <c r="FQ378" s="189"/>
      <c r="FR378" s="189"/>
      <c r="FS378" s="189"/>
      <c r="FT378" s="189"/>
      <c r="FU378" s="189"/>
      <c r="FV378" s="189"/>
      <c r="FW378" s="189"/>
      <c r="FX378" s="189"/>
      <c r="FY378" s="189"/>
      <c r="FZ378" s="189"/>
      <c r="GA378" s="189"/>
      <c r="GB378" s="189"/>
      <c r="GC378" s="189"/>
      <c r="GD378" s="189"/>
      <c r="GE378" s="189"/>
      <c r="GF378" s="189"/>
      <c r="GG378" s="189"/>
      <c r="GH378" s="189"/>
      <c r="GI378" s="189"/>
      <c r="GJ378" s="189"/>
      <c r="GK378" s="189"/>
      <c r="GL378" s="189"/>
      <c r="GM378" s="189"/>
      <c r="GN378" s="189"/>
      <c r="GO378" s="189"/>
      <c r="GP378" s="189"/>
      <c r="GQ378" s="189"/>
      <c r="GR378" s="189"/>
      <c r="GS378" s="189"/>
      <c r="GT378" s="189"/>
      <c r="GU378" s="189"/>
      <c r="GV378" s="189"/>
      <c r="GW378" s="189"/>
      <c r="GX378" s="189"/>
      <c r="GY378" s="189"/>
      <c r="GZ378" s="189"/>
      <c r="HA378" s="189"/>
      <c r="HB378" s="189"/>
      <c r="HC378" s="189"/>
      <c r="HD378" s="189"/>
      <c r="HE378" s="189"/>
      <c r="HF378" s="189"/>
      <c r="HG378" s="189"/>
      <c r="HH378" s="189"/>
      <c r="HI378" s="189"/>
      <c r="HJ378" s="189"/>
      <c r="HK378" s="189"/>
      <c r="HL378" s="189"/>
      <c r="HM378" s="189"/>
      <c r="HN378" s="189"/>
      <c r="HO378" s="189"/>
      <c r="HP378" s="189"/>
      <c r="HQ378" s="189"/>
      <c r="HR378" s="189"/>
      <c r="HS378" s="189"/>
      <c r="HT378" s="189"/>
      <c r="HU378" s="189"/>
      <c r="HV378" s="189"/>
      <c r="HW378" s="189"/>
      <c r="HX378" s="189"/>
      <c r="HY378" s="189"/>
      <c r="HZ378" s="189"/>
      <c r="IA378" s="189"/>
      <c r="IB378" s="189"/>
      <c r="IC378" s="189"/>
      <c r="ID378" s="189"/>
      <c r="IE378" s="189"/>
      <c r="IF378" s="189"/>
      <c r="IG378" s="189"/>
      <c r="IH378" s="189"/>
      <c r="II378" s="189"/>
      <c r="IJ378" s="189"/>
      <c r="IK378" s="189"/>
      <c r="IL378" s="189"/>
      <c r="IM378" s="189"/>
      <c r="IN378" s="189"/>
      <c r="IO378" s="189"/>
      <c r="IP378" s="189"/>
      <c r="IQ378" s="189"/>
      <c r="IR378" s="189"/>
      <c r="IS378" s="189"/>
      <c r="IT378" s="189"/>
      <c r="IU378" s="189"/>
      <c r="IV378" s="189"/>
    </row>
    <row r="379" spans="1:256" ht="15">
      <c r="A379" s="837"/>
      <c r="B379" s="840"/>
      <c r="C379" s="196" t="s">
        <v>2</v>
      </c>
      <c r="D379" s="191">
        <f>D377+D378</f>
        <v>290262867</v>
      </c>
      <c r="E379" s="175">
        <f t="shared" ref="E379:P379" si="161">E377+E378</f>
        <v>172110938</v>
      </c>
      <c r="F379" s="175">
        <f t="shared" si="161"/>
        <v>14525000</v>
      </c>
      <c r="G379" s="175">
        <f t="shared" si="161"/>
        <v>154000</v>
      </c>
      <c r="H379" s="175">
        <f t="shared" si="161"/>
        <v>14371000</v>
      </c>
      <c r="I379" s="175">
        <f t="shared" si="161"/>
        <v>156945605</v>
      </c>
      <c r="J379" s="175">
        <f t="shared" si="161"/>
        <v>450000</v>
      </c>
      <c r="K379" s="175">
        <f t="shared" si="161"/>
        <v>190333</v>
      </c>
      <c r="L379" s="175">
        <f t="shared" si="161"/>
        <v>0</v>
      </c>
      <c r="M379" s="175">
        <f t="shared" si="161"/>
        <v>118151929</v>
      </c>
      <c r="N379" s="175">
        <f t="shared" si="161"/>
        <v>118151929</v>
      </c>
      <c r="O379" s="175">
        <f t="shared" si="161"/>
        <v>0</v>
      </c>
      <c r="P379" s="175">
        <f t="shared" si="161"/>
        <v>0</v>
      </c>
      <c r="Q379" s="188"/>
      <c r="R379" s="188"/>
      <c r="S379" s="188"/>
      <c r="T379" s="188"/>
      <c r="U379" s="188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  <c r="FF379" s="189"/>
      <c r="FG379" s="189"/>
      <c r="FH379" s="189"/>
      <c r="FI379" s="189"/>
      <c r="FJ379" s="189"/>
      <c r="FK379" s="189"/>
      <c r="FL379" s="189"/>
      <c r="FM379" s="189"/>
      <c r="FN379" s="189"/>
      <c r="FO379" s="189"/>
      <c r="FP379" s="189"/>
      <c r="FQ379" s="189"/>
      <c r="FR379" s="189"/>
      <c r="FS379" s="189"/>
      <c r="FT379" s="189"/>
      <c r="FU379" s="189"/>
      <c r="FV379" s="189"/>
      <c r="FW379" s="189"/>
      <c r="FX379" s="189"/>
      <c r="FY379" s="189"/>
      <c r="FZ379" s="189"/>
      <c r="GA379" s="189"/>
      <c r="GB379" s="189"/>
      <c r="GC379" s="189"/>
      <c r="GD379" s="189"/>
      <c r="GE379" s="189"/>
      <c r="GF379" s="189"/>
      <c r="GG379" s="189"/>
      <c r="GH379" s="189"/>
      <c r="GI379" s="189"/>
      <c r="GJ379" s="189"/>
      <c r="GK379" s="189"/>
      <c r="GL379" s="189"/>
      <c r="GM379" s="189"/>
      <c r="GN379" s="189"/>
      <c r="GO379" s="189"/>
      <c r="GP379" s="189"/>
      <c r="GQ379" s="189"/>
      <c r="GR379" s="189"/>
      <c r="GS379" s="189"/>
      <c r="GT379" s="189"/>
      <c r="GU379" s="189"/>
      <c r="GV379" s="189"/>
      <c r="GW379" s="189"/>
      <c r="GX379" s="189"/>
      <c r="GY379" s="189"/>
      <c r="GZ379" s="189"/>
      <c r="HA379" s="189"/>
      <c r="HB379" s="189"/>
      <c r="HC379" s="189"/>
      <c r="HD379" s="189"/>
      <c r="HE379" s="189"/>
      <c r="HF379" s="189"/>
      <c r="HG379" s="189"/>
      <c r="HH379" s="189"/>
      <c r="HI379" s="189"/>
      <c r="HJ379" s="189"/>
      <c r="HK379" s="189"/>
      <c r="HL379" s="189"/>
      <c r="HM379" s="189"/>
      <c r="HN379" s="189"/>
      <c r="HO379" s="189"/>
      <c r="HP379" s="189"/>
      <c r="HQ379" s="189"/>
      <c r="HR379" s="189"/>
      <c r="HS379" s="189"/>
      <c r="HT379" s="189"/>
      <c r="HU379" s="189"/>
      <c r="HV379" s="189"/>
      <c r="HW379" s="189"/>
      <c r="HX379" s="189"/>
      <c r="HY379" s="189"/>
      <c r="HZ379" s="189"/>
      <c r="IA379" s="189"/>
      <c r="IB379" s="189"/>
      <c r="IC379" s="189"/>
      <c r="ID379" s="189"/>
      <c r="IE379" s="189"/>
      <c r="IF379" s="189"/>
      <c r="IG379" s="189"/>
      <c r="IH379" s="189"/>
      <c r="II379" s="189"/>
      <c r="IJ379" s="189"/>
      <c r="IK379" s="189"/>
      <c r="IL379" s="189"/>
      <c r="IM379" s="189"/>
      <c r="IN379" s="189"/>
      <c r="IO379" s="189"/>
      <c r="IP379" s="189"/>
      <c r="IQ379" s="189"/>
      <c r="IR379" s="189"/>
      <c r="IS379" s="189"/>
      <c r="IT379" s="189"/>
      <c r="IU379" s="189"/>
      <c r="IV379" s="189"/>
    </row>
    <row r="380" spans="1:256" hidden="1">
      <c r="A380" s="841">
        <v>92105</v>
      </c>
      <c r="B380" s="844" t="s">
        <v>318</v>
      </c>
      <c r="C380" s="178" t="s">
        <v>0</v>
      </c>
      <c r="D380" s="180">
        <f>E380+M380</f>
        <v>470000</v>
      </c>
      <c r="E380" s="181">
        <f>F380+I380+J380+K380+L380</f>
        <v>470000</v>
      </c>
      <c r="F380" s="181">
        <f>G380+H380</f>
        <v>0</v>
      </c>
      <c r="G380" s="181">
        <v>0</v>
      </c>
      <c r="H380" s="181">
        <v>0</v>
      </c>
      <c r="I380" s="181">
        <v>470000</v>
      </c>
      <c r="J380" s="181">
        <v>0</v>
      </c>
      <c r="K380" s="181">
        <v>0</v>
      </c>
      <c r="L380" s="181">
        <v>0</v>
      </c>
      <c r="M380" s="181">
        <f>N380+P380</f>
        <v>0</v>
      </c>
      <c r="N380" s="181">
        <v>0</v>
      </c>
      <c r="O380" s="181">
        <v>0</v>
      </c>
      <c r="P380" s="181">
        <v>0</v>
      </c>
      <c r="Q380" s="182"/>
      <c r="R380" s="182"/>
      <c r="S380" s="182"/>
      <c r="T380" s="182"/>
      <c r="U380" s="182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48"/>
      <c r="CC380" s="148"/>
      <c r="CD380" s="148"/>
      <c r="CE380" s="148"/>
      <c r="CF380" s="148"/>
      <c r="CG380" s="148"/>
      <c r="CH380" s="148"/>
      <c r="CI380" s="148"/>
      <c r="CJ380" s="148"/>
      <c r="CK380" s="148"/>
      <c r="CL380" s="148"/>
      <c r="CM380" s="148"/>
      <c r="CN380" s="148"/>
      <c r="CO380" s="148"/>
      <c r="CP380" s="148"/>
      <c r="CQ380" s="148"/>
      <c r="CR380" s="148"/>
      <c r="CS380" s="148"/>
      <c r="CT380" s="148"/>
      <c r="CU380" s="148"/>
      <c r="CV380" s="148"/>
      <c r="CW380" s="148"/>
      <c r="CX380" s="148"/>
      <c r="CY380" s="148"/>
      <c r="CZ380" s="148"/>
      <c r="DA380" s="148"/>
      <c r="DB380" s="148"/>
      <c r="DC380" s="148"/>
      <c r="DD380" s="148"/>
      <c r="DE380" s="148"/>
      <c r="DF380" s="148"/>
      <c r="DG380" s="148"/>
      <c r="DH380" s="148"/>
      <c r="DI380" s="148"/>
      <c r="DJ380" s="148"/>
      <c r="DK380" s="148"/>
      <c r="DL380" s="148"/>
      <c r="DM380" s="148"/>
      <c r="DN380" s="148"/>
      <c r="DO380" s="148"/>
      <c r="DP380" s="148"/>
      <c r="DQ380" s="148"/>
      <c r="DR380" s="148"/>
      <c r="DS380" s="148"/>
      <c r="DT380" s="148"/>
      <c r="DU380" s="148"/>
      <c r="DV380" s="148"/>
      <c r="DW380" s="148"/>
      <c r="DX380" s="148"/>
      <c r="DY380" s="148"/>
      <c r="DZ380" s="148"/>
      <c r="EA380" s="148"/>
      <c r="EB380" s="148"/>
      <c r="EC380" s="148"/>
      <c r="ED380" s="148"/>
      <c r="EE380" s="148"/>
      <c r="EF380" s="148"/>
      <c r="EG380" s="148"/>
      <c r="EH380" s="148"/>
      <c r="EI380" s="148"/>
      <c r="EJ380" s="148"/>
      <c r="EK380" s="148"/>
      <c r="EL380" s="148"/>
      <c r="EM380" s="148"/>
      <c r="EN380" s="148"/>
      <c r="EO380" s="148"/>
      <c r="EP380" s="148"/>
      <c r="EQ380" s="148"/>
      <c r="ER380" s="148"/>
      <c r="ES380" s="148"/>
      <c r="ET380" s="148"/>
      <c r="EU380" s="148"/>
      <c r="EV380" s="148"/>
      <c r="EW380" s="148"/>
      <c r="EX380" s="148"/>
      <c r="EY380" s="148"/>
      <c r="EZ380" s="148"/>
      <c r="FA380" s="148"/>
      <c r="FB380" s="148"/>
      <c r="FC380" s="148"/>
      <c r="FD380" s="148"/>
      <c r="FE380" s="148"/>
      <c r="FF380" s="148"/>
      <c r="FG380" s="148"/>
      <c r="FH380" s="148"/>
      <c r="FI380" s="148"/>
      <c r="FJ380" s="148"/>
      <c r="FK380" s="148"/>
      <c r="FL380" s="148"/>
      <c r="FM380" s="148"/>
      <c r="FN380" s="148"/>
      <c r="FO380" s="148"/>
      <c r="FP380" s="148"/>
      <c r="FQ380" s="148"/>
      <c r="FR380" s="148"/>
      <c r="FS380" s="148"/>
      <c r="FT380" s="148"/>
      <c r="FU380" s="148"/>
      <c r="FV380" s="148"/>
      <c r="FW380" s="148"/>
      <c r="FX380" s="148"/>
      <c r="FY380" s="148"/>
      <c r="FZ380" s="148"/>
      <c r="GA380" s="148"/>
      <c r="GB380" s="148"/>
      <c r="GC380" s="148"/>
      <c r="GD380" s="148"/>
      <c r="GE380" s="148"/>
      <c r="GF380" s="148"/>
      <c r="GG380" s="148"/>
      <c r="GH380" s="148"/>
      <c r="GI380" s="148"/>
      <c r="GJ380" s="148"/>
      <c r="GK380" s="148"/>
      <c r="GL380" s="148"/>
      <c r="GM380" s="148"/>
      <c r="GN380" s="148"/>
      <c r="GO380" s="148"/>
      <c r="GP380" s="148"/>
      <c r="GQ380" s="148"/>
      <c r="GR380" s="148"/>
      <c r="GS380" s="148"/>
      <c r="GT380" s="148"/>
      <c r="GU380" s="148"/>
      <c r="GV380" s="148"/>
      <c r="GW380" s="148"/>
      <c r="GX380" s="148"/>
      <c r="GY380" s="148"/>
      <c r="GZ380" s="148"/>
      <c r="HA380" s="148"/>
      <c r="HB380" s="148"/>
      <c r="HC380" s="148"/>
      <c r="HD380" s="148"/>
      <c r="HE380" s="148"/>
      <c r="HF380" s="148"/>
      <c r="HG380" s="148"/>
      <c r="HH380" s="148"/>
      <c r="HI380" s="148"/>
      <c r="HJ380" s="148"/>
      <c r="HK380" s="148"/>
      <c r="HL380" s="148"/>
      <c r="HM380" s="148"/>
      <c r="HN380" s="148"/>
      <c r="HO380" s="148"/>
      <c r="HP380" s="148"/>
      <c r="HQ380" s="148"/>
      <c r="HR380" s="148"/>
      <c r="HS380" s="148"/>
      <c r="HT380" s="148"/>
      <c r="HU380" s="148"/>
      <c r="HV380" s="148"/>
      <c r="HW380" s="148"/>
      <c r="HX380" s="148"/>
      <c r="HY380" s="148"/>
      <c r="HZ380" s="148"/>
      <c r="IA380" s="148"/>
      <c r="IB380" s="148"/>
      <c r="IC380" s="148"/>
      <c r="ID380" s="148"/>
      <c r="IE380" s="148"/>
      <c r="IF380" s="148"/>
      <c r="IG380" s="148"/>
      <c r="IH380" s="148"/>
      <c r="II380" s="148"/>
      <c r="IJ380" s="148"/>
      <c r="IK380" s="148"/>
      <c r="IL380" s="148"/>
      <c r="IM380" s="148"/>
      <c r="IN380" s="148"/>
      <c r="IO380" s="148"/>
      <c r="IP380" s="148"/>
      <c r="IQ380" s="148"/>
      <c r="IR380" s="148"/>
      <c r="IS380" s="148"/>
      <c r="IT380" s="148"/>
      <c r="IU380" s="148"/>
      <c r="IV380" s="148"/>
    </row>
    <row r="381" spans="1:256" hidden="1">
      <c r="A381" s="842"/>
      <c r="B381" s="845"/>
      <c r="C381" s="178" t="s">
        <v>1</v>
      </c>
      <c r="D381" s="180">
        <f>E381+M381</f>
        <v>0</v>
      </c>
      <c r="E381" s="181">
        <f>F381+I381+J381+K381+L381</f>
        <v>0</v>
      </c>
      <c r="F381" s="181">
        <f>G381+H381</f>
        <v>0</v>
      </c>
      <c r="G381" s="181"/>
      <c r="H381" s="181"/>
      <c r="I381" s="181"/>
      <c r="J381" s="181"/>
      <c r="K381" s="181"/>
      <c r="L381" s="181"/>
      <c r="M381" s="181">
        <f>N381+P381</f>
        <v>0</v>
      </c>
      <c r="N381" s="181"/>
      <c r="O381" s="181"/>
      <c r="P381" s="181"/>
      <c r="Q381" s="182"/>
      <c r="R381" s="182"/>
      <c r="S381" s="182"/>
      <c r="T381" s="182"/>
      <c r="U381" s="182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48"/>
      <c r="CC381" s="148"/>
      <c r="CD381" s="148"/>
      <c r="CE381" s="148"/>
      <c r="CF381" s="148"/>
      <c r="CG381" s="148"/>
      <c r="CH381" s="148"/>
      <c r="CI381" s="148"/>
      <c r="CJ381" s="148"/>
      <c r="CK381" s="148"/>
      <c r="CL381" s="148"/>
      <c r="CM381" s="148"/>
      <c r="CN381" s="148"/>
      <c r="CO381" s="148"/>
      <c r="CP381" s="148"/>
      <c r="CQ381" s="148"/>
      <c r="CR381" s="148"/>
      <c r="CS381" s="148"/>
      <c r="CT381" s="148"/>
      <c r="CU381" s="148"/>
      <c r="CV381" s="148"/>
      <c r="CW381" s="148"/>
      <c r="CX381" s="148"/>
      <c r="CY381" s="148"/>
      <c r="CZ381" s="148"/>
      <c r="DA381" s="148"/>
      <c r="DB381" s="148"/>
      <c r="DC381" s="148"/>
      <c r="DD381" s="148"/>
      <c r="DE381" s="148"/>
      <c r="DF381" s="148"/>
      <c r="DG381" s="148"/>
      <c r="DH381" s="148"/>
      <c r="DI381" s="148"/>
      <c r="DJ381" s="148"/>
      <c r="DK381" s="148"/>
      <c r="DL381" s="148"/>
      <c r="DM381" s="148"/>
      <c r="DN381" s="148"/>
      <c r="DO381" s="148"/>
      <c r="DP381" s="148"/>
      <c r="DQ381" s="148"/>
      <c r="DR381" s="148"/>
      <c r="DS381" s="148"/>
      <c r="DT381" s="148"/>
      <c r="DU381" s="148"/>
      <c r="DV381" s="148"/>
      <c r="DW381" s="148"/>
      <c r="DX381" s="148"/>
      <c r="DY381" s="148"/>
      <c r="DZ381" s="148"/>
      <c r="EA381" s="148"/>
      <c r="EB381" s="148"/>
      <c r="EC381" s="148"/>
      <c r="ED381" s="148"/>
      <c r="EE381" s="148"/>
      <c r="EF381" s="148"/>
      <c r="EG381" s="148"/>
      <c r="EH381" s="148"/>
      <c r="EI381" s="148"/>
      <c r="EJ381" s="148"/>
      <c r="EK381" s="148"/>
      <c r="EL381" s="148"/>
      <c r="EM381" s="148"/>
      <c r="EN381" s="148"/>
      <c r="EO381" s="148"/>
      <c r="EP381" s="148"/>
      <c r="EQ381" s="148"/>
      <c r="ER381" s="148"/>
      <c r="ES381" s="148"/>
      <c r="ET381" s="148"/>
      <c r="EU381" s="148"/>
      <c r="EV381" s="148"/>
      <c r="EW381" s="148"/>
      <c r="EX381" s="148"/>
      <c r="EY381" s="148"/>
      <c r="EZ381" s="148"/>
      <c r="FA381" s="148"/>
      <c r="FB381" s="148"/>
      <c r="FC381" s="148"/>
      <c r="FD381" s="148"/>
      <c r="FE381" s="148"/>
      <c r="FF381" s="148"/>
      <c r="FG381" s="148"/>
      <c r="FH381" s="148"/>
      <c r="FI381" s="148"/>
      <c r="FJ381" s="148"/>
      <c r="FK381" s="148"/>
      <c r="FL381" s="148"/>
      <c r="FM381" s="148"/>
      <c r="FN381" s="148"/>
      <c r="FO381" s="148"/>
      <c r="FP381" s="148"/>
      <c r="FQ381" s="148"/>
      <c r="FR381" s="148"/>
      <c r="FS381" s="148"/>
      <c r="FT381" s="148"/>
      <c r="FU381" s="148"/>
      <c r="FV381" s="148"/>
      <c r="FW381" s="148"/>
      <c r="FX381" s="148"/>
      <c r="FY381" s="148"/>
      <c r="FZ381" s="148"/>
      <c r="GA381" s="148"/>
      <c r="GB381" s="148"/>
      <c r="GC381" s="148"/>
      <c r="GD381" s="148"/>
      <c r="GE381" s="148"/>
      <c r="GF381" s="148"/>
      <c r="GG381" s="148"/>
      <c r="GH381" s="148"/>
      <c r="GI381" s="148"/>
      <c r="GJ381" s="148"/>
      <c r="GK381" s="148"/>
      <c r="GL381" s="148"/>
      <c r="GM381" s="148"/>
      <c r="GN381" s="148"/>
      <c r="GO381" s="148"/>
      <c r="GP381" s="148"/>
      <c r="GQ381" s="148"/>
      <c r="GR381" s="148"/>
      <c r="GS381" s="148"/>
      <c r="GT381" s="148"/>
      <c r="GU381" s="148"/>
      <c r="GV381" s="148"/>
      <c r="GW381" s="148"/>
      <c r="GX381" s="148"/>
      <c r="GY381" s="148"/>
      <c r="GZ381" s="148"/>
      <c r="HA381" s="148"/>
      <c r="HB381" s="148"/>
      <c r="HC381" s="148"/>
      <c r="HD381" s="148"/>
      <c r="HE381" s="148"/>
      <c r="HF381" s="148"/>
      <c r="HG381" s="148"/>
      <c r="HH381" s="148"/>
      <c r="HI381" s="148"/>
      <c r="HJ381" s="148"/>
      <c r="HK381" s="148"/>
      <c r="HL381" s="148"/>
      <c r="HM381" s="148"/>
      <c r="HN381" s="148"/>
      <c r="HO381" s="148"/>
      <c r="HP381" s="148"/>
      <c r="HQ381" s="148"/>
      <c r="HR381" s="148"/>
      <c r="HS381" s="148"/>
      <c r="HT381" s="148"/>
      <c r="HU381" s="148"/>
      <c r="HV381" s="148"/>
      <c r="HW381" s="148"/>
      <c r="HX381" s="148"/>
      <c r="HY381" s="148"/>
      <c r="HZ381" s="148"/>
      <c r="IA381" s="148"/>
      <c r="IB381" s="148"/>
      <c r="IC381" s="148"/>
      <c r="ID381" s="148"/>
      <c r="IE381" s="148"/>
      <c r="IF381" s="148"/>
      <c r="IG381" s="148"/>
      <c r="IH381" s="148"/>
      <c r="II381" s="148"/>
      <c r="IJ381" s="148"/>
      <c r="IK381" s="148"/>
      <c r="IL381" s="148"/>
      <c r="IM381" s="148"/>
      <c r="IN381" s="148"/>
      <c r="IO381" s="148"/>
      <c r="IP381" s="148"/>
      <c r="IQ381" s="148"/>
      <c r="IR381" s="148"/>
      <c r="IS381" s="148"/>
      <c r="IT381" s="148"/>
      <c r="IU381" s="148"/>
      <c r="IV381" s="148"/>
    </row>
    <row r="382" spans="1:256" hidden="1">
      <c r="A382" s="843"/>
      <c r="B382" s="846"/>
      <c r="C382" s="178" t="s">
        <v>2</v>
      </c>
      <c r="D382" s="180">
        <f>D380+D381</f>
        <v>470000</v>
      </c>
      <c r="E382" s="181">
        <f t="shared" ref="E382:P382" si="162">E380+E381</f>
        <v>470000</v>
      </c>
      <c r="F382" s="181">
        <f t="shared" si="162"/>
        <v>0</v>
      </c>
      <c r="G382" s="181">
        <f t="shared" si="162"/>
        <v>0</v>
      </c>
      <c r="H382" s="181">
        <f t="shared" si="162"/>
        <v>0</v>
      </c>
      <c r="I382" s="181">
        <f t="shared" si="162"/>
        <v>470000</v>
      </c>
      <c r="J382" s="181">
        <f t="shared" si="162"/>
        <v>0</v>
      </c>
      <c r="K382" s="181">
        <f t="shared" si="162"/>
        <v>0</v>
      </c>
      <c r="L382" s="181">
        <f t="shared" si="162"/>
        <v>0</v>
      </c>
      <c r="M382" s="181">
        <f t="shared" si="162"/>
        <v>0</v>
      </c>
      <c r="N382" s="181">
        <f t="shared" si="162"/>
        <v>0</v>
      </c>
      <c r="O382" s="181">
        <f t="shared" si="162"/>
        <v>0</v>
      </c>
      <c r="P382" s="181">
        <f t="shared" si="162"/>
        <v>0</v>
      </c>
      <c r="Q382" s="182"/>
      <c r="R382" s="182"/>
      <c r="S382" s="182"/>
      <c r="T382" s="182"/>
      <c r="U382" s="182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48"/>
      <c r="CC382" s="148"/>
      <c r="CD382" s="148"/>
      <c r="CE382" s="148"/>
      <c r="CF382" s="148"/>
      <c r="CG382" s="148"/>
      <c r="CH382" s="148"/>
      <c r="CI382" s="148"/>
      <c r="CJ382" s="148"/>
      <c r="CK382" s="148"/>
      <c r="CL382" s="148"/>
      <c r="CM382" s="148"/>
      <c r="CN382" s="148"/>
      <c r="CO382" s="148"/>
      <c r="CP382" s="148"/>
      <c r="CQ382" s="148"/>
      <c r="CR382" s="148"/>
      <c r="CS382" s="148"/>
      <c r="CT382" s="148"/>
      <c r="CU382" s="148"/>
      <c r="CV382" s="148"/>
      <c r="CW382" s="148"/>
      <c r="CX382" s="148"/>
      <c r="CY382" s="148"/>
      <c r="CZ382" s="148"/>
      <c r="DA382" s="148"/>
      <c r="DB382" s="148"/>
      <c r="DC382" s="148"/>
      <c r="DD382" s="148"/>
      <c r="DE382" s="148"/>
      <c r="DF382" s="148"/>
      <c r="DG382" s="148"/>
      <c r="DH382" s="148"/>
      <c r="DI382" s="148"/>
      <c r="DJ382" s="148"/>
      <c r="DK382" s="148"/>
      <c r="DL382" s="148"/>
      <c r="DM382" s="148"/>
      <c r="DN382" s="148"/>
      <c r="DO382" s="148"/>
      <c r="DP382" s="148"/>
      <c r="DQ382" s="148"/>
      <c r="DR382" s="148"/>
      <c r="DS382" s="148"/>
      <c r="DT382" s="148"/>
      <c r="DU382" s="148"/>
      <c r="DV382" s="148"/>
      <c r="DW382" s="148"/>
      <c r="DX382" s="148"/>
      <c r="DY382" s="148"/>
      <c r="DZ382" s="148"/>
      <c r="EA382" s="148"/>
      <c r="EB382" s="148"/>
      <c r="EC382" s="148"/>
      <c r="ED382" s="148"/>
      <c r="EE382" s="148"/>
      <c r="EF382" s="148"/>
      <c r="EG382" s="148"/>
      <c r="EH382" s="148"/>
      <c r="EI382" s="148"/>
      <c r="EJ382" s="148"/>
      <c r="EK382" s="148"/>
      <c r="EL382" s="148"/>
      <c r="EM382" s="148"/>
      <c r="EN382" s="148"/>
      <c r="EO382" s="148"/>
      <c r="EP382" s="148"/>
      <c r="EQ382" s="148"/>
      <c r="ER382" s="148"/>
      <c r="ES382" s="148"/>
      <c r="ET382" s="148"/>
      <c r="EU382" s="148"/>
      <c r="EV382" s="148"/>
      <c r="EW382" s="148"/>
      <c r="EX382" s="148"/>
      <c r="EY382" s="148"/>
      <c r="EZ382" s="148"/>
      <c r="FA382" s="148"/>
      <c r="FB382" s="148"/>
      <c r="FC382" s="148"/>
      <c r="FD382" s="148"/>
      <c r="FE382" s="148"/>
      <c r="FF382" s="148"/>
      <c r="FG382" s="148"/>
      <c r="FH382" s="148"/>
      <c r="FI382" s="148"/>
      <c r="FJ382" s="148"/>
      <c r="FK382" s="148"/>
      <c r="FL382" s="148"/>
      <c r="FM382" s="148"/>
      <c r="FN382" s="148"/>
      <c r="FO382" s="148"/>
      <c r="FP382" s="148"/>
      <c r="FQ382" s="148"/>
      <c r="FR382" s="148"/>
      <c r="FS382" s="148"/>
      <c r="FT382" s="148"/>
      <c r="FU382" s="148"/>
      <c r="FV382" s="148"/>
      <c r="FW382" s="148"/>
      <c r="FX382" s="148"/>
      <c r="FY382" s="148"/>
      <c r="FZ382" s="148"/>
      <c r="GA382" s="148"/>
      <c r="GB382" s="148"/>
      <c r="GC382" s="148"/>
      <c r="GD382" s="148"/>
      <c r="GE382" s="148"/>
      <c r="GF382" s="148"/>
      <c r="GG382" s="148"/>
      <c r="GH382" s="148"/>
      <c r="GI382" s="148"/>
      <c r="GJ382" s="148"/>
      <c r="GK382" s="148"/>
      <c r="GL382" s="148"/>
      <c r="GM382" s="148"/>
      <c r="GN382" s="148"/>
      <c r="GO382" s="148"/>
      <c r="GP382" s="148"/>
      <c r="GQ382" s="148"/>
      <c r="GR382" s="148"/>
      <c r="GS382" s="148"/>
      <c r="GT382" s="148"/>
      <c r="GU382" s="148"/>
      <c r="GV382" s="148"/>
      <c r="GW382" s="148"/>
      <c r="GX382" s="148"/>
      <c r="GY382" s="148"/>
      <c r="GZ382" s="148"/>
      <c r="HA382" s="148"/>
      <c r="HB382" s="148"/>
      <c r="HC382" s="148"/>
      <c r="HD382" s="148"/>
      <c r="HE382" s="148"/>
      <c r="HF382" s="148"/>
      <c r="HG382" s="148"/>
      <c r="HH382" s="148"/>
      <c r="HI382" s="148"/>
      <c r="HJ382" s="148"/>
      <c r="HK382" s="148"/>
      <c r="HL382" s="148"/>
      <c r="HM382" s="148"/>
      <c r="HN382" s="148"/>
      <c r="HO382" s="148"/>
      <c r="HP382" s="148"/>
      <c r="HQ382" s="148"/>
      <c r="HR382" s="148"/>
      <c r="HS382" s="148"/>
      <c r="HT382" s="148"/>
      <c r="HU382" s="148"/>
      <c r="HV382" s="148"/>
      <c r="HW382" s="148"/>
      <c r="HX382" s="148"/>
      <c r="HY382" s="148"/>
      <c r="HZ382" s="148"/>
      <c r="IA382" s="148"/>
      <c r="IB382" s="148"/>
      <c r="IC382" s="148"/>
      <c r="ID382" s="148"/>
      <c r="IE382" s="148"/>
      <c r="IF382" s="148"/>
      <c r="IG382" s="148"/>
      <c r="IH382" s="148"/>
      <c r="II382" s="148"/>
      <c r="IJ382" s="148"/>
      <c r="IK382" s="148"/>
      <c r="IL382" s="148"/>
      <c r="IM382" s="148"/>
      <c r="IN382" s="148"/>
      <c r="IO382" s="148"/>
      <c r="IP382" s="148"/>
      <c r="IQ382" s="148"/>
      <c r="IR382" s="148"/>
      <c r="IS382" s="148"/>
      <c r="IT382" s="148"/>
      <c r="IU382" s="148"/>
      <c r="IV382" s="148"/>
    </row>
    <row r="383" spans="1:256">
      <c r="A383" s="841">
        <v>92106</v>
      </c>
      <c r="B383" s="844" t="s">
        <v>319</v>
      </c>
      <c r="C383" s="178" t="s">
        <v>0</v>
      </c>
      <c r="D383" s="180">
        <f t="shared" ref="D383:D408" si="163">E383+M383</f>
        <v>108857763</v>
      </c>
      <c r="E383" s="181">
        <f t="shared" ref="E383:E408" si="164">F383+I383+J383+K383+L383</f>
        <v>49952354</v>
      </c>
      <c r="F383" s="181">
        <f t="shared" ref="F383:F408" si="165">G383+H383</f>
        <v>0</v>
      </c>
      <c r="G383" s="181">
        <v>0</v>
      </c>
      <c r="H383" s="181">
        <v>0</v>
      </c>
      <c r="I383" s="181">
        <v>49952354</v>
      </c>
      <c r="J383" s="181">
        <v>0</v>
      </c>
      <c r="K383" s="181">
        <v>0</v>
      </c>
      <c r="L383" s="181">
        <v>0</v>
      </c>
      <c r="M383" s="181">
        <f t="shared" ref="M383:M408" si="166">N383+P383</f>
        <v>58905409</v>
      </c>
      <c r="N383" s="181">
        <v>58905409</v>
      </c>
      <c r="O383" s="181">
        <v>0</v>
      </c>
      <c r="P383" s="181">
        <v>0</v>
      </c>
      <c r="Q383" s="182"/>
      <c r="R383" s="182"/>
      <c r="S383" s="182"/>
      <c r="T383" s="182"/>
      <c r="U383" s="182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48"/>
      <c r="CC383" s="148"/>
      <c r="CD383" s="148"/>
      <c r="CE383" s="148"/>
      <c r="CF383" s="148"/>
      <c r="CG383" s="148"/>
      <c r="CH383" s="148"/>
      <c r="CI383" s="148"/>
      <c r="CJ383" s="148"/>
      <c r="CK383" s="148"/>
      <c r="CL383" s="148"/>
      <c r="CM383" s="148"/>
      <c r="CN383" s="148"/>
      <c r="CO383" s="148"/>
      <c r="CP383" s="148"/>
      <c r="CQ383" s="148"/>
      <c r="CR383" s="148"/>
      <c r="CS383" s="148"/>
      <c r="CT383" s="148"/>
      <c r="CU383" s="148"/>
      <c r="CV383" s="148"/>
      <c r="CW383" s="148"/>
      <c r="CX383" s="148"/>
      <c r="CY383" s="148"/>
      <c r="CZ383" s="148"/>
      <c r="DA383" s="148"/>
      <c r="DB383" s="148"/>
      <c r="DC383" s="148"/>
      <c r="DD383" s="148"/>
      <c r="DE383" s="148"/>
      <c r="DF383" s="148"/>
      <c r="DG383" s="148"/>
      <c r="DH383" s="148"/>
      <c r="DI383" s="148"/>
      <c r="DJ383" s="148"/>
      <c r="DK383" s="148"/>
      <c r="DL383" s="148"/>
      <c r="DM383" s="148"/>
      <c r="DN383" s="148"/>
      <c r="DO383" s="148"/>
      <c r="DP383" s="148"/>
      <c r="DQ383" s="148"/>
      <c r="DR383" s="148"/>
      <c r="DS383" s="148"/>
      <c r="DT383" s="148"/>
      <c r="DU383" s="148"/>
      <c r="DV383" s="148"/>
      <c r="DW383" s="148"/>
      <c r="DX383" s="148"/>
      <c r="DY383" s="148"/>
      <c r="DZ383" s="148"/>
      <c r="EA383" s="148"/>
      <c r="EB383" s="148"/>
      <c r="EC383" s="148"/>
      <c r="ED383" s="148"/>
      <c r="EE383" s="148"/>
      <c r="EF383" s="148"/>
      <c r="EG383" s="148"/>
      <c r="EH383" s="148"/>
      <c r="EI383" s="148"/>
      <c r="EJ383" s="148"/>
      <c r="EK383" s="148"/>
      <c r="EL383" s="148"/>
      <c r="EM383" s="148"/>
      <c r="EN383" s="148"/>
      <c r="EO383" s="148"/>
      <c r="EP383" s="148"/>
      <c r="EQ383" s="148"/>
      <c r="ER383" s="148"/>
      <c r="ES383" s="148"/>
      <c r="ET383" s="148"/>
      <c r="EU383" s="148"/>
      <c r="EV383" s="148"/>
      <c r="EW383" s="148"/>
      <c r="EX383" s="148"/>
      <c r="EY383" s="148"/>
      <c r="EZ383" s="148"/>
      <c r="FA383" s="148"/>
      <c r="FB383" s="148"/>
      <c r="FC383" s="148"/>
      <c r="FD383" s="148"/>
      <c r="FE383" s="148"/>
      <c r="FF383" s="148"/>
      <c r="FG383" s="148"/>
      <c r="FH383" s="148"/>
      <c r="FI383" s="148"/>
      <c r="FJ383" s="148"/>
      <c r="FK383" s="148"/>
      <c r="FL383" s="148"/>
      <c r="FM383" s="148"/>
      <c r="FN383" s="148"/>
      <c r="FO383" s="148"/>
      <c r="FP383" s="148"/>
      <c r="FQ383" s="148"/>
      <c r="FR383" s="148"/>
      <c r="FS383" s="148"/>
      <c r="FT383" s="148"/>
      <c r="FU383" s="148"/>
      <c r="FV383" s="148"/>
      <c r="FW383" s="148"/>
      <c r="FX383" s="148"/>
      <c r="FY383" s="148"/>
      <c r="FZ383" s="148"/>
      <c r="GA383" s="148"/>
      <c r="GB383" s="148"/>
      <c r="GC383" s="148"/>
      <c r="GD383" s="148"/>
      <c r="GE383" s="148"/>
      <c r="GF383" s="148"/>
      <c r="GG383" s="148"/>
      <c r="GH383" s="148"/>
      <c r="GI383" s="148"/>
      <c r="GJ383" s="148"/>
      <c r="GK383" s="148"/>
      <c r="GL383" s="148"/>
      <c r="GM383" s="148"/>
      <c r="GN383" s="148"/>
      <c r="GO383" s="148"/>
      <c r="GP383" s="148"/>
      <c r="GQ383" s="148"/>
      <c r="GR383" s="148"/>
      <c r="GS383" s="148"/>
      <c r="GT383" s="148"/>
      <c r="GU383" s="148"/>
      <c r="GV383" s="148"/>
      <c r="GW383" s="148"/>
      <c r="GX383" s="148"/>
      <c r="GY383" s="148"/>
      <c r="GZ383" s="148"/>
      <c r="HA383" s="148"/>
      <c r="HB383" s="148"/>
      <c r="HC383" s="148"/>
      <c r="HD383" s="148"/>
      <c r="HE383" s="148"/>
      <c r="HF383" s="148"/>
      <c r="HG383" s="148"/>
      <c r="HH383" s="148"/>
      <c r="HI383" s="148"/>
      <c r="HJ383" s="148"/>
      <c r="HK383" s="148"/>
      <c r="HL383" s="148"/>
      <c r="HM383" s="148"/>
      <c r="HN383" s="148"/>
      <c r="HO383" s="148"/>
      <c r="HP383" s="148"/>
      <c r="HQ383" s="148"/>
      <c r="HR383" s="148"/>
      <c r="HS383" s="148"/>
      <c r="HT383" s="148"/>
      <c r="HU383" s="148"/>
      <c r="HV383" s="148"/>
      <c r="HW383" s="148"/>
      <c r="HX383" s="148"/>
      <c r="HY383" s="148"/>
      <c r="HZ383" s="148"/>
      <c r="IA383" s="148"/>
      <c r="IB383" s="148"/>
      <c r="IC383" s="148"/>
      <c r="ID383" s="148"/>
      <c r="IE383" s="148"/>
      <c r="IF383" s="148"/>
      <c r="IG383" s="148"/>
      <c r="IH383" s="148"/>
      <c r="II383" s="148"/>
      <c r="IJ383" s="148"/>
      <c r="IK383" s="148"/>
      <c r="IL383" s="148"/>
      <c r="IM383" s="148"/>
      <c r="IN383" s="148"/>
      <c r="IO383" s="148"/>
      <c r="IP383" s="148"/>
      <c r="IQ383" s="148"/>
      <c r="IR383" s="148"/>
      <c r="IS383" s="148"/>
      <c r="IT383" s="148"/>
      <c r="IU383" s="148"/>
      <c r="IV383" s="148"/>
    </row>
    <row r="384" spans="1:256">
      <c r="A384" s="842"/>
      <c r="B384" s="845"/>
      <c r="C384" s="178" t="s">
        <v>1</v>
      </c>
      <c r="D384" s="180">
        <f t="shared" si="163"/>
        <v>609000</v>
      </c>
      <c r="E384" s="181">
        <f t="shared" si="164"/>
        <v>500000</v>
      </c>
      <c r="F384" s="181">
        <f t="shared" si="165"/>
        <v>0</v>
      </c>
      <c r="G384" s="181"/>
      <c r="H384" s="181"/>
      <c r="I384" s="181">
        <v>500000</v>
      </c>
      <c r="J384" s="181"/>
      <c r="K384" s="181"/>
      <c r="L384" s="181"/>
      <c r="M384" s="181">
        <f t="shared" si="166"/>
        <v>109000</v>
      </c>
      <c r="N384" s="181">
        <v>109000</v>
      </c>
      <c r="O384" s="181"/>
      <c r="P384" s="181"/>
      <c r="Q384" s="182"/>
      <c r="R384" s="182"/>
      <c r="S384" s="182"/>
      <c r="T384" s="182"/>
      <c r="U384" s="182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48"/>
      <c r="CC384" s="148"/>
      <c r="CD384" s="148"/>
      <c r="CE384" s="148"/>
      <c r="CF384" s="148"/>
      <c r="CG384" s="148"/>
      <c r="CH384" s="148"/>
      <c r="CI384" s="148"/>
      <c r="CJ384" s="148"/>
      <c r="CK384" s="148"/>
      <c r="CL384" s="148"/>
      <c r="CM384" s="148"/>
      <c r="CN384" s="148"/>
      <c r="CO384" s="148"/>
      <c r="CP384" s="148"/>
      <c r="CQ384" s="148"/>
      <c r="CR384" s="148"/>
      <c r="CS384" s="148"/>
      <c r="CT384" s="148"/>
      <c r="CU384" s="148"/>
      <c r="CV384" s="148"/>
      <c r="CW384" s="148"/>
      <c r="CX384" s="148"/>
      <c r="CY384" s="148"/>
      <c r="CZ384" s="148"/>
      <c r="DA384" s="148"/>
      <c r="DB384" s="148"/>
      <c r="DC384" s="148"/>
      <c r="DD384" s="148"/>
      <c r="DE384" s="148"/>
      <c r="DF384" s="148"/>
      <c r="DG384" s="148"/>
      <c r="DH384" s="148"/>
      <c r="DI384" s="148"/>
      <c r="DJ384" s="148"/>
      <c r="DK384" s="148"/>
      <c r="DL384" s="148"/>
      <c r="DM384" s="148"/>
      <c r="DN384" s="148"/>
      <c r="DO384" s="148"/>
      <c r="DP384" s="148"/>
      <c r="DQ384" s="148"/>
      <c r="DR384" s="148"/>
      <c r="DS384" s="148"/>
      <c r="DT384" s="148"/>
      <c r="DU384" s="148"/>
      <c r="DV384" s="148"/>
      <c r="DW384" s="148"/>
      <c r="DX384" s="148"/>
      <c r="DY384" s="148"/>
      <c r="DZ384" s="148"/>
      <c r="EA384" s="148"/>
      <c r="EB384" s="148"/>
      <c r="EC384" s="148"/>
      <c r="ED384" s="148"/>
      <c r="EE384" s="148"/>
      <c r="EF384" s="148"/>
      <c r="EG384" s="148"/>
      <c r="EH384" s="148"/>
      <c r="EI384" s="148"/>
      <c r="EJ384" s="148"/>
      <c r="EK384" s="148"/>
      <c r="EL384" s="148"/>
      <c r="EM384" s="148"/>
      <c r="EN384" s="148"/>
      <c r="EO384" s="148"/>
      <c r="EP384" s="148"/>
      <c r="EQ384" s="148"/>
      <c r="ER384" s="148"/>
      <c r="ES384" s="148"/>
      <c r="ET384" s="148"/>
      <c r="EU384" s="148"/>
      <c r="EV384" s="148"/>
      <c r="EW384" s="148"/>
      <c r="EX384" s="148"/>
      <c r="EY384" s="148"/>
      <c r="EZ384" s="148"/>
      <c r="FA384" s="148"/>
      <c r="FB384" s="148"/>
      <c r="FC384" s="148"/>
      <c r="FD384" s="148"/>
      <c r="FE384" s="148"/>
      <c r="FF384" s="148"/>
      <c r="FG384" s="148"/>
      <c r="FH384" s="148"/>
      <c r="FI384" s="148"/>
      <c r="FJ384" s="148"/>
      <c r="FK384" s="148"/>
      <c r="FL384" s="148"/>
      <c r="FM384" s="148"/>
      <c r="FN384" s="148"/>
      <c r="FO384" s="148"/>
      <c r="FP384" s="148"/>
      <c r="FQ384" s="148"/>
      <c r="FR384" s="148"/>
      <c r="FS384" s="148"/>
      <c r="FT384" s="148"/>
      <c r="FU384" s="148"/>
      <c r="FV384" s="148"/>
      <c r="FW384" s="148"/>
      <c r="FX384" s="148"/>
      <c r="FY384" s="148"/>
      <c r="FZ384" s="148"/>
      <c r="GA384" s="148"/>
      <c r="GB384" s="148"/>
      <c r="GC384" s="148"/>
      <c r="GD384" s="148"/>
      <c r="GE384" s="148"/>
      <c r="GF384" s="148"/>
      <c r="GG384" s="148"/>
      <c r="GH384" s="148"/>
      <c r="GI384" s="148"/>
      <c r="GJ384" s="148"/>
      <c r="GK384" s="148"/>
      <c r="GL384" s="148"/>
      <c r="GM384" s="148"/>
      <c r="GN384" s="148"/>
      <c r="GO384" s="148"/>
      <c r="GP384" s="148"/>
      <c r="GQ384" s="148"/>
      <c r="GR384" s="148"/>
      <c r="GS384" s="148"/>
      <c r="GT384" s="148"/>
      <c r="GU384" s="148"/>
      <c r="GV384" s="148"/>
      <c r="GW384" s="148"/>
      <c r="GX384" s="148"/>
      <c r="GY384" s="148"/>
      <c r="GZ384" s="148"/>
      <c r="HA384" s="148"/>
      <c r="HB384" s="148"/>
      <c r="HC384" s="148"/>
      <c r="HD384" s="148"/>
      <c r="HE384" s="148"/>
      <c r="HF384" s="148"/>
      <c r="HG384" s="148"/>
      <c r="HH384" s="148"/>
      <c r="HI384" s="148"/>
      <c r="HJ384" s="148"/>
      <c r="HK384" s="148"/>
      <c r="HL384" s="148"/>
      <c r="HM384" s="148"/>
      <c r="HN384" s="148"/>
      <c r="HO384" s="148"/>
      <c r="HP384" s="148"/>
      <c r="HQ384" s="148"/>
      <c r="HR384" s="148"/>
      <c r="HS384" s="148"/>
      <c r="HT384" s="148"/>
      <c r="HU384" s="148"/>
      <c r="HV384" s="148"/>
      <c r="HW384" s="148"/>
      <c r="HX384" s="148"/>
      <c r="HY384" s="148"/>
      <c r="HZ384" s="148"/>
      <c r="IA384" s="148"/>
      <c r="IB384" s="148"/>
      <c r="IC384" s="148"/>
      <c r="ID384" s="148"/>
      <c r="IE384" s="148"/>
      <c r="IF384" s="148"/>
      <c r="IG384" s="148"/>
      <c r="IH384" s="148"/>
      <c r="II384" s="148"/>
      <c r="IJ384" s="148"/>
      <c r="IK384" s="148"/>
      <c r="IL384" s="148"/>
      <c r="IM384" s="148"/>
      <c r="IN384" s="148"/>
      <c r="IO384" s="148"/>
      <c r="IP384" s="148"/>
      <c r="IQ384" s="148"/>
      <c r="IR384" s="148"/>
      <c r="IS384" s="148"/>
      <c r="IT384" s="148"/>
      <c r="IU384" s="148"/>
      <c r="IV384" s="148"/>
    </row>
    <row r="385" spans="1:256">
      <c r="A385" s="843"/>
      <c r="B385" s="846"/>
      <c r="C385" s="178" t="s">
        <v>2</v>
      </c>
      <c r="D385" s="180">
        <f>D383+D384</f>
        <v>109466763</v>
      </c>
      <c r="E385" s="181">
        <f t="shared" ref="E385:P385" si="167">E383+E384</f>
        <v>50452354</v>
      </c>
      <c r="F385" s="181">
        <f t="shared" si="167"/>
        <v>0</v>
      </c>
      <c r="G385" s="181">
        <f t="shared" si="167"/>
        <v>0</v>
      </c>
      <c r="H385" s="181">
        <f t="shared" si="167"/>
        <v>0</v>
      </c>
      <c r="I385" s="181">
        <f t="shared" si="167"/>
        <v>50452354</v>
      </c>
      <c r="J385" s="181">
        <f t="shared" si="167"/>
        <v>0</v>
      </c>
      <c r="K385" s="181">
        <f t="shared" si="167"/>
        <v>0</v>
      </c>
      <c r="L385" s="181">
        <f t="shared" si="167"/>
        <v>0</v>
      </c>
      <c r="M385" s="181">
        <f t="shared" si="167"/>
        <v>59014409</v>
      </c>
      <c r="N385" s="181">
        <f t="shared" si="167"/>
        <v>59014409</v>
      </c>
      <c r="O385" s="181">
        <f t="shared" si="167"/>
        <v>0</v>
      </c>
      <c r="P385" s="181">
        <f t="shared" si="167"/>
        <v>0</v>
      </c>
      <c r="Q385" s="182"/>
      <c r="R385" s="182"/>
      <c r="S385" s="182"/>
      <c r="T385" s="182"/>
      <c r="U385" s="182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48"/>
      <c r="CC385" s="148"/>
      <c r="CD385" s="148"/>
      <c r="CE385" s="148"/>
      <c r="CF385" s="148"/>
      <c r="CG385" s="148"/>
      <c r="CH385" s="148"/>
      <c r="CI385" s="148"/>
      <c r="CJ385" s="148"/>
      <c r="CK385" s="148"/>
      <c r="CL385" s="148"/>
      <c r="CM385" s="148"/>
      <c r="CN385" s="148"/>
      <c r="CO385" s="148"/>
      <c r="CP385" s="148"/>
      <c r="CQ385" s="148"/>
      <c r="CR385" s="148"/>
      <c r="CS385" s="148"/>
      <c r="CT385" s="148"/>
      <c r="CU385" s="148"/>
      <c r="CV385" s="148"/>
      <c r="CW385" s="148"/>
      <c r="CX385" s="148"/>
      <c r="CY385" s="148"/>
      <c r="CZ385" s="148"/>
      <c r="DA385" s="148"/>
      <c r="DB385" s="148"/>
      <c r="DC385" s="148"/>
      <c r="DD385" s="148"/>
      <c r="DE385" s="148"/>
      <c r="DF385" s="148"/>
      <c r="DG385" s="148"/>
      <c r="DH385" s="148"/>
      <c r="DI385" s="148"/>
      <c r="DJ385" s="148"/>
      <c r="DK385" s="148"/>
      <c r="DL385" s="148"/>
      <c r="DM385" s="148"/>
      <c r="DN385" s="148"/>
      <c r="DO385" s="148"/>
      <c r="DP385" s="148"/>
      <c r="DQ385" s="148"/>
      <c r="DR385" s="148"/>
      <c r="DS385" s="148"/>
      <c r="DT385" s="148"/>
      <c r="DU385" s="148"/>
      <c r="DV385" s="148"/>
      <c r="DW385" s="148"/>
      <c r="DX385" s="148"/>
      <c r="DY385" s="148"/>
      <c r="DZ385" s="148"/>
      <c r="EA385" s="148"/>
      <c r="EB385" s="148"/>
      <c r="EC385" s="148"/>
      <c r="ED385" s="148"/>
      <c r="EE385" s="148"/>
      <c r="EF385" s="148"/>
      <c r="EG385" s="148"/>
      <c r="EH385" s="148"/>
      <c r="EI385" s="148"/>
      <c r="EJ385" s="148"/>
      <c r="EK385" s="148"/>
      <c r="EL385" s="148"/>
      <c r="EM385" s="148"/>
      <c r="EN385" s="148"/>
      <c r="EO385" s="148"/>
      <c r="EP385" s="148"/>
      <c r="EQ385" s="148"/>
      <c r="ER385" s="148"/>
      <c r="ES385" s="148"/>
      <c r="ET385" s="148"/>
      <c r="EU385" s="148"/>
      <c r="EV385" s="148"/>
      <c r="EW385" s="148"/>
      <c r="EX385" s="148"/>
      <c r="EY385" s="148"/>
      <c r="EZ385" s="148"/>
      <c r="FA385" s="148"/>
      <c r="FB385" s="148"/>
      <c r="FC385" s="148"/>
      <c r="FD385" s="148"/>
      <c r="FE385" s="148"/>
      <c r="FF385" s="148"/>
      <c r="FG385" s="148"/>
      <c r="FH385" s="148"/>
      <c r="FI385" s="148"/>
      <c r="FJ385" s="148"/>
      <c r="FK385" s="148"/>
      <c r="FL385" s="148"/>
      <c r="FM385" s="148"/>
      <c r="FN385" s="148"/>
      <c r="FO385" s="148"/>
      <c r="FP385" s="148"/>
      <c r="FQ385" s="148"/>
      <c r="FR385" s="148"/>
      <c r="FS385" s="148"/>
      <c r="FT385" s="148"/>
      <c r="FU385" s="148"/>
      <c r="FV385" s="148"/>
      <c r="FW385" s="148"/>
      <c r="FX385" s="148"/>
      <c r="FY385" s="148"/>
      <c r="FZ385" s="148"/>
      <c r="GA385" s="148"/>
      <c r="GB385" s="148"/>
      <c r="GC385" s="148"/>
      <c r="GD385" s="148"/>
      <c r="GE385" s="148"/>
      <c r="GF385" s="148"/>
      <c r="GG385" s="148"/>
      <c r="GH385" s="148"/>
      <c r="GI385" s="148"/>
      <c r="GJ385" s="148"/>
      <c r="GK385" s="148"/>
      <c r="GL385" s="148"/>
      <c r="GM385" s="148"/>
      <c r="GN385" s="148"/>
      <c r="GO385" s="148"/>
      <c r="GP385" s="148"/>
      <c r="GQ385" s="148"/>
      <c r="GR385" s="148"/>
      <c r="GS385" s="148"/>
      <c r="GT385" s="148"/>
      <c r="GU385" s="148"/>
      <c r="GV385" s="148"/>
      <c r="GW385" s="148"/>
      <c r="GX385" s="148"/>
      <c r="GY385" s="148"/>
      <c r="GZ385" s="148"/>
      <c r="HA385" s="148"/>
      <c r="HB385" s="148"/>
      <c r="HC385" s="148"/>
      <c r="HD385" s="148"/>
      <c r="HE385" s="148"/>
      <c r="HF385" s="148"/>
      <c r="HG385" s="148"/>
      <c r="HH385" s="148"/>
      <c r="HI385" s="148"/>
      <c r="HJ385" s="148"/>
      <c r="HK385" s="148"/>
      <c r="HL385" s="148"/>
      <c r="HM385" s="148"/>
      <c r="HN385" s="148"/>
      <c r="HO385" s="148"/>
      <c r="HP385" s="148"/>
      <c r="HQ385" s="148"/>
      <c r="HR385" s="148"/>
      <c r="HS385" s="148"/>
      <c r="HT385" s="148"/>
      <c r="HU385" s="148"/>
      <c r="HV385" s="148"/>
      <c r="HW385" s="148"/>
      <c r="HX385" s="148"/>
      <c r="HY385" s="148"/>
      <c r="HZ385" s="148"/>
      <c r="IA385" s="148"/>
      <c r="IB385" s="148"/>
      <c r="IC385" s="148"/>
      <c r="ID385" s="148"/>
      <c r="IE385" s="148"/>
      <c r="IF385" s="148"/>
      <c r="IG385" s="148"/>
      <c r="IH385" s="148"/>
      <c r="II385" s="148"/>
      <c r="IJ385" s="148"/>
      <c r="IK385" s="148"/>
      <c r="IL385" s="148"/>
      <c r="IM385" s="148"/>
      <c r="IN385" s="148"/>
      <c r="IO385" s="148"/>
      <c r="IP385" s="148"/>
      <c r="IQ385" s="148"/>
      <c r="IR385" s="148"/>
      <c r="IS385" s="148"/>
      <c r="IT385" s="148"/>
      <c r="IU385" s="148"/>
      <c r="IV385" s="148"/>
    </row>
    <row r="386" spans="1:256" hidden="1">
      <c r="A386" s="841">
        <v>92108</v>
      </c>
      <c r="B386" s="844" t="s">
        <v>320</v>
      </c>
      <c r="C386" s="178" t="s">
        <v>0</v>
      </c>
      <c r="D386" s="180">
        <f t="shared" si="163"/>
        <v>30408568</v>
      </c>
      <c r="E386" s="181">
        <f t="shared" si="164"/>
        <v>16216000</v>
      </c>
      <c r="F386" s="181">
        <f t="shared" si="165"/>
        <v>0</v>
      </c>
      <c r="G386" s="181">
        <v>0</v>
      </c>
      <c r="H386" s="181">
        <v>0</v>
      </c>
      <c r="I386" s="181">
        <v>16216000</v>
      </c>
      <c r="J386" s="181">
        <v>0</v>
      </c>
      <c r="K386" s="181">
        <v>0</v>
      </c>
      <c r="L386" s="181">
        <v>0</v>
      </c>
      <c r="M386" s="181">
        <f t="shared" si="166"/>
        <v>14192568</v>
      </c>
      <c r="N386" s="181">
        <v>14192568</v>
      </c>
      <c r="O386" s="181">
        <v>0</v>
      </c>
      <c r="P386" s="181">
        <v>0</v>
      </c>
      <c r="Q386" s="182"/>
      <c r="R386" s="182"/>
      <c r="S386" s="182"/>
      <c r="T386" s="182"/>
      <c r="U386" s="182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48"/>
      <c r="CC386" s="148"/>
      <c r="CD386" s="148"/>
      <c r="CE386" s="148"/>
      <c r="CF386" s="148"/>
      <c r="CG386" s="148"/>
      <c r="CH386" s="148"/>
      <c r="CI386" s="148"/>
      <c r="CJ386" s="148"/>
      <c r="CK386" s="148"/>
      <c r="CL386" s="148"/>
      <c r="CM386" s="148"/>
      <c r="CN386" s="148"/>
      <c r="CO386" s="148"/>
      <c r="CP386" s="148"/>
      <c r="CQ386" s="148"/>
      <c r="CR386" s="148"/>
      <c r="CS386" s="148"/>
      <c r="CT386" s="148"/>
      <c r="CU386" s="148"/>
      <c r="CV386" s="148"/>
      <c r="CW386" s="148"/>
      <c r="CX386" s="148"/>
      <c r="CY386" s="148"/>
      <c r="CZ386" s="148"/>
      <c r="DA386" s="148"/>
      <c r="DB386" s="148"/>
      <c r="DC386" s="148"/>
      <c r="DD386" s="148"/>
      <c r="DE386" s="148"/>
      <c r="DF386" s="148"/>
      <c r="DG386" s="148"/>
      <c r="DH386" s="148"/>
      <c r="DI386" s="148"/>
      <c r="DJ386" s="148"/>
      <c r="DK386" s="148"/>
      <c r="DL386" s="148"/>
      <c r="DM386" s="148"/>
      <c r="DN386" s="148"/>
      <c r="DO386" s="148"/>
      <c r="DP386" s="148"/>
      <c r="DQ386" s="148"/>
      <c r="DR386" s="148"/>
      <c r="DS386" s="148"/>
      <c r="DT386" s="148"/>
      <c r="DU386" s="148"/>
      <c r="DV386" s="148"/>
      <c r="DW386" s="148"/>
      <c r="DX386" s="148"/>
      <c r="DY386" s="148"/>
      <c r="DZ386" s="148"/>
      <c r="EA386" s="148"/>
      <c r="EB386" s="148"/>
      <c r="EC386" s="148"/>
      <c r="ED386" s="148"/>
      <c r="EE386" s="148"/>
      <c r="EF386" s="148"/>
      <c r="EG386" s="148"/>
      <c r="EH386" s="148"/>
      <c r="EI386" s="148"/>
      <c r="EJ386" s="148"/>
      <c r="EK386" s="148"/>
      <c r="EL386" s="148"/>
      <c r="EM386" s="148"/>
      <c r="EN386" s="148"/>
      <c r="EO386" s="148"/>
      <c r="EP386" s="148"/>
      <c r="EQ386" s="148"/>
      <c r="ER386" s="148"/>
      <c r="ES386" s="148"/>
      <c r="ET386" s="148"/>
      <c r="EU386" s="148"/>
      <c r="EV386" s="148"/>
      <c r="EW386" s="148"/>
      <c r="EX386" s="148"/>
      <c r="EY386" s="148"/>
      <c r="EZ386" s="148"/>
      <c r="FA386" s="148"/>
      <c r="FB386" s="148"/>
      <c r="FC386" s="148"/>
      <c r="FD386" s="148"/>
      <c r="FE386" s="148"/>
      <c r="FF386" s="148"/>
      <c r="FG386" s="148"/>
      <c r="FH386" s="148"/>
      <c r="FI386" s="148"/>
      <c r="FJ386" s="148"/>
      <c r="FK386" s="148"/>
      <c r="FL386" s="148"/>
      <c r="FM386" s="148"/>
      <c r="FN386" s="148"/>
      <c r="FO386" s="148"/>
      <c r="FP386" s="148"/>
      <c r="FQ386" s="148"/>
      <c r="FR386" s="148"/>
      <c r="FS386" s="148"/>
      <c r="FT386" s="148"/>
      <c r="FU386" s="148"/>
      <c r="FV386" s="148"/>
      <c r="FW386" s="148"/>
      <c r="FX386" s="148"/>
      <c r="FY386" s="148"/>
      <c r="FZ386" s="148"/>
      <c r="GA386" s="148"/>
      <c r="GB386" s="148"/>
      <c r="GC386" s="148"/>
      <c r="GD386" s="148"/>
      <c r="GE386" s="148"/>
      <c r="GF386" s="148"/>
      <c r="GG386" s="148"/>
      <c r="GH386" s="148"/>
      <c r="GI386" s="148"/>
      <c r="GJ386" s="148"/>
      <c r="GK386" s="148"/>
      <c r="GL386" s="148"/>
      <c r="GM386" s="148"/>
      <c r="GN386" s="148"/>
      <c r="GO386" s="148"/>
      <c r="GP386" s="148"/>
      <c r="GQ386" s="148"/>
      <c r="GR386" s="148"/>
      <c r="GS386" s="148"/>
      <c r="GT386" s="148"/>
      <c r="GU386" s="148"/>
      <c r="GV386" s="148"/>
      <c r="GW386" s="148"/>
      <c r="GX386" s="148"/>
      <c r="GY386" s="148"/>
      <c r="GZ386" s="148"/>
      <c r="HA386" s="148"/>
      <c r="HB386" s="148"/>
      <c r="HC386" s="148"/>
      <c r="HD386" s="148"/>
      <c r="HE386" s="148"/>
      <c r="HF386" s="148"/>
      <c r="HG386" s="148"/>
      <c r="HH386" s="148"/>
      <c r="HI386" s="148"/>
      <c r="HJ386" s="148"/>
      <c r="HK386" s="148"/>
      <c r="HL386" s="148"/>
      <c r="HM386" s="148"/>
      <c r="HN386" s="148"/>
      <c r="HO386" s="148"/>
      <c r="HP386" s="148"/>
      <c r="HQ386" s="148"/>
      <c r="HR386" s="148"/>
      <c r="HS386" s="148"/>
      <c r="HT386" s="148"/>
      <c r="HU386" s="148"/>
      <c r="HV386" s="148"/>
      <c r="HW386" s="148"/>
      <c r="HX386" s="148"/>
      <c r="HY386" s="148"/>
      <c r="HZ386" s="148"/>
      <c r="IA386" s="148"/>
      <c r="IB386" s="148"/>
      <c r="IC386" s="148"/>
      <c r="ID386" s="148"/>
      <c r="IE386" s="148"/>
      <c r="IF386" s="148"/>
      <c r="IG386" s="148"/>
      <c r="IH386" s="148"/>
      <c r="II386" s="148"/>
      <c r="IJ386" s="148"/>
      <c r="IK386" s="148"/>
      <c r="IL386" s="148"/>
      <c r="IM386" s="148"/>
      <c r="IN386" s="148"/>
      <c r="IO386" s="148"/>
      <c r="IP386" s="148"/>
      <c r="IQ386" s="148"/>
      <c r="IR386" s="148"/>
      <c r="IS386" s="148"/>
      <c r="IT386" s="148"/>
      <c r="IU386" s="148"/>
      <c r="IV386" s="148"/>
    </row>
    <row r="387" spans="1:256" hidden="1">
      <c r="A387" s="842"/>
      <c r="B387" s="845"/>
      <c r="C387" s="178" t="s">
        <v>1</v>
      </c>
      <c r="D387" s="180">
        <f t="shared" si="163"/>
        <v>0</v>
      </c>
      <c r="E387" s="181">
        <f t="shared" si="164"/>
        <v>0</v>
      </c>
      <c r="F387" s="181">
        <f t="shared" si="165"/>
        <v>0</v>
      </c>
      <c r="G387" s="181"/>
      <c r="H387" s="181"/>
      <c r="I387" s="181"/>
      <c r="J387" s="181"/>
      <c r="K387" s="181"/>
      <c r="L387" s="181"/>
      <c r="M387" s="181">
        <f t="shared" si="166"/>
        <v>0</v>
      </c>
      <c r="N387" s="181"/>
      <c r="O387" s="181"/>
      <c r="P387" s="181"/>
      <c r="Q387" s="182"/>
      <c r="R387" s="182"/>
      <c r="S387" s="182"/>
      <c r="T387" s="182"/>
      <c r="U387" s="182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48"/>
      <c r="CC387" s="148"/>
      <c r="CD387" s="148"/>
      <c r="CE387" s="148"/>
      <c r="CF387" s="148"/>
      <c r="CG387" s="148"/>
      <c r="CH387" s="148"/>
      <c r="CI387" s="148"/>
      <c r="CJ387" s="148"/>
      <c r="CK387" s="148"/>
      <c r="CL387" s="148"/>
      <c r="CM387" s="148"/>
      <c r="CN387" s="148"/>
      <c r="CO387" s="148"/>
      <c r="CP387" s="148"/>
      <c r="CQ387" s="148"/>
      <c r="CR387" s="148"/>
      <c r="CS387" s="148"/>
      <c r="CT387" s="148"/>
      <c r="CU387" s="148"/>
      <c r="CV387" s="148"/>
      <c r="CW387" s="148"/>
      <c r="CX387" s="148"/>
      <c r="CY387" s="148"/>
      <c r="CZ387" s="148"/>
      <c r="DA387" s="148"/>
      <c r="DB387" s="148"/>
      <c r="DC387" s="148"/>
      <c r="DD387" s="148"/>
      <c r="DE387" s="148"/>
      <c r="DF387" s="148"/>
      <c r="DG387" s="148"/>
      <c r="DH387" s="148"/>
      <c r="DI387" s="148"/>
      <c r="DJ387" s="148"/>
      <c r="DK387" s="148"/>
      <c r="DL387" s="148"/>
      <c r="DM387" s="148"/>
      <c r="DN387" s="148"/>
      <c r="DO387" s="148"/>
      <c r="DP387" s="148"/>
      <c r="DQ387" s="148"/>
      <c r="DR387" s="148"/>
      <c r="DS387" s="148"/>
      <c r="DT387" s="148"/>
      <c r="DU387" s="148"/>
      <c r="DV387" s="148"/>
      <c r="DW387" s="148"/>
      <c r="DX387" s="148"/>
      <c r="DY387" s="148"/>
      <c r="DZ387" s="148"/>
      <c r="EA387" s="148"/>
      <c r="EB387" s="148"/>
      <c r="EC387" s="148"/>
      <c r="ED387" s="148"/>
      <c r="EE387" s="148"/>
      <c r="EF387" s="148"/>
      <c r="EG387" s="148"/>
      <c r="EH387" s="148"/>
      <c r="EI387" s="148"/>
      <c r="EJ387" s="148"/>
      <c r="EK387" s="148"/>
      <c r="EL387" s="148"/>
      <c r="EM387" s="148"/>
      <c r="EN387" s="148"/>
      <c r="EO387" s="148"/>
      <c r="EP387" s="148"/>
      <c r="EQ387" s="148"/>
      <c r="ER387" s="148"/>
      <c r="ES387" s="148"/>
      <c r="ET387" s="148"/>
      <c r="EU387" s="148"/>
      <c r="EV387" s="148"/>
      <c r="EW387" s="148"/>
      <c r="EX387" s="148"/>
      <c r="EY387" s="148"/>
      <c r="EZ387" s="148"/>
      <c r="FA387" s="148"/>
      <c r="FB387" s="148"/>
      <c r="FC387" s="148"/>
      <c r="FD387" s="148"/>
      <c r="FE387" s="148"/>
      <c r="FF387" s="148"/>
      <c r="FG387" s="148"/>
      <c r="FH387" s="148"/>
      <c r="FI387" s="148"/>
      <c r="FJ387" s="148"/>
      <c r="FK387" s="148"/>
      <c r="FL387" s="148"/>
      <c r="FM387" s="148"/>
      <c r="FN387" s="148"/>
      <c r="FO387" s="148"/>
      <c r="FP387" s="148"/>
      <c r="FQ387" s="148"/>
      <c r="FR387" s="148"/>
      <c r="FS387" s="148"/>
      <c r="FT387" s="148"/>
      <c r="FU387" s="148"/>
      <c r="FV387" s="148"/>
      <c r="FW387" s="148"/>
      <c r="FX387" s="148"/>
      <c r="FY387" s="148"/>
      <c r="FZ387" s="148"/>
      <c r="GA387" s="148"/>
      <c r="GB387" s="148"/>
      <c r="GC387" s="148"/>
      <c r="GD387" s="148"/>
      <c r="GE387" s="148"/>
      <c r="GF387" s="148"/>
      <c r="GG387" s="148"/>
      <c r="GH387" s="148"/>
      <c r="GI387" s="148"/>
      <c r="GJ387" s="148"/>
      <c r="GK387" s="148"/>
      <c r="GL387" s="148"/>
      <c r="GM387" s="148"/>
      <c r="GN387" s="148"/>
      <c r="GO387" s="148"/>
      <c r="GP387" s="148"/>
      <c r="GQ387" s="148"/>
      <c r="GR387" s="148"/>
      <c r="GS387" s="148"/>
      <c r="GT387" s="148"/>
      <c r="GU387" s="148"/>
      <c r="GV387" s="148"/>
      <c r="GW387" s="148"/>
      <c r="GX387" s="148"/>
      <c r="GY387" s="148"/>
      <c r="GZ387" s="148"/>
      <c r="HA387" s="148"/>
      <c r="HB387" s="148"/>
      <c r="HC387" s="148"/>
      <c r="HD387" s="148"/>
      <c r="HE387" s="148"/>
      <c r="HF387" s="148"/>
      <c r="HG387" s="148"/>
      <c r="HH387" s="148"/>
      <c r="HI387" s="148"/>
      <c r="HJ387" s="148"/>
      <c r="HK387" s="148"/>
      <c r="HL387" s="148"/>
      <c r="HM387" s="148"/>
      <c r="HN387" s="148"/>
      <c r="HO387" s="148"/>
      <c r="HP387" s="148"/>
      <c r="HQ387" s="148"/>
      <c r="HR387" s="148"/>
      <c r="HS387" s="148"/>
      <c r="HT387" s="148"/>
      <c r="HU387" s="148"/>
      <c r="HV387" s="148"/>
      <c r="HW387" s="148"/>
      <c r="HX387" s="148"/>
      <c r="HY387" s="148"/>
      <c r="HZ387" s="148"/>
      <c r="IA387" s="148"/>
      <c r="IB387" s="148"/>
      <c r="IC387" s="148"/>
      <c r="ID387" s="148"/>
      <c r="IE387" s="148"/>
      <c r="IF387" s="148"/>
      <c r="IG387" s="148"/>
      <c r="IH387" s="148"/>
      <c r="II387" s="148"/>
      <c r="IJ387" s="148"/>
      <c r="IK387" s="148"/>
      <c r="IL387" s="148"/>
      <c r="IM387" s="148"/>
      <c r="IN387" s="148"/>
      <c r="IO387" s="148"/>
      <c r="IP387" s="148"/>
      <c r="IQ387" s="148"/>
      <c r="IR387" s="148"/>
      <c r="IS387" s="148"/>
      <c r="IT387" s="148"/>
      <c r="IU387" s="148"/>
      <c r="IV387" s="148"/>
    </row>
    <row r="388" spans="1:256" hidden="1">
      <c r="A388" s="843"/>
      <c r="B388" s="846"/>
      <c r="C388" s="178" t="s">
        <v>2</v>
      </c>
      <c r="D388" s="180">
        <f>D386+D387</f>
        <v>30408568</v>
      </c>
      <c r="E388" s="181">
        <f t="shared" ref="E388:P388" si="168">E386+E387</f>
        <v>16216000</v>
      </c>
      <c r="F388" s="181">
        <f t="shared" si="168"/>
        <v>0</v>
      </c>
      <c r="G388" s="181">
        <f t="shared" si="168"/>
        <v>0</v>
      </c>
      <c r="H388" s="181">
        <f t="shared" si="168"/>
        <v>0</v>
      </c>
      <c r="I388" s="181">
        <f t="shared" si="168"/>
        <v>16216000</v>
      </c>
      <c r="J388" s="181">
        <f t="shared" si="168"/>
        <v>0</v>
      </c>
      <c r="K388" s="181">
        <f t="shared" si="168"/>
        <v>0</v>
      </c>
      <c r="L388" s="181">
        <f t="shared" si="168"/>
        <v>0</v>
      </c>
      <c r="M388" s="181">
        <f t="shared" si="168"/>
        <v>14192568</v>
      </c>
      <c r="N388" s="181">
        <f t="shared" si="168"/>
        <v>14192568</v>
      </c>
      <c r="O388" s="181">
        <f t="shared" si="168"/>
        <v>0</v>
      </c>
      <c r="P388" s="181">
        <f t="shared" si="168"/>
        <v>0</v>
      </c>
      <c r="Q388" s="182"/>
      <c r="R388" s="182"/>
      <c r="S388" s="182"/>
      <c r="T388" s="182"/>
      <c r="U388" s="182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48"/>
      <c r="CC388" s="148"/>
      <c r="CD388" s="148"/>
      <c r="CE388" s="148"/>
      <c r="CF388" s="148"/>
      <c r="CG388" s="148"/>
      <c r="CH388" s="148"/>
      <c r="CI388" s="148"/>
      <c r="CJ388" s="148"/>
      <c r="CK388" s="148"/>
      <c r="CL388" s="148"/>
      <c r="CM388" s="148"/>
      <c r="CN388" s="148"/>
      <c r="CO388" s="148"/>
      <c r="CP388" s="148"/>
      <c r="CQ388" s="148"/>
      <c r="CR388" s="148"/>
      <c r="CS388" s="148"/>
      <c r="CT388" s="148"/>
      <c r="CU388" s="148"/>
      <c r="CV388" s="148"/>
      <c r="CW388" s="148"/>
      <c r="CX388" s="148"/>
      <c r="CY388" s="148"/>
      <c r="CZ388" s="148"/>
      <c r="DA388" s="148"/>
      <c r="DB388" s="148"/>
      <c r="DC388" s="148"/>
      <c r="DD388" s="148"/>
      <c r="DE388" s="148"/>
      <c r="DF388" s="148"/>
      <c r="DG388" s="148"/>
      <c r="DH388" s="148"/>
      <c r="DI388" s="148"/>
      <c r="DJ388" s="148"/>
      <c r="DK388" s="148"/>
      <c r="DL388" s="148"/>
      <c r="DM388" s="148"/>
      <c r="DN388" s="148"/>
      <c r="DO388" s="148"/>
      <c r="DP388" s="148"/>
      <c r="DQ388" s="148"/>
      <c r="DR388" s="148"/>
      <c r="DS388" s="148"/>
      <c r="DT388" s="148"/>
      <c r="DU388" s="148"/>
      <c r="DV388" s="148"/>
      <c r="DW388" s="148"/>
      <c r="DX388" s="148"/>
      <c r="DY388" s="148"/>
      <c r="DZ388" s="148"/>
      <c r="EA388" s="148"/>
      <c r="EB388" s="148"/>
      <c r="EC388" s="148"/>
      <c r="ED388" s="148"/>
      <c r="EE388" s="148"/>
      <c r="EF388" s="148"/>
      <c r="EG388" s="148"/>
      <c r="EH388" s="148"/>
      <c r="EI388" s="148"/>
      <c r="EJ388" s="148"/>
      <c r="EK388" s="148"/>
      <c r="EL388" s="148"/>
      <c r="EM388" s="148"/>
      <c r="EN388" s="148"/>
      <c r="EO388" s="148"/>
      <c r="EP388" s="148"/>
      <c r="EQ388" s="148"/>
      <c r="ER388" s="148"/>
      <c r="ES388" s="148"/>
      <c r="ET388" s="148"/>
      <c r="EU388" s="148"/>
      <c r="EV388" s="148"/>
      <c r="EW388" s="148"/>
      <c r="EX388" s="148"/>
      <c r="EY388" s="148"/>
      <c r="EZ388" s="148"/>
      <c r="FA388" s="148"/>
      <c r="FB388" s="148"/>
      <c r="FC388" s="148"/>
      <c r="FD388" s="148"/>
      <c r="FE388" s="148"/>
      <c r="FF388" s="148"/>
      <c r="FG388" s="148"/>
      <c r="FH388" s="148"/>
      <c r="FI388" s="148"/>
      <c r="FJ388" s="148"/>
      <c r="FK388" s="148"/>
      <c r="FL388" s="148"/>
      <c r="FM388" s="148"/>
      <c r="FN388" s="148"/>
      <c r="FO388" s="148"/>
      <c r="FP388" s="148"/>
      <c r="FQ388" s="148"/>
      <c r="FR388" s="148"/>
      <c r="FS388" s="148"/>
      <c r="FT388" s="148"/>
      <c r="FU388" s="148"/>
      <c r="FV388" s="148"/>
      <c r="FW388" s="148"/>
      <c r="FX388" s="148"/>
      <c r="FY388" s="148"/>
      <c r="FZ388" s="148"/>
      <c r="GA388" s="148"/>
      <c r="GB388" s="148"/>
      <c r="GC388" s="148"/>
      <c r="GD388" s="148"/>
      <c r="GE388" s="148"/>
      <c r="GF388" s="148"/>
      <c r="GG388" s="148"/>
      <c r="GH388" s="148"/>
      <c r="GI388" s="148"/>
      <c r="GJ388" s="148"/>
      <c r="GK388" s="148"/>
      <c r="GL388" s="148"/>
      <c r="GM388" s="148"/>
      <c r="GN388" s="148"/>
      <c r="GO388" s="148"/>
      <c r="GP388" s="148"/>
      <c r="GQ388" s="148"/>
      <c r="GR388" s="148"/>
      <c r="GS388" s="148"/>
      <c r="GT388" s="148"/>
      <c r="GU388" s="148"/>
      <c r="GV388" s="148"/>
      <c r="GW388" s="148"/>
      <c r="GX388" s="148"/>
      <c r="GY388" s="148"/>
      <c r="GZ388" s="148"/>
      <c r="HA388" s="148"/>
      <c r="HB388" s="148"/>
      <c r="HC388" s="148"/>
      <c r="HD388" s="148"/>
      <c r="HE388" s="148"/>
      <c r="HF388" s="148"/>
      <c r="HG388" s="148"/>
      <c r="HH388" s="148"/>
      <c r="HI388" s="148"/>
      <c r="HJ388" s="148"/>
      <c r="HK388" s="148"/>
      <c r="HL388" s="148"/>
      <c r="HM388" s="148"/>
      <c r="HN388" s="148"/>
      <c r="HO388" s="148"/>
      <c r="HP388" s="148"/>
      <c r="HQ388" s="148"/>
      <c r="HR388" s="148"/>
      <c r="HS388" s="148"/>
      <c r="HT388" s="148"/>
      <c r="HU388" s="148"/>
      <c r="HV388" s="148"/>
      <c r="HW388" s="148"/>
      <c r="HX388" s="148"/>
      <c r="HY388" s="148"/>
      <c r="HZ388" s="148"/>
      <c r="IA388" s="148"/>
      <c r="IB388" s="148"/>
      <c r="IC388" s="148"/>
      <c r="ID388" s="148"/>
      <c r="IE388" s="148"/>
      <c r="IF388" s="148"/>
      <c r="IG388" s="148"/>
      <c r="IH388" s="148"/>
      <c r="II388" s="148"/>
      <c r="IJ388" s="148"/>
      <c r="IK388" s="148"/>
      <c r="IL388" s="148"/>
      <c r="IM388" s="148"/>
      <c r="IN388" s="148"/>
      <c r="IO388" s="148"/>
      <c r="IP388" s="148"/>
      <c r="IQ388" s="148"/>
      <c r="IR388" s="148"/>
      <c r="IS388" s="148"/>
      <c r="IT388" s="148"/>
      <c r="IU388" s="148"/>
      <c r="IV388" s="148"/>
    </row>
    <row r="389" spans="1:256">
      <c r="A389" s="841">
        <v>92109</v>
      </c>
      <c r="B389" s="844" t="s">
        <v>321</v>
      </c>
      <c r="C389" s="178" t="s">
        <v>0</v>
      </c>
      <c r="D389" s="180">
        <f t="shared" si="163"/>
        <v>27869275</v>
      </c>
      <c r="E389" s="181">
        <f t="shared" si="164"/>
        <v>15596566</v>
      </c>
      <c r="F389" s="181">
        <f t="shared" si="165"/>
        <v>0</v>
      </c>
      <c r="G389" s="181">
        <v>0</v>
      </c>
      <c r="H389" s="181">
        <v>0</v>
      </c>
      <c r="I389" s="181">
        <v>15596566</v>
      </c>
      <c r="J389" s="181">
        <v>0</v>
      </c>
      <c r="K389" s="181">
        <v>0</v>
      </c>
      <c r="L389" s="181">
        <v>0</v>
      </c>
      <c r="M389" s="181">
        <f t="shared" si="166"/>
        <v>12272709</v>
      </c>
      <c r="N389" s="181">
        <v>12272709</v>
      </c>
      <c r="O389" s="181">
        <v>0</v>
      </c>
      <c r="P389" s="181">
        <v>0</v>
      </c>
      <c r="Q389" s="182"/>
      <c r="R389" s="182"/>
      <c r="S389" s="182"/>
      <c r="T389" s="182"/>
      <c r="U389" s="182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8"/>
      <c r="DF389" s="148"/>
      <c r="DG389" s="148"/>
      <c r="DH389" s="148"/>
      <c r="DI389" s="148"/>
      <c r="DJ389" s="148"/>
      <c r="DK389" s="148"/>
      <c r="DL389" s="148"/>
      <c r="DM389" s="148"/>
      <c r="DN389" s="148"/>
      <c r="DO389" s="148"/>
      <c r="DP389" s="148"/>
      <c r="DQ389" s="148"/>
      <c r="DR389" s="148"/>
      <c r="DS389" s="148"/>
      <c r="DT389" s="148"/>
      <c r="DU389" s="148"/>
      <c r="DV389" s="148"/>
      <c r="DW389" s="148"/>
      <c r="DX389" s="148"/>
      <c r="DY389" s="148"/>
      <c r="DZ389" s="148"/>
      <c r="EA389" s="148"/>
      <c r="EB389" s="148"/>
      <c r="EC389" s="148"/>
      <c r="ED389" s="148"/>
      <c r="EE389" s="148"/>
      <c r="EF389" s="148"/>
      <c r="EG389" s="148"/>
      <c r="EH389" s="148"/>
      <c r="EI389" s="148"/>
      <c r="EJ389" s="148"/>
      <c r="EK389" s="148"/>
      <c r="EL389" s="148"/>
      <c r="EM389" s="148"/>
      <c r="EN389" s="148"/>
      <c r="EO389" s="148"/>
      <c r="EP389" s="148"/>
      <c r="EQ389" s="148"/>
      <c r="ER389" s="148"/>
      <c r="ES389" s="148"/>
      <c r="ET389" s="148"/>
      <c r="EU389" s="148"/>
      <c r="EV389" s="148"/>
      <c r="EW389" s="148"/>
      <c r="EX389" s="148"/>
      <c r="EY389" s="148"/>
      <c r="EZ389" s="148"/>
      <c r="FA389" s="148"/>
      <c r="FB389" s="148"/>
      <c r="FC389" s="148"/>
      <c r="FD389" s="148"/>
      <c r="FE389" s="148"/>
      <c r="FF389" s="148"/>
      <c r="FG389" s="148"/>
      <c r="FH389" s="148"/>
      <c r="FI389" s="148"/>
      <c r="FJ389" s="148"/>
      <c r="FK389" s="148"/>
      <c r="FL389" s="148"/>
      <c r="FM389" s="148"/>
      <c r="FN389" s="148"/>
      <c r="FO389" s="148"/>
      <c r="FP389" s="148"/>
      <c r="FQ389" s="148"/>
      <c r="FR389" s="148"/>
      <c r="FS389" s="148"/>
      <c r="FT389" s="148"/>
      <c r="FU389" s="148"/>
      <c r="FV389" s="148"/>
      <c r="FW389" s="148"/>
      <c r="FX389" s="148"/>
      <c r="FY389" s="148"/>
      <c r="FZ389" s="148"/>
      <c r="GA389" s="148"/>
      <c r="GB389" s="148"/>
      <c r="GC389" s="148"/>
      <c r="GD389" s="148"/>
      <c r="GE389" s="148"/>
      <c r="GF389" s="148"/>
      <c r="GG389" s="148"/>
      <c r="GH389" s="148"/>
      <c r="GI389" s="148"/>
      <c r="GJ389" s="148"/>
      <c r="GK389" s="148"/>
      <c r="GL389" s="148"/>
      <c r="GM389" s="148"/>
      <c r="GN389" s="148"/>
      <c r="GO389" s="148"/>
      <c r="GP389" s="148"/>
      <c r="GQ389" s="148"/>
      <c r="GR389" s="148"/>
      <c r="GS389" s="148"/>
      <c r="GT389" s="148"/>
      <c r="GU389" s="148"/>
      <c r="GV389" s="148"/>
      <c r="GW389" s="148"/>
      <c r="GX389" s="148"/>
      <c r="GY389" s="148"/>
      <c r="GZ389" s="148"/>
      <c r="HA389" s="148"/>
      <c r="HB389" s="148"/>
      <c r="HC389" s="148"/>
      <c r="HD389" s="148"/>
      <c r="HE389" s="148"/>
      <c r="HF389" s="148"/>
      <c r="HG389" s="148"/>
      <c r="HH389" s="148"/>
      <c r="HI389" s="148"/>
      <c r="HJ389" s="148"/>
      <c r="HK389" s="148"/>
      <c r="HL389" s="148"/>
      <c r="HM389" s="148"/>
      <c r="HN389" s="148"/>
      <c r="HO389" s="148"/>
      <c r="HP389" s="148"/>
      <c r="HQ389" s="148"/>
      <c r="HR389" s="148"/>
      <c r="HS389" s="148"/>
      <c r="HT389" s="148"/>
      <c r="HU389" s="148"/>
      <c r="HV389" s="148"/>
      <c r="HW389" s="148"/>
      <c r="HX389" s="148"/>
      <c r="HY389" s="148"/>
      <c r="HZ389" s="148"/>
      <c r="IA389" s="148"/>
      <c r="IB389" s="148"/>
      <c r="IC389" s="148"/>
      <c r="ID389" s="148"/>
      <c r="IE389" s="148"/>
      <c r="IF389" s="148"/>
      <c r="IG389" s="148"/>
      <c r="IH389" s="148"/>
      <c r="II389" s="148"/>
      <c r="IJ389" s="148"/>
      <c r="IK389" s="148"/>
      <c r="IL389" s="148"/>
      <c r="IM389" s="148"/>
      <c r="IN389" s="148"/>
      <c r="IO389" s="148"/>
      <c r="IP389" s="148"/>
      <c r="IQ389" s="148"/>
      <c r="IR389" s="148"/>
      <c r="IS389" s="148"/>
      <c r="IT389" s="148"/>
      <c r="IU389" s="148"/>
      <c r="IV389" s="148"/>
    </row>
    <row r="390" spans="1:256">
      <c r="A390" s="842"/>
      <c r="B390" s="845"/>
      <c r="C390" s="178" t="s">
        <v>1</v>
      </c>
      <c r="D390" s="180">
        <f t="shared" si="163"/>
        <v>6256826</v>
      </c>
      <c r="E390" s="181">
        <f t="shared" si="164"/>
        <v>918784</v>
      </c>
      <c r="F390" s="181">
        <f t="shared" si="165"/>
        <v>0</v>
      </c>
      <c r="G390" s="181"/>
      <c r="H390" s="181"/>
      <c r="I390" s="181">
        <f>652807+265977</f>
        <v>918784</v>
      </c>
      <c r="J390" s="181"/>
      <c r="K390" s="181"/>
      <c r="L390" s="181"/>
      <c r="M390" s="181">
        <f t="shared" si="166"/>
        <v>5338042</v>
      </c>
      <c r="N390" s="181">
        <v>5338042</v>
      </c>
      <c r="O390" s="181"/>
      <c r="P390" s="181"/>
      <c r="Q390" s="182"/>
      <c r="R390" s="182"/>
      <c r="S390" s="182"/>
      <c r="T390" s="182"/>
      <c r="U390" s="182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48"/>
      <c r="CC390" s="148"/>
      <c r="CD390" s="148"/>
      <c r="CE390" s="148"/>
      <c r="CF390" s="148"/>
      <c r="CG390" s="148"/>
      <c r="CH390" s="148"/>
      <c r="CI390" s="148"/>
      <c r="CJ390" s="148"/>
      <c r="CK390" s="148"/>
      <c r="CL390" s="148"/>
      <c r="CM390" s="148"/>
      <c r="CN390" s="148"/>
      <c r="CO390" s="148"/>
      <c r="CP390" s="148"/>
      <c r="CQ390" s="148"/>
      <c r="CR390" s="148"/>
      <c r="CS390" s="148"/>
      <c r="CT390" s="148"/>
      <c r="CU390" s="148"/>
      <c r="CV390" s="148"/>
      <c r="CW390" s="148"/>
      <c r="CX390" s="148"/>
      <c r="CY390" s="148"/>
      <c r="CZ390" s="148"/>
      <c r="DA390" s="148"/>
      <c r="DB390" s="148"/>
      <c r="DC390" s="148"/>
      <c r="DD390" s="148"/>
      <c r="DE390" s="148"/>
      <c r="DF390" s="148"/>
      <c r="DG390" s="148"/>
      <c r="DH390" s="148"/>
      <c r="DI390" s="148"/>
      <c r="DJ390" s="148"/>
      <c r="DK390" s="148"/>
      <c r="DL390" s="148"/>
      <c r="DM390" s="148"/>
      <c r="DN390" s="148"/>
      <c r="DO390" s="148"/>
      <c r="DP390" s="148"/>
      <c r="DQ390" s="148"/>
      <c r="DR390" s="148"/>
      <c r="DS390" s="148"/>
      <c r="DT390" s="148"/>
      <c r="DU390" s="148"/>
      <c r="DV390" s="148"/>
      <c r="DW390" s="148"/>
      <c r="DX390" s="148"/>
      <c r="DY390" s="148"/>
      <c r="DZ390" s="148"/>
      <c r="EA390" s="148"/>
      <c r="EB390" s="148"/>
      <c r="EC390" s="148"/>
      <c r="ED390" s="148"/>
      <c r="EE390" s="148"/>
      <c r="EF390" s="148"/>
      <c r="EG390" s="148"/>
      <c r="EH390" s="148"/>
      <c r="EI390" s="148"/>
      <c r="EJ390" s="148"/>
      <c r="EK390" s="148"/>
      <c r="EL390" s="148"/>
      <c r="EM390" s="148"/>
      <c r="EN390" s="148"/>
      <c r="EO390" s="148"/>
      <c r="EP390" s="148"/>
      <c r="EQ390" s="148"/>
      <c r="ER390" s="148"/>
      <c r="ES390" s="148"/>
      <c r="ET390" s="148"/>
      <c r="EU390" s="148"/>
      <c r="EV390" s="148"/>
      <c r="EW390" s="148"/>
      <c r="EX390" s="148"/>
      <c r="EY390" s="148"/>
      <c r="EZ390" s="148"/>
      <c r="FA390" s="148"/>
      <c r="FB390" s="148"/>
      <c r="FC390" s="148"/>
      <c r="FD390" s="148"/>
      <c r="FE390" s="148"/>
      <c r="FF390" s="148"/>
      <c r="FG390" s="148"/>
      <c r="FH390" s="148"/>
      <c r="FI390" s="148"/>
      <c r="FJ390" s="148"/>
      <c r="FK390" s="148"/>
      <c r="FL390" s="148"/>
      <c r="FM390" s="148"/>
      <c r="FN390" s="148"/>
      <c r="FO390" s="148"/>
      <c r="FP390" s="148"/>
      <c r="FQ390" s="148"/>
      <c r="FR390" s="148"/>
      <c r="FS390" s="148"/>
      <c r="FT390" s="148"/>
      <c r="FU390" s="148"/>
      <c r="FV390" s="148"/>
      <c r="FW390" s="148"/>
      <c r="FX390" s="148"/>
      <c r="FY390" s="148"/>
      <c r="FZ390" s="148"/>
      <c r="GA390" s="148"/>
      <c r="GB390" s="148"/>
      <c r="GC390" s="148"/>
      <c r="GD390" s="148"/>
      <c r="GE390" s="148"/>
      <c r="GF390" s="148"/>
      <c r="GG390" s="148"/>
      <c r="GH390" s="148"/>
      <c r="GI390" s="148"/>
      <c r="GJ390" s="148"/>
      <c r="GK390" s="148"/>
      <c r="GL390" s="148"/>
      <c r="GM390" s="148"/>
      <c r="GN390" s="148"/>
      <c r="GO390" s="148"/>
      <c r="GP390" s="148"/>
      <c r="GQ390" s="148"/>
      <c r="GR390" s="148"/>
      <c r="GS390" s="148"/>
      <c r="GT390" s="148"/>
      <c r="GU390" s="148"/>
      <c r="GV390" s="148"/>
      <c r="GW390" s="148"/>
      <c r="GX390" s="148"/>
      <c r="GY390" s="148"/>
      <c r="GZ390" s="148"/>
      <c r="HA390" s="148"/>
      <c r="HB390" s="148"/>
      <c r="HC390" s="148"/>
      <c r="HD390" s="148"/>
      <c r="HE390" s="148"/>
      <c r="HF390" s="148"/>
      <c r="HG390" s="148"/>
      <c r="HH390" s="148"/>
      <c r="HI390" s="148"/>
      <c r="HJ390" s="148"/>
      <c r="HK390" s="148"/>
      <c r="HL390" s="148"/>
      <c r="HM390" s="148"/>
      <c r="HN390" s="148"/>
      <c r="HO390" s="148"/>
      <c r="HP390" s="148"/>
      <c r="HQ390" s="148"/>
      <c r="HR390" s="148"/>
      <c r="HS390" s="148"/>
      <c r="HT390" s="148"/>
      <c r="HU390" s="148"/>
      <c r="HV390" s="148"/>
      <c r="HW390" s="148"/>
      <c r="HX390" s="148"/>
      <c r="HY390" s="148"/>
      <c r="HZ390" s="148"/>
      <c r="IA390" s="148"/>
      <c r="IB390" s="148"/>
      <c r="IC390" s="148"/>
      <c r="ID390" s="148"/>
      <c r="IE390" s="148"/>
      <c r="IF390" s="148"/>
      <c r="IG390" s="148"/>
      <c r="IH390" s="148"/>
      <c r="II390" s="148"/>
      <c r="IJ390" s="148"/>
      <c r="IK390" s="148"/>
      <c r="IL390" s="148"/>
      <c r="IM390" s="148"/>
      <c r="IN390" s="148"/>
      <c r="IO390" s="148"/>
      <c r="IP390" s="148"/>
      <c r="IQ390" s="148"/>
      <c r="IR390" s="148"/>
      <c r="IS390" s="148"/>
      <c r="IT390" s="148"/>
      <c r="IU390" s="148"/>
      <c r="IV390" s="148"/>
    </row>
    <row r="391" spans="1:256">
      <c r="A391" s="843"/>
      <c r="B391" s="846"/>
      <c r="C391" s="178" t="s">
        <v>2</v>
      </c>
      <c r="D391" s="180">
        <f>D389+D390</f>
        <v>34126101</v>
      </c>
      <c r="E391" s="181">
        <f t="shared" ref="E391:P391" si="169">E389+E390</f>
        <v>16515350</v>
      </c>
      <c r="F391" s="181">
        <f t="shared" si="169"/>
        <v>0</v>
      </c>
      <c r="G391" s="181">
        <f t="shared" si="169"/>
        <v>0</v>
      </c>
      <c r="H391" s="181">
        <f t="shared" si="169"/>
        <v>0</v>
      </c>
      <c r="I391" s="181">
        <f t="shared" si="169"/>
        <v>16515350</v>
      </c>
      <c r="J391" s="181">
        <f t="shared" si="169"/>
        <v>0</v>
      </c>
      <c r="K391" s="181">
        <f t="shared" si="169"/>
        <v>0</v>
      </c>
      <c r="L391" s="181">
        <f t="shared" si="169"/>
        <v>0</v>
      </c>
      <c r="M391" s="181">
        <f t="shared" si="169"/>
        <v>17610751</v>
      </c>
      <c r="N391" s="181">
        <f t="shared" si="169"/>
        <v>17610751</v>
      </c>
      <c r="O391" s="181">
        <f t="shared" si="169"/>
        <v>0</v>
      </c>
      <c r="P391" s="181">
        <f t="shared" si="169"/>
        <v>0</v>
      </c>
      <c r="Q391" s="182"/>
      <c r="R391" s="182"/>
      <c r="S391" s="182"/>
      <c r="T391" s="182"/>
      <c r="U391" s="182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48"/>
      <c r="CC391" s="148"/>
      <c r="CD391" s="148"/>
      <c r="CE391" s="148"/>
      <c r="CF391" s="148"/>
      <c r="CG391" s="148"/>
      <c r="CH391" s="148"/>
      <c r="CI391" s="148"/>
      <c r="CJ391" s="148"/>
      <c r="CK391" s="148"/>
      <c r="CL391" s="148"/>
      <c r="CM391" s="148"/>
      <c r="CN391" s="148"/>
      <c r="CO391" s="148"/>
      <c r="CP391" s="148"/>
      <c r="CQ391" s="148"/>
      <c r="CR391" s="148"/>
      <c r="CS391" s="148"/>
      <c r="CT391" s="148"/>
      <c r="CU391" s="148"/>
      <c r="CV391" s="148"/>
      <c r="CW391" s="148"/>
      <c r="CX391" s="148"/>
      <c r="CY391" s="148"/>
      <c r="CZ391" s="148"/>
      <c r="DA391" s="148"/>
      <c r="DB391" s="148"/>
      <c r="DC391" s="148"/>
      <c r="DD391" s="148"/>
      <c r="DE391" s="148"/>
      <c r="DF391" s="148"/>
      <c r="DG391" s="148"/>
      <c r="DH391" s="148"/>
      <c r="DI391" s="148"/>
      <c r="DJ391" s="148"/>
      <c r="DK391" s="148"/>
      <c r="DL391" s="148"/>
      <c r="DM391" s="148"/>
      <c r="DN391" s="148"/>
      <c r="DO391" s="148"/>
      <c r="DP391" s="148"/>
      <c r="DQ391" s="148"/>
      <c r="DR391" s="148"/>
      <c r="DS391" s="148"/>
      <c r="DT391" s="148"/>
      <c r="DU391" s="148"/>
      <c r="DV391" s="148"/>
      <c r="DW391" s="148"/>
      <c r="DX391" s="148"/>
      <c r="DY391" s="148"/>
      <c r="DZ391" s="148"/>
      <c r="EA391" s="148"/>
      <c r="EB391" s="148"/>
      <c r="EC391" s="148"/>
      <c r="ED391" s="148"/>
      <c r="EE391" s="148"/>
      <c r="EF391" s="148"/>
      <c r="EG391" s="148"/>
      <c r="EH391" s="148"/>
      <c r="EI391" s="148"/>
      <c r="EJ391" s="148"/>
      <c r="EK391" s="148"/>
      <c r="EL391" s="148"/>
      <c r="EM391" s="148"/>
      <c r="EN391" s="148"/>
      <c r="EO391" s="148"/>
      <c r="EP391" s="148"/>
      <c r="EQ391" s="148"/>
      <c r="ER391" s="148"/>
      <c r="ES391" s="148"/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8"/>
      <c r="FF391" s="148"/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8"/>
      <c r="FS391" s="148"/>
      <c r="FT391" s="148"/>
      <c r="FU391" s="148"/>
      <c r="FV391" s="148"/>
      <c r="FW391" s="148"/>
      <c r="FX391" s="148"/>
      <c r="FY391" s="148"/>
      <c r="FZ391" s="148"/>
      <c r="GA391" s="148"/>
      <c r="GB391" s="148"/>
      <c r="GC391" s="148"/>
      <c r="GD391" s="148"/>
      <c r="GE391" s="148"/>
      <c r="GF391" s="148"/>
      <c r="GG391" s="148"/>
      <c r="GH391" s="148"/>
      <c r="GI391" s="148"/>
      <c r="GJ391" s="148"/>
      <c r="GK391" s="148"/>
      <c r="GL391" s="148"/>
      <c r="GM391" s="148"/>
      <c r="GN391" s="148"/>
      <c r="GO391" s="148"/>
      <c r="GP391" s="148"/>
      <c r="GQ391" s="148"/>
      <c r="GR391" s="148"/>
      <c r="GS391" s="148"/>
      <c r="GT391" s="148"/>
      <c r="GU391" s="148"/>
      <c r="GV391" s="148"/>
      <c r="GW391" s="148"/>
      <c r="GX391" s="148"/>
      <c r="GY391" s="148"/>
      <c r="GZ391" s="148"/>
      <c r="HA391" s="148"/>
      <c r="HB391" s="148"/>
      <c r="HC391" s="148"/>
      <c r="HD391" s="148"/>
      <c r="HE391" s="148"/>
      <c r="HF391" s="148"/>
      <c r="HG391" s="148"/>
      <c r="HH391" s="148"/>
      <c r="HI391" s="148"/>
      <c r="HJ391" s="148"/>
      <c r="HK391" s="148"/>
      <c r="HL391" s="148"/>
      <c r="HM391" s="148"/>
      <c r="HN391" s="148"/>
      <c r="HO391" s="148"/>
      <c r="HP391" s="148"/>
      <c r="HQ391" s="148"/>
      <c r="HR391" s="148"/>
      <c r="HS391" s="148"/>
      <c r="HT391" s="148"/>
      <c r="HU391" s="148"/>
      <c r="HV391" s="148"/>
      <c r="HW391" s="148"/>
      <c r="HX391" s="148"/>
      <c r="HY391" s="148"/>
      <c r="HZ391" s="148"/>
      <c r="IA391" s="148"/>
      <c r="IB391" s="148"/>
      <c r="IC391" s="148"/>
      <c r="ID391" s="148"/>
      <c r="IE391" s="148"/>
      <c r="IF391" s="148"/>
      <c r="IG391" s="148"/>
      <c r="IH391" s="148"/>
      <c r="II391" s="148"/>
      <c r="IJ391" s="148"/>
      <c r="IK391" s="148"/>
      <c r="IL391" s="148"/>
      <c r="IM391" s="148"/>
      <c r="IN391" s="148"/>
      <c r="IO391" s="148"/>
      <c r="IP391" s="148"/>
      <c r="IQ391" s="148"/>
      <c r="IR391" s="148"/>
      <c r="IS391" s="148"/>
      <c r="IT391" s="148"/>
      <c r="IU391" s="148"/>
      <c r="IV391" s="148"/>
    </row>
    <row r="392" spans="1:256">
      <c r="A392" s="841">
        <v>92110</v>
      </c>
      <c r="B392" s="844" t="s">
        <v>322</v>
      </c>
      <c r="C392" s="178" t="s">
        <v>0</v>
      </c>
      <c r="D392" s="180">
        <f t="shared" si="163"/>
        <v>4832193</v>
      </c>
      <c r="E392" s="181">
        <f t="shared" si="164"/>
        <v>4406240</v>
      </c>
      <c r="F392" s="181">
        <f t="shared" si="165"/>
        <v>0</v>
      </c>
      <c r="G392" s="181">
        <v>0</v>
      </c>
      <c r="H392" s="181">
        <v>0</v>
      </c>
      <c r="I392" s="181">
        <v>4406240</v>
      </c>
      <c r="J392" s="181">
        <v>0</v>
      </c>
      <c r="K392" s="181">
        <v>0</v>
      </c>
      <c r="L392" s="181">
        <v>0</v>
      </c>
      <c r="M392" s="181">
        <f t="shared" si="166"/>
        <v>425953</v>
      </c>
      <c r="N392" s="181">
        <v>425953</v>
      </c>
      <c r="O392" s="181">
        <v>0</v>
      </c>
      <c r="P392" s="181">
        <v>0</v>
      </c>
      <c r="Q392" s="182"/>
      <c r="R392" s="182"/>
      <c r="S392" s="182"/>
      <c r="T392" s="182"/>
      <c r="U392" s="182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48"/>
      <c r="CC392" s="148"/>
      <c r="CD392" s="148"/>
      <c r="CE392" s="148"/>
      <c r="CF392" s="148"/>
      <c r="CG392" s="148"/>
      <c r="CH392" s="148"/>
      <c r="CI392" s="148"/>
      <c r="CJ392" s="148"/>
      <c r="CK392" s="148"/>
      <c r="CL392" s="148"/>
      <c r="CM392" s="148"/>
      <c r="CN392" s="148"/>
      <c r="CO392" s="148"/>
      <c r="CP392" s="148"/>
      <c r="CQ392" s="148"/>
      <c r="CR392" s="148"/>
      <c r="CS392" s="148"/>
      <c r="CT392" s="148"/>
      <c r="CU392" s="148"/>
      <c r="CV392" s="148"/>
      <c r="CW392" s="148"/>
      <c r="CX392" s="148"/>
      <c r="CY392" s="148"/>
      <c r="CZ392" s="148"/>
      <c r="DA392" s="148"/>
      <c r="DB392" s="148"/>
      <c r="DC392" s="148"/>
      <c r="DD392" s="148"/>
      <c r="DE392" s="148"/>
      <c r="DF392" s="148"/>
      <c r="DG392" s="148"/>
      <c r="DH392" s="148"/>
      <c r="DI392" s="148"/>
      <c r="DJ392" s="148"/>
      <c r="DK392" s="148"/>
      <c r="DL392" s="148"/>
      <c r="DM392" s="148"/>
      <c r="DN392" s="148"/>
      <c r="DO392" s="148"/>
      <c r="DP392" s="148"/>
      <c r="DQ392" s="148"/>
      <c r="DR392" s="148"/>
      <c r="DS392" s="148"/>
      <c r="DT392" s="148"/>
      <c r="DU392" s="148"/>
      <c r="DV392" s="148"/>
      <c r="DW392" s="148"/>
      <c r="DX392" s="148"/>
      <c r="DY392" s="148"/>
      <c r="DZ392" s="148"/>
      <c r="EA392" s="148"/>
      <c r="EB392" s="148"/>
      <c r="EC392" s="148"/>
      <c r="ED392" s="148"/>
      <c r="EE392" s="148"/>
      <c r="EF392" s="148"/>
      <c r="EG392" s="148"/>
      <c r="EH392" s="148"/>
      <c r="EI392" s="148"/>
      <c r="EJ392" s="148"/>
      <c r="EK392" s="148"/>
      <c r="EL392" s="148"/>
      <c r="EM392" s="148"/>
      <c r="EN392" s="148"/>
      <c r="EO392" s="148"/>
      <c r="EP392" s="148"/>
      <c r="EQ392" s="148"/>
      <c r="ER392" s="148"/>
      <c r="ES392" s="148"/>
      <c r="ET392" s="148"/>
      <c r="EU392" s="148"/>
      <c r="EV392" s="148"/>
      <c r="EW392" s="148"/>
      <c r="EX392" s="148"/>
      <c r="EY392" s="148"/>
      <c r="EZ392" s="148"/>
      <c r="FA392" s="148"/>
      <c r="FB392" s="148"/>
      <c r="FC392" s="148"/>
      <c r="FD392" s="148"/>
      <c r="FE392" s="148"/>
      <c r="FF392" s="148"/>
      <c r="FG392" s="148"/>
      <c r="FH392" s="148"/>
      <c r="FI392" s="148"/>
      <c r="FJ392" s="148"/>
      <c r="FK392" s="148"/>
      <c r="FL392" s="148"/>
      <c r="FM392" s="148"/>
      <c r="FN392" s="148"/>
      <c r="FO392" s="148"/>
      <c r="FP392" s="148"/>
      <c r="FQ392" s="148"/>
      <c r="FR392" s="148"/>
      <c r="FS392" s="148"/>
      <c r="FT392" s="148"/>
      <c r="FU392" s="148"/>
      <c r="FV392" s="148"/>
      <c r="FW392" s="148"/>
      <c r="FX392" s="148"/>
      <c r="FY392" s="148"/>
      <c r="FZ392" s="148"/>
      <c r="GA392" s="148"/>
      <c r="GB392" s="148"/>
      <c r="GC392" s="148"/>
      <c r="GD392" s="148"/>
      <c r="GE392" s="148"/>
      <c r="GF392" s="148"/>
      <c r="GG392" s="148"/>
      <c r="GH392" s="148"/>
      <c r="GI392" s="148"/>
      <c r="GJ392" s="148"/>
      <c r="GK392" s="148"/>
      <c r="GL392" s="148"/>
      <c r="GM392" s="148"/>
      <c r="GN392" s="148"/>
      <c r="GO392" s="148"/>
      <c r="GP392" s="148"/>
      <c r="GQ392" s="148"/>
      <c r="GR392" s="148"/>
      <c r="GS392" s="148"/>
      <c r="GT392" s="148"/>
      <c r="GU392" s="148"/>
      <c r="GV392" s="148"/>
      <c r="GW392" s="148"/>
      <c r="GX392" s="148"/>
      <c r="GY392" s="148"/>
      <c r="GZ392" s="148"/>
      <c r="HA392" s="148"/>
      <c r="HB392" s="148"/>
      <c r="HC392" s="148"/>
      <c r="HD392" s="148"/>
      <c r="HE392" s="148"/>
      <c r="HF392" s="148"/>
      <c r="HG392" s="148"/>
      <c r="HH392" s="148"/>
      <c r="HI392" s="148"/>
      <c r="HJ392" s="148"/>
      <c r="HK392" s="148"/>
      <c r="HL392" s="148"/>
      <c r="HM392" s="148"/>
      <c r="HN392" s="148"/>
      <c r="HO392" s="148"/>
      <c r="HP392" s="148"/>
      <c r="HQ392" s="148"/>
      <c r="HR392" s="148"/>
      <c r="HS392" s="148"/>
      <c r="HT392" s="148"/>
      <c r="HU392" s="148"/>
      <c r="HV392" s="148"/>
      <c r="HW392" s="148"/>
      <c r="HX392" s="148"/>
      <c r="HY392" s="148"/>
      <c r="HZ392" s="148"/>
      <c r="IA392" s="148"/>
      <c r="IB392" s="148"/>
      <c r="IC392" s="148"/>
      <c r="ID392" s="148"/>
      <c r="IE392" s="148"/>
      <c r="IF392" s="148"/>
      <c r="IG392" s="148"/>
      <c r="IH392" s="148"/>
      <c r="II392" s="148"/>
      <c r="IJ392" s="148"/>
      <c r="IK392" s="148"/>
      <c r="IL392" s="148"/>
      <c r="IM392" s="148"/>
      <c r="IN392" s="148"/>
      <c r="IO392" s="148"/>
      <c r="IP392" s="148"/>
      <c r="IQ392" s="148"/>
      <c r="IR392" s="148"/>
      <c r="IS392" s="148"/>
      <c r="IT392" s="148"/>
      <c r="IU392" s="148"/>
      <c r="IV392" s="148"/>
    </row>
    <row r="393" spans="1:256">
      <c r="A393" s="842"/>
      <c r="B393" s="845"/>
      <c r="C393" s="178" t="s">
        <v>1</v>
      </c>
      <c r="D393" s="180">
        <f t="shared" si="163"/>
        <v>117836</v>
      </c>
      <c r="E393" s="181">
        <f t="shared" si="164"/>
        <v>94006</v>
      </c>
      <c r="F393" s="181">
        <f t="shared" si="165"/>
        <v>0</v>
      </c>
      <c r="G393" s="181"/>
      <c r="H393" s="181"/>
      <c r="I393" s="181">
        <v>94006</v>
      </c>
      <c r="J393" s="181"/>
      <c r="K393" s="181"/>
      <c r="L393" s="181"/>
      <c r="M393" s="181">
        <f t="shared" si="166"/>
        <v>23830</v>
      </c>
      <c r="N393" s="181">
        <v>23830</v>
      </c>
      <c r="O393" s="181"/>
      <c r="P393" s="181"/>
      <c r="Q393" s="182"/>
      <c r="R393" s="182"/>
      <c r="S393" s="182"/>
      <c r="T393" s="182"/>
      <c r="U393" s="182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48"/>
      <c r="CC393" s="148"/>
      <c r="CD393" s="148"/>
      <c r="CE393" s="148"/>
      <c r="CF393" s="148"/>
      <c r="CG393" s="148"/>
      <c r="CH393" s="148"/>
      <c r="CI393" s="148"/>
      <c r="CJ393" s="148"/>
      <c r="CK393" s="148"/>
      <c r="CL393" s="148"/>
      <c r="CM393" s="148"/>
      <c r="CN393" s="148"/>
      <c r="CO393" s="148"/>
      <c r="CP393" s="148"/>
      <c r="CQ393" s="148"/>
      <c r="CR393" s="148"/>
      <c r="CS393" s="148"/>
      <c r="CT393" s="148"/>
      <c r="CU393" s="148"/>
      <c r="CV393" s="148"/>
      <c r="CW393" s="148"/>
      <c r="CX393" s="148"/>
      <c r="CY393" s="148"/>
      <c r="CZ393" s="148"/>
      <c r="DA393" s="148"/>
      <c r="DB393" s="148"/>
      <c r="DC393" s="148"/>
      <c r="DD393" s="148"/>
      <c r="DE393" s="148"/>
      <c r="DF393" s="148"/>
      <c r="DG393" s="148"/>
      <c r="DH393" s="148"/>
      <c r="DI393" s="148"/>
      <c r="DJ393" s="148"/>
      <c r="DK393" s="148"/>
      <c r="DL393" s="148"/>
      <c r="DM393" s="148"/>
      <c r="DN393" s="148"/>
      <c r="DO393" s="148"/>
      <c r="DP393" s="148"/>
      <c r="DQ393" s="148"/>
      <c r="DR393" s="148"/>
      <c r="DS393" s="148"/>
      <c r="DT393" s="148"/>
      <c r="DU393" s="148"/>
      <c r="DV393" s="148"/>
      <c r="DW393" s="148"/>
      <c r="DX393" s="148"/>
      <c r="DY393" s="148"/>
      <c r="DZ393" s="148"/>
      <c r="EA393" s="148"/>
      <c r="EB393" s="148"/>
      <c r="EC393" s="148"/>
      <c r="ED393" s="148"/>
      <c r="EE393" s="148"/>
      <c r="EF393" s="148"/>
      <c r="EG393" s="148"/>
      <c r="EH393" s="148"/>
      <c r="EI393" s="148"/>
      <c r="EJ393" s="148"/>
      <c r="EK393" s="148"/>
      <c r="EL393" s="148"/>
      <c r="EM393" s="148"/>
      <c r="EN393" s="148"/>
      <c r="EO393" s="148"/>
      <c r="EP393" s="148"/>
      <c r="EQ393" s="148"/>
      <c r="ER393" s="148"/>
      <c r="ES393" s="148"/>
      <c r="ET393" s="148"/>
      <c r="EU393" s="148"/>
      <c r="EV393" s="148"/>
      <c r="EW393" s="148"/>
      <c r="EX393" s="148"/>
      <c r="EY393" s="148"/>
      <c r="EZ393" s="148"/>
      <c r="FA393" s="148"/>
      <c r="FB393" s="148"/>
      <c r="FC393" s="148"/>
      <c r="FD393" s="148"/>
      <c r="FE393" s="148"/>
      <c r="FF393" s="148"/>
      <c r="FG393" s="148"/>
      <c r="FH393" s="148"/>
      <c r="FI393" s="148"/>
      <c r="FJ393" s="148"/>
      <c r="FK393" s="148"/>
      <c r="FL393" s="148"/>
      <c r="FM393" s="148"/>
      <c r="FN393" s="148"/>
      <c r="FO393" s="148"/>
      <c r="FP393" s="148"/>
      <c r="FQ393" s="148"/>
      <c r="FR393" s="148"/>
      <c r="FS393" s="148"/>
      <c r="FT393" s="148"/>
      <c r="FU393" s="148"/>
      <c r="FV393" s="148"/>
      <c r="FW393" s="148"/>
      <c r="FX393" s="148"/>
      <c r="FY393" s="148"/>
      <c r="FZ393" s="148"/>
      <c r="GA393" s="148"/>
      <c r="GB393" s="148"/>
      <c r="GC393" s="148"/>
      <c r="GD393" s="148"/>
      <c r="GE393" s="148"/>
      <c r="GF393" s="148"/>
      <c r="GG393" s="148"/>
      <c r="GH393" s="148"/>
      <c r="GI393" s="148"/>
      <c r="GJ393" s="148"/>
      <c r="GK393" s="148"/>
      <c r="GL393" s="148"/>
      <c r="GM393" s="148"/>
      <c r="GN393" s="148"/>
      <c r="GO393" s="148"/>
      <c r="GP393" s="148"/>
      <c r="GQ393" s="148"/>
      <c r="GR393" s="148"/>
      <c r="GS393" s="148"/>
      <c r="GT393" s="148"/>
      <c r="GU393" s="148"/>
      <c r="GV393" s="148"/>
      <c r="GW393" s="148"/>
      <c r="GX393" s="148"/>
      <c r="GY393" s="148"/>
      <c r="GZ393" s="148"/>
      <c r="HA393" s="148"/>
      <c r="HB393" s="148"/>
      <c r="HC393" s="148"/>
      <c r="HD393" s="148"/>
      <c r="HE393" s="148"/>
      <c r="HF393" s="148"/>
      <c r="HG393" s="148"/>
      <c r="HH393" s="148"/>
      <c r="HI393" s="148"/>
      <c r="HJ393" s="148"/>
      <c r="HK393" s="148"/>
      <c r="HL393" s="148"/>
      <c r="HM393" s="148"/>
      <c r="HN393" s="148"/>
      <c r="HO393" s="148"/>
      <c r="HP393" s="148"/>
      <c r="HQ393" s="148"/>
      <c r="HR393" s="148"/>
      <c r="HS393" s="148"/>
      <c r="HT393" s="148"/>
      <c r="HU393" s="148"/>
      <c r="HV393" s="148"/>
      <c r="HW393" s="148"/>
      <c r="HX393" s="148"/>
      <c r="HY393" s="148"/>
      <c r="HZ393" s="148"/>
      <c r="IA393" s="148"/>
      <c r="IB393" s="148"/>
      <c r="IC393" s="148"/>
      <c r="ID393" s="148"/>
      <c r="IE393" s="148"/>
      <c r="IF393" s="148"/>
      <c r="IG393" s="148"/>
      <c r="IH393" s="148"/>
      <c r="II393" s="148"/>
      <c r="IJ393" s="148"/>
      <c r="IK393" s="148"/>
      <c r="IL393" s="148"/>
      <c r="IM393" s="148"/>
      <c r="IN393" s="148"/>
      <c r="IO393" s="148"/>
      <c r="IP393" s="148"/>
      <c r="IQ393" s="148"/>
      <c r="IR393" s="148"/>
      <c r="IS393" s="148"/>
      <c r="IT393" s="148"/>
      <c r="IU393" s="148"/>
      <c r="IV393" s="148"/>
    </row>
    <row r="394" spans="1:256">
      <c r="A394" s="843"/>
      <c r="B394" s="846"/>
      <c r="C394" s="178" t="s">
        <v>2</v>
      </c>
      <c r="D394" s="180">
        <f>D392+D393</f>
        <v>4950029</v>
      </c>
      <c r="E394" s="181">
        <f t="shared" ref="E394:P394" si="170">E392+E393</f>
        <v>4500246</v>
      </c>
      <c r="F394" s="181">
        <f t="shared" si="170"/>
        <v>0</v>
      </c>
      <c r="G394" s="181">
        <f t="shared" si="170"/>
        <v>0</v>
      </c>
      <c r="H394" s="181">
        <f t="shared" si="170"/>
        <v>0</v>
      </c>
      <c r="I394" s="181">
        <f t="shared" si="170"/>
        <v>4500246</v>
      </c>
      <c r="J394" s="181">
        <f t="shared" si="170"/>
        <v>0</v>
      </c>
      <c r="K394" s="181">
        <f t="shared" si="170"/>
        <v>0</v>
      </c>
      <c r="L394" s="181">
        <f t="shared" si="170"/>
        <v>0</v>
      </c>
      <c r="M394" s="181">
        <f t="shared" si="170"/>
        <v>449783</v>
      </c>
      <c r="N394" s="181">
        <f t="shared" si="170"/>
        <v>449783</v>
      </c>
      <c r="O394" s="181">
        <f t="shared" si="170"/>
        <v>0</v>
      </c>
      <c r="P394" s="181">
        <f t="shared" si="170"/>
        <v>0</v>
      </c>
      <c r="Q394" s="182"/>
      <c r="R394" s="182"/>
      <c r="S394" s="182"/>
      <c r="T394" s="182"/>
      <c r="U394" s="182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48"/>
      <c r="CC394" s="148"/>
      <c r="CD394" s="148"/>
      <c r="CE394" s="148"/>
      <c r="CF394" s="148"/>
      <c r="CG394" s="148"/>
      <c r="CH394" s="148"/>
      <c r="CI394" s="148"/>
      <c r="CJ394" s="148"/>
      <c r="CK394" s="148"/>
      <c r="CL394" s="148"/>
      <c r="CM394" s="148"/>
      <c r="CN394" s="148"/>
      <c r="CO394" s="148"/>
      <c r="CP394" s="148"/>
      <c r="CQ394" s="148"/>
      <c r="CR394" s="148"/>
      <c r="CS394" s="148"/>
      <c r="CT394" s="148"/>
      <c r="CU394" s="148"/>
      <c r="CV394" s="148"/>
      <c r="CW394" s="148"/>
      <c r="CX394" s="148"/>
      <c r="CY394" s="148"/>
      <c r="CZ394" s="148"/>
      <c r="DA394" s="148"/>
      <c r="DB394" s="148"/>
      <c r="DC394" s="148"/>
      <c r="DD394" s="148"/>
      <c r="DE394" s="148"/>
      <c r="DF394" s="148"/>
      <c r="DG394" s="148"/>
      <c r="DH394" s="148"/>
      <c r="DI394" s="148"/>
      <c r="DJ394" s="148"/>
      <c r="DK394" s="148"/>
      <c r="DL394" s="148"/>
      <c r="DM394" s="148"/>
      <c r="DN394" s="148"/>
      <c r="DO394" s="148"/>
      <c r="DP394" s="148"/>
      <c r="DQ394" s="148"/>
      <c r="DR394" s="148"/>
      <c r="DS394" s="148"/>
      <c r="DT394" s="148"/>
      <c r="DU394" s="148"/>
      <c r="DV394" s="148"/>
      <c r="DW394" s="148"/>
      <c r="DX394" s="148"/>
      <c r="DY394" s="148"/>
      <c r="DZ394" s="148"/>
      <c r="EA394" s="148"/>
      <c r="EB394" s="148"/>
      <c r="EC394" s="148"/>
      <c r="ED394" s="148"/>
      <c r="EE394" s="148"/>
      <c r="EF394" s="148"/>
      <c r="EG394" s="148"/>
      <c r="EH394" s="148"/>
      <c r="EI394" s="148"/>
      <c r="EJ394" s="148"/>
      <c r="EK394" s="148"/>
      <c r="EL394" s="148"/>
      <c r="EM394" s="148"/>
      <c r="EN394" s="148"/>
      <c r="EO394" s="148"/>
      <c r="EP394" s="148"/>
      <c r="EQ394" s="148"/>
      <c r="ER394" s="148"/>
      <c r="ES394" s="148"/>
      <c r="ET394" s="148"/>
      <c r="EU394" s="148"/>
      <c r="EV394" s="148"/>
      <c r="EW394" s="148"/>
      <c r="EX394" s="148"/>
      <c r="EY394" s="148"/>
      <c r="EZ394" s="148"/>
      <c r="FA394" s="148"/>
      <c r="FB394" s="148"/>
      <c r="FC394" s="148"/>
      <c r="FD394" s="148"/>
      <c r="FE394" s="148"/>
      <c r="FF394" s="148"/>
      <c r="FG394" s="148"/>
      <c r="FH394" s="148"/>
      <c r="FI394" s="148"/>
      <c r="FJ394" s="148"/>
      <c r="FK394" s="148"/>
      <c r="FL394" s="148"/>
      <c r="FM394" s="148"/>
      <c r="FN394" s="148"/>
      <c r="FO394" s="148"/>
      <c r="FP394" s="148"/>
      <c r="FQ394" s="148"/>
      <c r="FR394" s="148"/>
      <c r="FS394" s="148"/>
      <c r="FT394" s="148"/>
      <c r="FU394" s="148"/>
      <c r="FV394" s="148"/>
      <c r="FW394" s="148"/>
      <c r="FX394" s="148"/>
      <c r="FY394" s="148"/>
      <c r="FZ394" s="148"/>
      <c r="GA394" s="148"/>
      <c r="GB394" s="148"/>
      <c r="GC394" s="148"/>
      <c r="GD394" s="148"/>
      <c r="GE394" s="148"/>
      <c r="GF394" s="148"/>
      <c r="GG394" s="148"/>
      <c r="GH394" s="148"/>
      <c r="GI394" s="148"/>
      <c r="GJ394" s="148"/>
      <c r="GK394" s="148"/>
      <c r="GL394" s="148"/>
      <c r="GM394" s="148"/>
      <c r="GN394" s="148"/>
      <c r="GO394" s="148"/>
      <c r="GP394" s="148"/>
      <c r="GQ394" s="148"/>
      <c r="GR394" s="148"/>
      <c r="GS394" s="148"/>
      <c r="GT394" s="148"/>
      <c r="GU394" s="148"/>
      <c r="GV394" s="148"/>
      <c r="GW394" s="148"/>
      <c r="GX394" s="148"/>
      <c r="GY394" s="148"/>
      <c r="GZ394" s="148"/>
      <c r="HA394" s="148"/>
      <c r="HB394" s="148"/>
      <c r="HC394" s="148"/>
      <c r="HD394" s="148"/>
      <c r="HE394" s="148"/>
      <c r="HF394" s="148"/>
      <c r="HG394" s="148"/>
      <c r="HH394" s="148"/>
      <c r="HI394" s="148"/>
      <c r="HJ394" s="148"/>
      <c r="HK394" s="148"/>
      <c r="HL394" s="148"/>
      <c r="HM394" s="148"/>
      <c r="HN394" s="148"/>
      <c r="HO394" s="148"/>
      <c r="HP394" s="148"/>
      <c r="HQ394" s="148"/>
      <c r="HR394" s="148"/>
      <c r="HS394" s="148"/>
      <c r="HT394" s="148"/>
      <c r="HU394" s="148"/>
      <c r="HV394" s="148"/>
      <c r="HW394" s="148"/>
      <c r="HX394" s="148"/>
      <c r="HY394" s="148"/>
      <c r="HZ394" s="148"/>
      <c r="IA394" s="148"/>
      <c r="IB394" s="148"/>
      <c r="IC394" s="148"/>
      <c r="ID394" s="148"/>
      <c r="IE394" s="148"/>
      <c r="IF394" s="148"/>
      <c r="IG394" s="148"/>
      <c r="IH394" s="148"/>
      <c r="II394" s="148"/>
      <c r="IJ394" s="148"/>
      <c r="IK394" s="148"/>
      <c r="IL394" s="148"/>
      <c r="IM394" s="148"/>
      <c r="IN394" s="148"/>
      <c r="IO394" s="148"/>
      <c r="IP394" s="148"/>
      <c r="IQ394" s="148"/>
      <c r="IR394" s="148"/>
      <c r="IS394" s="148"/>
      <c r="IT394" s="148"/>
      <c r="IU394" s="148"/>
      <c r="IV394" s="148"/>
    </row>
    <row r="395" spans="1:256">
      <c r="A395" s="841">
        <v>92113</v>
      </c>
      <c r="B395" s="844" t="s">
        <v>323</v>
      </c>
      <c r="C395" s="178" t="s">
        <v>0</v>
      </c>
      <c r="D395" s="180">
        <f t="shared" si="163"/>
        <v>1609500</v>
      </c>
      <c r="E395" s="181">
        <f t="shared" si="164"/>
        <v>1609500</v>
      </c>
      <c r="F395" s="181">
        <f t="shared" si="165"/>
        <v>0</v>
      </c>
      <c r="G395" s="181">
        <v>0</v>
      </c>
      <c r="H395" s="181">
        <v>0</v>
      </c>
      <c r="I395" s="181">
        <v>1609500</v>
      </c>
      <c r="J395" s="181">
        <v>0</v>
      </c>
      <c r="K395" s="181">
        <v>0</v>
      </c>
      <c r="L395" s="181">
        <v>0</v>
      </c>
      <c r="M395" s="181">
        <f t="shared" si="166"/>
        <v>0</v>
      </c>
      <c r="N395" s="181">
        <v>0</v>
      </c>
      <c r="O395" s="181">
        <v>0</v>
      </c>
      <c r="P395" s="181">
        <v>0</v>
      </c>
      <c r="Q395" s="182"/>
      <c r="R395" s="182"/>
      <c r="S395" s="182"/>
      <c r="T395" s="182"/>
      <c r="U395" s="182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148"/>
      <c r="FG395" s="148"/>
      <c r="FH395" s="148"/>
      <c r="FI395" s="148"/>
      <c r="FJ395" s="148"/>
      <c r="FK395" s="148"/>
      <c r="FL395" s="148"/>
      <c r="FM395" s="148"/>
      <c r="FN395" s="148"/>
      <c r="FO395" s="148"/>
      <c r="FP395" s="148"/>
      <c r="FQ395" s="148"/>
      <c r="FR395" s="148"/>
      <c r="FS395" s="148"/>
      <c r="FT395" s="148"/>
      <c r="FU395" s="148"/>
      <c r="FV395" s="148"/>
      <c r="FW395" s="148"/>
      <c r="FX395" s="148"/>
      <c r="FY395" s="148"/>
      <c r="FZ395" s="148"/>
      <c r="GA395" s="148"/>
      <c r="GB395" s="148"/>
      <c r="GC395" s="148"/>
      <c r="GD395" s="148"/>
      <c r="GE395" s="148"/>
      <c r="GF395" s="148"/>
      <c r="GG395" s="148"/>
      <c r="GH395" s="148"/>
      <c r="GI395" s="148"/>
      <c r="GJ395" s="148"/>
      <c r="GK395" s="148"/>
      <c r="GL395" s="148"/>
      <c r="GM395" s="148"/>
      <c r="GN395" s="148"/>
      <c r="GO395" s="148"/>
      <c r="GP395" s="148"/>
      <c r="GQ395" s="148"/>
      <c r="GR395" s="148"/>
      <c r="GS395" s="148"/>
      <c r="GT395" s="148"/>
      <c r="GU395" s="148"/>
      <c r="GV395" s="148"/>
      <c r="GW395" s="148"/>
      <c r="GX395" s="148"/>
      <c r="GY395" s="148"/>
      <c r="GZ395" s="148"/>
      <c r="HA395" s="148"/>
      <c r="HB395" s="148"/>
      <c r="HC395" s="148"/>
      <c r="HD395" s="148"/>
      <c r="HE395" s="148"/>
      <c r="HF395" s="148"/>
      <c r="HG395" s="148"/>
      <c r="HH395" s="148"/>
      <c r="HI395" s="148"/>
      <c r="HJ395" s="148"/>
      <c r="HK395" s="148"/>
      <c r="HL395" s="148"/>
      <c r="HM395" s="148"/>
      <c r="HN395" s="148"/>
      <c r="HO395" s="148"/>
      <c r="HP395" s="148"/>
      <c r="HQ395" s="148"/>
      <c r="HR395" s="148"/>
      <c r="HS395" s="148"/>
      <c r="HT395" s="148"/>
      <c r="HU395" s="148"/>
      <c r="HV395" s="148"/>
      <c r="HW395" s="148"/>
      <c r="HX395" s="148"/>
      <c r="HY395" s="148"/>
      <c r="HZ395" s="148"/>
      <c r="IA395" s="148"/>
      <c r="IB395" s="148"/>
      <c r="IC395" s="148"/>
      <c r="ID395" s="148"/>
      <c r="IE395" s="148"/>
      <c r="IF395" s="148"/>
      <c r="IG395" s="148"/>
      <c r="IH395" s="148"/>
      <c r="II395" s="148"/>
      <c r="IJ395" s="148"/>
      <c r="IK395" s="148"/>
      <c r="IL395" s="148"/>
      <c r="IM395" s="148"/>
      <c r="IN395" s="148"/>
      <c r="IO395" s="148"/>
      <c r="IP395" s="148"/>
      <c r="IQ395" s="148"/>
      <c r="IR395" s="148"/>
      <c r="IS395" s="148"/>
      <c r="IT395" s="148"/>
      <c r="IU395" s="148"/>
      <c r="IV395" s="148"/>
    </row>
    <row r="396" spans="1:256">
      <c r="A396" s="842"/>
      <c r="B396" s="845"/>
      <c r="C396" s="178" t="s">
        <v>1</v>
      </c>
      <c r="D396" s="180">
        <f t="shared" si="163"/>
        <v>300000</v>
      </c>
      <c r="E396" s="181">
        <f t="shared" si="164"/>
        <v>300000</v>
      </c>
      <c r="F396" s="181">
        <f t="shared" si="165"/>
        <v>0</v>
      </c>
      <c r="G396" s="181"/>
      <c r="H396" s="181"/>
      <c r="I396" s="181">
        <v>300000</v>
      </c>
      <c r="J396" s="181"/>
      <c r="K396" s="181"/>
      <c r="L396" s="181"/>
      <c r="M396" s="181">
        <f t="shared" si="166"/>
        <v>0</v>
      </c>
      <c r="N396" s="181"/>
      <c r="O396" s="181"/>
      <c r="P396" s="181"/>
      <c r="Q396" s="182"/>
      <c r="R396" s="182"/>
      <c r="S396" s="182"/>
      <c r="T396" s="182"/>
      <c r="U396" s="182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148"/>
      <c r="FG396" s="148"/>
      <c r="FH396" s="148"/>
      <c r="FI396" s="148"/>
      <c r="FJ396" s="148"/>
      <c r="FK396" s="148"/>
      <c r="FL396" s="148"/>
      <c r="FM396" s="148"/>
      <c r="FN396" s="148"/>
      <c r="FO396" s="148"/>
      <c r="FP396" s="148"/>
      <c r="FQ396" s="148"/>
      <c r="FR396" s="148"/>
      <c r="FS396" s="148"/>
      <c r="FT396" s="148"/>
      <c r="FU396" s="148"/>
      <c r="FV396" s="148"/>
      <c r="FW396" s="148"/>
      <c r="FX396" s="148"/>
      <c r="FY396" s="148"/>
      <c r="FZ396" s="148"/>
      <c r="GA396" s="148"/>
      <c r="GB396" s="148"/>
      <c r="GC396" s="148"/>
      <c r="GD396" s="148"/>
      <c r="GE396" s="148"/>
      <c r="GF396" s="148"/>
      <c r="GG396" s="148"/>
      <c r="GH396" s="148"/>
      <c r="GI396" s="148"/>
      <c r="GJ396" s="148"/>
      <c r="GK396" s="148"/>
      <c r="GL396" s="148"/>
      <c r="GM396" s="148"/>
      <c r="GN396" s="148"/>
      <c r="GO396" s="148"/>
      <c r="GP396" s="148"/>
      <c r="GQ396" s="148"/>
      <c r="GR396" s="148"/>
      <c r="GS396" s="148"/>
      <c r="GT396" s="148"/>
      <c r="GU396" s="148"/>
      <c r="GV396" s="148"/>
      <c r="GW396" s="148"/>
      <c r="GX396" s="148"/>
      <c r="GY396" s="148"/>
      <c r="GZ396" s="148"/>
      <c r="HA396" s="148"/>
      <c r="HB396" s="148"/>
      <c r="HC396" s="148"/>
      <c r="HD396" s="148"/>
      <c r="HE396" s="148"/>
      <c r="HF396" s="148"/>
      <c r="HG396" s="148"/>
      <c r="HH396" s="148"/>
      <c r="HI396" s="148"/>
      <c r="HJ396" s="148"/>
      <c r="HK396" s="148"/>
      <c r="HL396" s="148"/>
      <c r="HM396" s="148"/>
      <c r="HN396" s="148"/>
      <c r="HO396" s="148"/>
      <c r="HP396" s="148"/>
      <c r="HQ396" s="148"/>
      <c r="HR396" s="148"/>
      <c r="HS396" s="148"/>
      <c r="HT396" s="148"/>
      <c r="HU396" s="148"/>
      <c r="HV396" s="148"/>
      <c r="HW396" s="148"/>
      <c r="HX396" s="148"/>
      <c r="HY396" s="148"/>
      <c r="HZ396" s="148"/>
      <c r="IA396" s="148"/>
      <c r="IB396" s="148"/>
      <c r="IC396" s="148"/>
      <c r="ID396" s="148"/>
      <c r="IE396" s="148"/>
      <c r="IF396" s="148"/>
      <c r="IG396" s="148"/>
      <c r="IH396" s="148"/>
      <c r="II396" s="148"/>
      <c r="IJ396" s="148"/>
      <c r="IK396" s="148"/>
      <c r="IL396" s="148"/>
      <c r="IM396" s="148"/>
      <c r="IN396" s="148"/>
      <c r="IO396" s="148"/>
      <c r="IP396" s="148"/>
      <c r="IQ396" s="148"/>
      <c r="IR396" s="148"/>
      <c r="IS396" s="148"/>
      <c r="IT396" s="148"/>
      <c r="IU396" s="148"/>
      <c r="IV396" s="148"/>
    </row>
    <row r="397" spans="1:256">
      <c r="A397" s="843"/>
      <c r="B397" s="846"/>
      <c r="C397" s="178" t="s">
        <v>2</v>
      </c>
      <c r="D397" s="180">
        <f>D395+D396</f>
        <v>1909500</v>
      </c>
      <c r="E397" s="181">
        <f t="shared" ref="E397:P397" si="171">E395+E396</f>
        <v>1909500</v>
      </c>
      <c r="F397" s="181">
        <f t="shared" si="171"/>
        <v>0</v>
      </c>
      <c r="G397" s="181">
        <f t="shared" si="171"/>
        <v>0</v>
      </c>
      <c r="H397" s="181">
        <f t="shared" si="171"/>
        <v>0</v>
      </c>
      <c r="I397" s="181">
        <f t="shared" si="171"/>
        <v>1909500</v>
      </c>
      <c r="J397" s="181">
        <f t="shared" si="171"/>
        <v>0</v>
      </c>
      <c r="K397" s="181">
        <f t="shared" si="171"/>
        <v>0</v>
      </c>
      <c r="L397" s="181">
        <f t="shared" si="171"/>
        <v>0</v>
      </c>
      <c r="M397" s="181">
        <f t="shared" si="171"/>
        <v>0</v>
      </c>
      <c r="N397" s="181">
        <f t="shared" si="171"/>
        <v>0</v>
      </c>
      <c r="O397" s="181">
        <f t="shared" si="171"/>
        <v>0</v>
      </c>
      <c r="P397" s="181">
        <f t="shared" si="171"/>
        <v>0</v>
      </c>
      <c r="Q397" s="182"/>
      <c r="R397" s="182"/>
      <c r="S397" s="182"/>
      <c r="T397" s="182"/>
      <c r="U397" s="182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148"/>
      <c r="FG397" s="148"/>
      <c r="FH397" s="148"/>
      <c r="FI397" s="148"/>
      <c r="FJ397" s="148"/>
      <c r="FK397" s="148"/>
      <c r="FL397" s="148"/>
      <c r="FM397" s="148"/>
      <c r="FN397" s="148"/>
      <c r="FO397" s="148"/>
      <c r="FP397" s="148"/>
      <c r="FQ397" s="148"/>
      <c r="FR397" s="148"/>
      <c r="FS397" s="148"/>
      <c r="FT397" s="148"/>
      <c r="FU397" s="148"/>
      <c r="FV397" s="148"/>
      <c r="FW397" s="148"/>
      <c r="FX397" s="148"/>
      <c r="FY397" s="148"/>
      <c r="FZ397" s="148"/>
      <c r="GA397" s="148"/>
      <c r="GB397" s="148"/>
      <c r="GC397" s="148"/>
      <c r="GD397" s="148"/>
      <c r="GE397" s="148"/>
      <c r="GF397" s="148"/>
      <c r="GG397" s="148"/>
      <c r="GH397" s="148"/>
      <c r="GI397" s="148"/>
      <c r="GJ397" s="148"/>
      <c r="GK397" s="148"/>
      <c r="GL397" s="148"/>
      <c r="GM397" s="148"/>
      <c r="GN397" s="148"/>
      <c r="GO397" s="148"/>
      <c r="GP397" s="148"/>
      <c r="GQ397" s="148"/>
      <c r="GR397" s="148"/>
      <c r="GS397" s="148"/>
      <c r="GT397" s="148"/>
      <c r="GU397" s="148"/>
      <c r="GV397" s="148"/>
      <c r="GW397" s="148"/>
      <c r="GX397" s="148"/>
      <c r="GY397" s="148"/>
      <c r="GZ397" s="148"/>
      <c r="HA397" s="148"/>
      <c r="HB397" s="148"/>
      <c r="HC397" s="148"/>
      <c r="HD397" s="148"/>
      <c r="HE397" s="148"/>
      <c r="HF397" s="148"/>
      <c r="HG397" s="148"/>
      <c r="HH397" s="148"/>
      <c r="HI397" s="148"/>
      <c r="HJ397" s="148"/>
      <c r="HK397" s="148"/>
      <c r="HL397" s="148"/>
      <c r="HM397" s="148"/>
      <c r="HN397" s="148"/>
      <c r="HO397" s="148"/>
      <c r="HP397" s="148"/>
      <c r="HQ397" s="148"/>
      <c r="HR397" s="148"/>
      <c r="HS397" s="148"/>
      <c r="HT397" s="148"/>
      <c r="HU397" s="148"/>
      <c r="HV397" s="148"/>
      <c r="HW397" s="148"/>
      <c r="HX397" s="148"/>
      <c r="HY397" s="148"/>
      <c r="HZ397" s="148"/>
      <c r="IA397" s="148"/>
      <c r="IB397" s="148"/>
      <c r="IC397" s="148"/>
      <c r="ID397" s="148"/>
      <c r="IE397" s="148"/>
      <c r="IF397" s="148"/>
      <c r="IG397" s="148"/>
      <c r="IH397" s="148"/>
      <c r="II397" s="148"/>
      <c r="IJ397" s="148"/>
      <c r="IK397" s="148"/>
      <c r="IL397" s="148"/>
      <c r="IM397" s="148"/>
      <c r="IN397" s="148"/>
      <c r="IO397" s="148"/>
      <c r="IP397" s="148"/>
      <c r="IQ397" s="148"/>
      <c r="IR397" s="148"/>
      <c r="IS397" s="148"/>
      <c r="IT397" s="148"/>
      <c r="IU397" s="148"/>
      <c r="IV397" s="148"/>
    </row>
    <row r="398" spans="1:256">
      <c r="A398" s="841">
        <v>92116</v>
      </c>
      <c r="B398" s="844" t="s">
        <v>324</v>
      </c>
      <c r="C398" s="178" t="s">
        <v>0</v>
      </c>
      <c r="D398" s="180">
        <f t="shared" si="163"/>
        <v>56389858</v>
      </c>
      <c r="E398" s="181">
        <f t="shared" si="164"/>
        <v>33972005</v>
      </c>
      <c r="F398" s="181">
        <f t="shared" si="165"/>
        <v>0</v>
      </c>
      <c r="G398" s="181">
        <v>0</v>
      </c>
      <c r="H398" s="181">
        <v>0</v>
      </c>
      <c r="I398" s="181">
        <v>33972005</v>
      </c>
      <c r="J398" s="181">
        <v>0</v>
      </c>
      <c r="K398" s="181">
        <v>0</v>
      </c>
      <c r="L398" s="181">
        <v>0</v>
      </c>
      <c r="M398" s="181">
        <f t="shared" si="166"/>
        <v>22417853</v>
      </c>
      <c r="N398" s="181">
        <v>22417853</v>
      </c>
      <c r="O398" s="181">
        <v>0</v>
      </c>
      <c r="P398" s="181">
        <v>0</v>
      </c>
      <c r="Q398" s="182"/>
      <c r="R398" s="182"/>
      <c r="S398" s="182"/>
      <c r="T398" s="182"/>
      <c r="U398" s="182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48"/>
      <c r="CC398" s="148"/>
      <c r="CD398" s="148"/>
      <c r="CE398" s="148"/>
      <c r="CF398" s="148"/>
      <c r="CG398" s="148"/>
      <c r="CH398" s="148"/>
      <c r="CI398" s="148"/>
      <c r="CJ398" s="148"/>
      <c r="CK398" s="148"/>
      <c r="CL398" s="148"/>
      <c r="CM398" s="148"/>
      <c r="CN398" s="148"/>
      <c r="CO398" s="148"/>
      <c r="CP398" s="148"/>
      <c r="CQ398" s="148"/>
      <c r="CR398" s="148"/>
      <c r="CS398" s="148"/>
      <c r="CT398" s="148"/>
      <c r="CU398" s="148"/>
      <c r="CV398" s="148"/>
      <c r="CW398" s="148"/>
      <c r="CX398" s="148"/>
      <c r="CY398" s="148"/>
      <c r="CZ398" s="148"/>
      <c r="DA398" s="148"/>
      <c r="DB398" s="148"/>
      <c r="DC398" s="148"/>
      <c r="DD398" s="148"/>
      <c r="DE398" s="148"/>
      <c r="DF398" s="148"/>
      <c r="DG398" s="148"/>
      <c r="DH398" s="148"/>
      <c r="DI398" s="148"/>
      <c r="DJ398" s="148"/>
      <c r="DK398" s="148"/>
      <c r="DL398" s="148"/>
      <c r="DM398" s="148"/>
      <c r="DN398" s="148"/>
      <c r="DO398" s="148"/>
      <c r="DP398" s="148"/>
      <c r="DQ398" s="148"/>
      <c r="DR398" s="148"/>
      <c r="DS398" s="148"/>
      <c r="DT398" s="148"/>
      <c r="DU398" s="148"/>
      <c r="DV398" s="148"/>
      <c r="DW398" s="148"/>
      <c r="DX398" s="148"/>
      <c r="DY398" s="148"/>
      <c r="DZ398" s="148"/>
      <c r="EA398" s="148"/>
      <c r="EB398" s="148"/>
      <c r="EC398" s="148"/>
      <c r="ED398" s="148"/>
      <c r="EE398" s="148"/>
      <c r="EF398" s="148"/>
      <c r="EG398" s="148"/>
      <c r="EH398" s="148"/>
      <c r="EI398" s="148"/>
      <c r="EJ398" s="148"/>
      <c r="EK398" s="148"/>
      <c r="EL398" s="148"/>
      <c r="EM398" s="148"/>
      <c r="EN398" s="148"/>
      <c r="EO398" s="148"/>
      <c r="EP398" s="148"/>
      <c r="EQ398" s="148"/>
      <c r="ER398" s="148"/>
      <c r="ES398" s="148"/>
      <c r="ET398" s="148"/>
      <c r="EU398" s="148"/>
      <c r="EV398" s="148"/>
      <c r="EW398" s="148"/>
      <c r="EX398" s="148"/>
      <c r="EY398" s="148"/>
      <c r="EZ398" s="148"/>
      <c r="FA398" s="148"/>
      <c r="FB398" s="148"/>
      <c r="FC398" s="148"/>
      <c r="FD398" s="148"/>
      <c r="FE398" s="148"/>
      <c r="FF398" s="148"/>
      <c r="FG398" s="148"/>
      <c r="FH398" s="148"/>
      <c r="FI398" s="148"/>
      <c r="FJ398" s="148"/>
      <c r="FK398" s="148"/>
      <c r="FL398" s="148"/>
      <c r="FM398" s="148"/>
      <c r="FN398" s="148"/>
      <c r="FO398" s="148"/>
      <c r="FP398" s="148"/>
      <c r="FQ398" s="148"/>
      <c r="FR398" s="148"/>
      <c r="FS398" s="148"/>
      <c r="FT398" s="148"/>
      <c r="FU398" s="148"/>
      <c r="FV398" s="148"/>
      <c r="FW398" s="148"/>
      <c r="FX398" s="148"/>
      <c r="FY398" s="148"/>
      <c r="FZ398" s="148"/>
      <c r="GA398" s="148"/>
      <c r="GB398" s="148"/>
      <c r="GC398" s="148"/>
      <c r="GD398" s="148"/>
      <c r="GE398" s="148"/>
      <c r="GF398" s="148"/>
      <c r="GG398" s="148"/>
      <c r="GH398" s="148"/>
      <c r="GI398" s="148"/>
      <c r="GJ398" s="148"/>
      <c r="GK398" s="148"/>
      <c r="GL398" s="148"/>
      <c r="GM398" s="148"/>
      <c r="GN398" s="148"/>
      <c r="GO398" s="148"/>
      <c r="GP398" s="148"/>
      <c r="GQ398" s="148"/>
      <c r="GR398" s="148"/>
      <c r="GS398" s="148"/>
      <c r="GT398" s="148"/>
      <c r="GU398" s="148"/>
      <c r="GV398" s="148"/>
      <c r="GW398" s="148"/>
      <c r="GX398" s="148"/>
      <c r="GY398" s="148"/>
      <c r="GZ398" s="148"/>
      <c r="HA398" s="148"/>
      <c r="HB398" s="148"/>
      <c r="HC398" s="148"/>
      <c r="HD398" s="148"/>
      <c r="HE398" s="148"/>
      <c r="HF398" s="148"/>
      <c r="HG398" s="148"/>
      <c r="HH398" s="148"/>
      <c r="HI398" s="148"/>
      <c r="HJ398" s="148"/>
      <c r="HK398" s="148"/>
      <c r="HL398" s="148"/>
      <c r="HM398" s="148"/>
      <c r="HN398" s="148"/>
      <c r="HO398" s="148"/>
      <c r="HP398" s="148"/>
      <c r="HQ398" s="148"/>
      <c r="HR398" s="148"/>
      <c r="HS398" s="148"/>
      <c r="HT398" s="148"/>
      <c r="HU398" s="148"/>
      <c r="HV398" s="148"/>
      <c r="HW398" s="148"/>
      <c r="HX398" s="148"/>
      <c r="HY398" s="148"/>
      <c r="HZ398" s="148"/>
      <c r="IA398" s="148"/>
      <c r="IB398" s="148"/>
      <c r="IC398" s="148"/>
      <c r="ID398" s="148"/>
      <c r="IE398" s="148"/>
      <c r="IF398" s="148"/>
      <c r="IG398" s="148"/>
      <c r="IH398" s="148"/>
      <c r="II398" s="148"/>
      <c r="IJ398" s="148"/>
      <c r="IK398" s="148"/>
      <c r="IL398" s="148"/>
      <c r="IM398" s="148"/>
      <c r="IN398" s="148"/>
      <c r="IO398" s="148"/>
      <c r="IP398" s="148"/>
      <c r="IQ398" s="148"/>
      <c r="IR398" s="148"/>
      <c r="IS398" s="148"/>
      <c r="IT398" s="148"/>
      <c r="IU398" s="148"/>
      <c r="IV398" s="148"/>
    </row>
    <row r="399" spans="1:256">
      <c r="A399" s="842"/>
      <c r="B399" s="845"/>
      <c r="C399" s="178" t="s">
        <v>1</v>
      </c>
      <c r="D399" s="180">
        <f t="shared" si="163"/>
        <v>351956</v>
      </c>
      <c r="E399" s="181">
        <f t="shared" si="164"/>
        <v>251165</v>
      </c>
      <c r="F399" s="181">
        <f t="shared" si="165"/>
        <v>0</v>
      </c>
      <c r="G399" s="181"/>
      <c r="H399" s="181"/>
      <c r="I399" s="181">
        <f>157919+93246</f>
        <v>251165</v>
      </c>
      <c r="J399" s="181"/>
      <c r="K399" s="181"/>
      <c r="L399" s="181"/>
      <c r="M399" s="181">
        <f t="shared" si="166"/>
        <v>100791</v>
      </c>
      <c r="N399" s="181">
        <v>100791</v>
      </c>
      <c r="O399" s="181"/>
      <c r="P399" s="181"/>
      <c r="Q399" s="182"/>
      <c r="R399" s="182"/>
      <c r="S399" s="182"/>
      <c r="T399" s="182"/>
      <c r="U399" s="182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48"/>
      <c r="CC399" s="148"/>
      <c r="CD399" s="148"/>
      <c r="CE399" s="148"/>
      <c r="CF399" s="148"/>
      <c r="CG399" s="148"/>
      <c r="CH399" s="148"/>
      <c r="CI399" s="148"/>
      <c r="CJ399" s="148"/>
      <c r="CK399" s="148"/>
      <c r="CL399" s="148"/>
      <c r="CM399" s="148"/>
      <c r="CN399" s="148"/>
      <c r="CO399" s="148"/>
      <c r="CP399" s="148"/>
      <c r="CQ399" s="148"/>
      <c r="CR399" s="148"/>
      <c r="CS399" s="148"/>
      <c r="CT399" s="148"/>
      <c r="CU399" s="148"/>
      <c r="CV399" s="148"/>
      <c r="CW399" s="148"/>
      <c r="CX399" s="148"/>
      <c r="CY399" s="148"/>
      <c r="CZ399" s="148"/>
      <c r="DA399" s="148"/>
      <c r="DB399" s="148"/>
      <c r="DC399" s="148"/>
      <c r="DD399" s="148"/>
      <c r="DE399" s="148"/>
      <c r="DF399" s="148"/>
      <c r="DG399" s="148"/>
      <c r="DH399" s="148"/>
      <c r="DI399" s="148"/>
      <c r="DJ399" s="148"/>
      <c r="DK399" s="148"/>
      <c r="DL399" s="148"/>
      <c r="DM399" s="148"/>
      <c r="DN399" s="148"/>
      <c r="DO399" s="148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  <c r="EC399" s="148"/>
      <c r="ED399" s="148"/>
      <c r="EE399" s="148"/>
      <c r="EF399" s="148"/>
      <c r="EG399" s="148"/>
      <c r="EH399" s="148"/>
      <c r="EI399" s="148"/>
      <c r="EJ399" s="148"/>
      <c r="EK399" s="148"/>
      <c r="EL399" s="148"/>
      <c r="EM399" s="148"/>
      <c r="EN399" s="148"/>
      <c r="EO399" s="148"/>
      <c r="EP399" s="148"/>
      <c r="EQ399" s="148"/>
      <c r="ER399" s="148"/>
      <c r="ES399" s="148"/>
      <c r="ET399" s="148"/>
      <c r="EU399" s="148"/>
      <c r="EV399" s="148"/>
      <c r="EW399" s="148"/>
      <c r="EX399" s="148"/>
      <c r="EY399" s="148"/>
      <c r="EZ399" s="148"/>
      <c r="FA399" s="148"/>
      <c r="FB399" s="148"/>
      <c r="FC399" s="148"/>
      <c r="FD399" s="148"/>
      <c r="FE399" s="148"/>
      <c r="FF399" s="148"/>
      <c r="FG399" s="148"/>
      <c r="FH399" s="148"/>
      <c r="FI399" s="148"/>
      <c r="FJ399" s="148"/>
      <c r="FK399" s="148"/>
      <c r="FL399" s="148"/>
      <c r="FM399" s="148"/>
      <c r="FN399" s="148"/>
      <c r="FO399" s="148"/>
      <c r="FP399" s="148"/>
      <c r="FQ399" s="148"/>
      <c r="FR399" s="148"/>
      <c r="FS399" s="148"/>
      <c r="FT399" s="148"/>
      <c r="FU399" s="148"/>
      <c r="FV399" s="148"/>
      <c r="FW399" s="148"/>
      <c r="FX399" s="148"/>
      <c r="FY399" s="148"/>
      <c r="FZ399" s="148"/>
      <c r="GA399" s="148"/>
      <c r="GB399" s="148"/>
      <c r="GC399" s="148"/>
      <c r="GD399" s="148"/>
      <c r="GE399" s="148"/>
      <c r="GF399" s="148"/>
      <c r="GG399" s="148"/>
      <c r="GH399" s="148"/>
      <c r="GI399" s="148"/>
      <c r="GJ399" s="148"/>
      <c r="GK399" s="148"/>
      <c r="GL399" s="148"/>
      <c r="GM399" s="148"/>
      <c r="GN399" s="148"/>
      <c r="GO399" s="148"/>
      <c r="GP399" s="148"/>
      <c r="GQ399" s="148"/>
      <c r="GR399" s="148"/>
      <c r="GS399" s="148"/>
      <c r="GT399" s="148"/>
      <c r="GU399" s="148"/>
      <c r="GV399" s="148"/>
      <c r="GW399" s="148"/>
      <c r="GX399" s="148"/>
      <c r="GY399" s="148"/>
      <c r="GZ399" s="148"/>
      <c r="HA399" s="148"/>
      <c r="HB399" s="148"/>
      <c r="HC399" s="148"/>
      <c r="HD399" s="148"/>
      <c r="HE399" s="148"/>
      <c r="HF399" s="148"/>
      <c r="HG399" s="148"/>
      <c r="HH399" s="148"/>
      <c r="HI399" s="148"/>
      <c r="HJ399" s="148"/>
      <c r="HK399" s="148"/>
      <c r="HL399" s="148"/>
      <c r="HM399" s="148"/>
      <c r="HN399" s="148"/>
      <c r="HO399" s="148"/>
      <c r="HP399" s="148"/>
      <c r="HQ399" s="148"/>
      <c r="HR399" s="148"/>
      <c r="HS399" s="148"/>
      <c r="HT399" s="148"/>
      <c r="HU399" s="148"/>
      <c r="HV399" s="148"/>
      <c r="HW399" s="148"/>
      <c r="HX399" s="148"/>
      <c r="HY399" s="148"/>
      <c r="HZ399" s="148"/>
      <c r="IA399" s="148"/>
      <c r="IB399" s="148"/>
      <c r="IC399" s="148"/>
      <c r="ID399" s="148"/>
      <c r="IE399" s="148"/>
      <c r="IF399" s="148"/>
      <c r="IG399" s="148"/>
      <c r="IH399" s="148"/>
      <c r="II399" s="148"/>
      <c r="IJ399" s="148"/>
      <c r="IK399" s="148"/>
      <c r="IL399" s="148"/>
      <c r="IM399" s="148"/>
      <c r="IN399" s="148"/>
      <c r="IO399" s="148"/>
      <c r="IP399" s="148"/>
      <c r="IQ399" s="148"/>
      <c r="IR399" s="148"/>
      <c r="IS399" s="148"/>
      <c r="IT399" s="148"/>
      <c r="IU399" s="148"/>
      <c r="IV399" s="148"/>
    </row>
    <row r="400" spans="1:256">
      <c r="A400" s="843"/>
      <c r="B400" s="846"/>
      <c r="C400" s="178" t="s">
        <v>2</v>
      </c>
      <c r="D400" s="180">
        <f>D398+D399</f>
        <v>56741814</v>
      </c>
      <c r="E400" s="181">
        <f t="shared" ref="E400:P400" si="172">E398+E399</f>
        <v>34223170</v>
      </c>
      <c r="F400" s="181">
        <f t="shared" si="172"/>
        <v>0</v>
      </c>
      <c r="G400" s="181">
        <f t="shared" si="172"/>
        <v>0</v>
      </c>
      <c r="H400" s="181">
        <f t="shared" si="172"/>
        <v>0</v>
      </c>
      <c r="I400" s="181">
        <f t="shared" si="172"/>
        <v>34223170</v>
      </c>
      <c r="J400" s="181">
        <f t="shared" si="172"/>
        <v>0</v>
      </c>
      <c r="K400" s="181">
        <f t="shared" si="172"/>
        <v>0</v>
      </c>
      <c r="L400" s="181">
        <f t="shared" si="172"/>
        <v>0</v>
      </c>
      <c r="M400" s="181">
        <f t="shared" si="172"/>
        <v>22518644</v>
      </c>
      <c r="N400" s="181">
        <f t="shared" si="172"/>
        <v>22518644</v>
      </c>
      <c r="O400" s="181">
        <f t="shared" si="172"/>
        <v>0</v>
      </c>
      <c r="P400" s="181">
        <f t="shared" si="172"/>
        <v>0</v>
      </c>
      <c r="Q400" s="182"/>
      <c r="R400" s="182"/>
      <c r="S400" s="182"/>
      <c r="T400" s="182"/>
      <c r="U400" s="182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148"/>
      <c r="DD400" s="148"/>
      <c r="DE400" s="148"/>
      <c r="DF400" s="148"/>
      <c r="DG400" s="148"/>
      <c r="DH400" s="148"/>
      <c r="DI400" s="148"/>
      <c r="DJ400" s="148"/>
      <c r="DK400" s="148"/>
      <c r="DL400" s="148"/>
      <c r="DM400" s="148"/>
      <c r="DN400" s="148"/>
      <c r="DO400" s="148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  <c r="EC400" s="148"/>
      <c r="ED400" s="148"/>
      <c r="EE400" s="148"/>
      <c r="EF400" s="148"/>
      <c r="EG400" s="148"/>
      <c r="EH400" s="148"/>
      <c r="EI400" s="148"/>
      <c r="EJ400" s="148"/>
      <c r="EK400" s="148"/>
      <c r="EL400" s="148"/>
      <c r="EM400" s="148"/>
      <c r="EN400" s="148"/>
      <c r="EO400" s="148"/>
      <c r="EP400" s="148"/>
      <c r="EQ400" s="148"/>
      <c r="ER400" s="148"/>
      <c r="ES400" s="148"/>
      <c r="ET400" s="148"/>
      <c r="EU400" s="148"/>
      <c r="EV400" s="148"/>
      <c r="EW400" s="148"/>
      <c r="EX400" s="148"/>
      <c r="EY400" s="148"/>
      <c r="EZ400" s="148"/>
      <c r="FA400" s="148"/>
      <c r="FB400" s="148"/>
      <c r="FC400" s="148"/>
      <c r="FD400" s="148"/>
      <c r="FE400" s="148"/>
      <c r="FF400" s="148"/>
      <c r="FG400" s="148"/>
      <c r="FH400" s="148"/>
      <c r="FI400" s="148"/>
      <c r="FJ400" s="148"/>
      <c r="FK400" s="148"/>
      <c r="FL400" s="148"/>
      <c r="FM400" s="148"/>
      <c r="FN400" s="148"/>
      <c r="FO400" s="148"/>
      <c r="FP400" s="148"/>
      <c r="FQ400" s="148"/>
      <c r="FR400" s="148"/>
      <c r="FS400" s="148"/>
      <c r="FT400" s="148"/>
      <c r="FU400" s="148"/>
      <c r="FV400" s="148"/>
      <c r="FW400" s="148"/>
      <c r="FX400" s="148"/>
      <c r="FY400" s="148"/>
      <c r="FZ400" s="148"/>
      <c r="GA400" s="148"/>
      <c r="GB400" s="148"/>
      <c r="GC400" s="148"/>
      <c r="GD400" s="148"/>
      <c r="GE400" s="148"/>
      <c r="GF400" s="148"/>
      <c r="GG400" s="148"/>
      <c r="GH400" s="148"/>
      <c r="GI400" s="148"/>
      <c r="GJ400" s="148"/>
      <c r="GK400" s="148"/>
      <c r="GL400" s="148"/>
      <c r="GM400" s="148"/>
      <c r="GN400" s="148"/>
      <c r="GO400" s="148"/>
      <c r="GP400" s="148"/>
      <c r="GQ400" s="148"/>
      <c r="GR400" s="148"/>
      <c r="GS400" s="148"/>
      <c r="GT400" s="148"/>
      <c r="GU400" s="148"/>
      <c r="GV400" s="148"/>
      <c r="GW400" s="148"/>
      <c r="GX400" s="148"/>
      <c r="GY400" s="148"/>
      <c r="GZ400" s="148"/>
      <c r="HA400" s="148"/>
      <c r="HB400" s="148"/>
      <c r="HC400" s="148"/>
      <c r="HD400" s="148"/>
      <c r="HE400" s="148"/>
      <c r="HF400" s="148"/>
      <c r="HG400" s="148"/>
      <c r="HH400" s="148"/>
      <c r="HI400" s="148"/>
      <c r="HJ400" s="148"/>
      <c r="HK400" s="148"/>
      <c r="HL400" s="148"/>
      <c r="HM400" s="148"/>
      <c r="HN400" s="148"/>
      <c r="HO400" s="148"/>
      <c r="HP400" s="148"/>
      <c r="HQ400" s="148"/>
      <c r="HR400" s="148"/>
      <c r="HS400" s="148"/>
      <c r="HT400" s="148"/>
      <c r="HU400" s="148"/>
      <c r="HV400" s="148"/>
      <c r="HW400" s="148"/>
      <c r="HX400" s="148"/>
      <c r="HY400" s="148"/>
      <c r="HZ400" s="148"/>
      <c r="IA400" s="148"/>
      <c r="IB400" s="148"/>
      <c r="IC400" s="148"/>
      <c r="ID400" s="148"/>
      <c r="IE400" s="148"/>
      <c r="IF400" s="148"/>
      <c r="IG400" s="148"/>
      <c r="IH400" s="148"/>
      <c r="II400" s="148"/>
      <c r="IJ400" s="148"/>
      <c r="IK400" s="148"/>
      <c r="IL400" s="148"/>
      <c r="IM400" s="148"/>
      <c r="IN400" s="148"/>
      <c r="IO400" s="148"/>
      <c r="IP400" s="148"/>
      <c r="IQ400" s="148"/>
      <c r="IR400" s="148"/>
      <c r="IS400" s="148"/>
      <c r="IT400" s="148"/>
      <c r="IU400" s="148"/>
      <c r="IV400" s="148"/>
    </row>
    <row r="401" spans="1:256">
      <c r="A401" s="841">
        <v>92118</v>
      </c>
      <c r="B401" s="844" t="s">
        <v>325</v>
      </c>
      <c r="C401" s="178" t="s">
        <v>0</v>
      </c>
      <c r="D401" s="180">
        <f t="shared" si="163"/>
        <v>26597799</v>
      </c>
      <c r="E401" s="181">
        <f t="shared" si="164"/>
        <v>24554000</v>
      </c>
      <c r="F401" s="181">
        <f t="shared" si="165"/>
        <v>0</v>
      </c>
      <c r="G401" s="181">
        <v>0</v>
      </c>
      <c r="H401" s="181">
        <v>0</v>
      </c>
      <c r="I401" s="181">
        <v>24554000</v>
      </c>
      <c r="J401" s="181">
        <v>0</v>
      </c>
      <c r="K401" s="181">
        <v>0</v>
      </c>
      <c r="L401" s="181">
        <v>0</v>
      </c>
      <c r="M401" s="181">
        <f t="shared" si="166"/>
        <v>2043799</v>
      </c>
      <c r="N401" s="181">
        <v>2043799</v>
      </c>
      <c r="O401" s="181">
        <v>0</v>
      </c>
      <c r="P401" s="181">
        <v>0</v>
      </c>
      <c r="Q401" s="182"/>
      <c r="R401" s="182"/>
      <c r="S401" s="182"/>
      <c r="T401" s="182"/>
      <c r="U401" s="182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Q401" s="148"/>
      <c r="CR401" s="148"/>
      <c r="CS401" s="148"/>
      <c r="CT401" s="148"/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P401" s="148"/>
      <c r="DQ401" s="148"/>
      <c r="DR401" s="148"/>
      <c r="DS401" s="148"/>
      <c r="DT401" s="148"/>
      <c r="DU401" s="148"/>
      <c r="DV401" s="148"/>
      <c r="DW401" s="148"/>
      <c r="DX401" s="148"/>
      <c r="DY401" s="148"/>
      <c r="DZ401" s="148"/>
      <c r="EA401" s="148"/>
      <c r="EB401" s="148"/>
      <c r="EC401" s="148"/>
      <c r="ED401" s="148"/>
      <c r="EE401" s="148"/>
      <c r="EF401" s="148"/>
      <c r="EG401" s="148"/>
      <c r="EH401" s="148"/>
      <c r="EI401" s="148"/>
      <c r="EJ401" s="148"/>
      <c r="EK401" s="148"/>
      <c r="EL401" s="148"/>
      <c r="EM401" s="148"/>
      <c r="EN401" s="148"/>
      <c r="EO401" s="148"/>
      <c r="EP401" s="148"/>
      <c r="EQ401" s="148"/>
      <c r="ER401" s="148"/>
      <c r="ES401" s="148"/>
      <c r="ET401" s="148"/>
      <c r="EU401" s="148"/>
      <c r="EV401" s="148"/>
      <c r="EW401" s="148"/>
      <c r="EX401" s="148"/>
      <c r="EY401" s="148"/>
      <c r="EZ401" s="148"/>
      <c r="FA401" s="148"/>
      <c r="FB401" s="148"/>
      <c r="FC401" s="148"/>
      <c r="FD401" s="148"/>
      <c r="FE401" s="148"/>
      <c r="FF401" s="148"/>
      <c r="FG401" s="148"/>
      <c r="FH401" s="148"/>
      <c r="FI401" s="148"/>
      <c r="FJ401" s="148"/>
      <c r="FK401" s="148"/>
      <c r="FL401" s="148"/>
      <c r="FM401" s="148"/>
      <c r="FN401" s="148"/>
      <c r="FO401" s="148"/>
      <c r="FP401" s="148"/>
      <c r="FQ401" s="148"/>
      <c r="FR401" s="148"/>
      <c r="FS401" s="148"/>
      <c r="FT401" s="148"/>
      <c r="FU401" s="148"/>
      <c r="FV401" s="148"/>
      <c r="FW401" s="148"/>
      <c r="FX401" s="148"/>
      <c r="FY401" s="148"/>
      <c r="FZ401" s="148"/>
      <c r="GA401" s="148"/>
      <c r="GB401" s="148"/>
      <c r="GC401" s="148"/>
      <c r="GD401" s="148"/>
      <c r="GE401" s="148"/>
      <c r="GF401" s="148"/>
      <c r="GG401" s="148"/>
      <c r="GH401" s="148"/>
      <c r="GI401" s="148"/>
      <c r="GJ401" s="148"/>
      <c r="GK401" s="148"/>
      <c r="GL401" s="148"/>
      <c r="GM401" s="148"/>
      <c r="GN401" s="148"/>
      <c r="GO401" s="148"/>
      <c r="GP401" s="148"/>
      <c r="GQ401" s="148"/>
      <c r="GR401" s="148"/>
      <c r="GS401" s="148"/>
      <c r="GT401" s="148"/>
      <c r="GU401" s="148"/>
      <c r="GV401" s="148"/>
      <c r="GW401" s="148"/>
      <c r="GX401" s="148"/>
      <c r="GY401" s="148"/>
      <c r="GZ401" s="148"/>
      <c r="HA401" s="148"/>
      <c r="HB401" s="148"/>
      <c r="HC401" s="148"/>
      <c r="HD401" s="148"/>
      <c r="HE401" s="148"/>
      <c r="HF401" s="148"/>
      <c r="HG401" s="148"/>
      <c r="HH401" s="148"/>
      <c r="HI401" s="148"/>
      <c r="HJ401" s="148"/>
      <c r="HK401" s="148"/>
      <c r="HL401" s="148"/>
      <c r="HM401" s="148"/>
      <c r="HN401" s="148"/>
      <c r="HO401" s="148"/>
      <c r="HP401" s="148"/>
      <c r="HQ401" s="148"/>
      <c r="HR401" s="148"/>
      <c r="HS401" s="148"/>
      <c r="HT401" s="148"/>
      <c r="HU401" s="148"/>
      <c r="HV401" s="148"/>
      <c r="HW401" s="148"/>
      <c r="HX401" s="148"/>
      <c r="HY401" s="148"/>
      <c r="HZ401" s="148"/>
      <c r="IA401" s="148"/>
      <c r="IB401" s="148"/>
      <c r="IC401" s="148"/>
      <c r="ID401" s="148"/>
      <c r="IE401" s="148"/>
      <c r="IF401" s="148"/>
      <c r="IG401" s="148"/>
      <c r="IH401" s="148"/>
      <c r="II401" s="148"/>
      <c r="IJ401" s="148"/>
      <c r="IK401" s="148"/>
      <c r="IL401" s="148"/>
      <c r="IM401" s="148"/>
      <c r="IN401" s="148"/>
      <c r="IO401" s="148"/>
      <c r="IP401" s="148"/>
      <c r="IQ401" s="148"/>
      <c r="IR401" s="148"/>
      <c r="IS401" s="148"/>
      <c r="IT401" s="148"/>
      <c r="IU401" s="148"/>
      <c r="IV401" s="148"/>
    </row>
    <row r="402" spans="1:256">
      <c r="A402" s="842"/>
      <c r="B402" s="845"/>
      <c r="C402" s="178" t="s">
        <v>1</v>
      </c>
      <c r="D402" s="180">
        <f t="shared" si="163"/>
        <v>243426</v>
      </c>
      <c r="E402" s="181">
        <f t="shared" si="164"/>
        <v>197096</v>
      </c>
      <c r="F402" s="181">
        <f t="shared" si="165"/>
        <v>0</v>
      </c>
      <c r="G402" s="181"/>
      <c r="H402" s="181"/>
      <c r="I402" s="181">
        <v>197096</v>
      </c>
      <c r="J402" s="181"/>
      <c r="K402" s="181"/>
      <c r="L402" s="181"/>
      <c r="M402" s="181">
        <f t="shared" si="166"/>
        <v>46330</v>
      </c>
      <c r="N402" s="181">
        <v>46330</v>
      </c>
      <c r="O402" s="181"/>
      <c r="P402" s="181"/>
      <c r="Q402" s="182"/>
      <c r="R402" s="182"/>
      <c r="S402" s="182"/>
      <c r="T402" s="182"/>
      <c r="U402" s="182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48"/>
      <c r="CC402" s="148"/>
      <c r="CD402" s="148"/>
      <c r="CE402" s="148"/>
      <c r="CF402" s="148"/>
      <c r="CG402" s="148"/>
      <c r="CH402" s="148"/>
      <c r="CI402" s="148"/>
      <c r="CJ402" s="148"/>
      <c r="CK402" s="148"/>
      <c r="CL402" s="148"/>
      <c r="CM402" s="148"/>
      <c r="CN402" s="148"/>
      <c r="CO402" s="148"/>
      <c r="CP402" s="148"/>
      <c r="CQ402" s="148"/>
      <c r="CR402" s="148"/>
      <c r="CS402" s="148"/>
      <c r="CT402" s="148"/>
      <c r="CU402" s="148"/>
      <c r="CV402" s="148"/>
      <c r="CW402" s="148"/>
      <c r="CX402" s="148"/>
      <c r="CY402" s="148"/>
      <c r="CZ402" s="148"/>
      <c r="DA402" s="148"/>
      <c r="DB402" s="148"/>
      <c r="DC402" s="148"/>
      <c r="DD402" s="148"/>
      <c r="DE402" s="148"/>
      <c r="DF402" s="148"/>
      <c r="DG402" s="148"/>
      <c r="DH402" s="148"/>
      <c r="DI402" s="148"/>
      <c r="DJ402" s="148"/>
      <c r="DK402" s="148"/>
      <c r="DL402" s="148"/>
      <c r="DM402" s="148"/>
      <c r="DN402" s="148"/>
      <c r="DO402" s="148"/>
      <c r="DP402" s="148"/>
      <c r="DQ402" s="148"/>
      <c r="DR402" s="148"/>
      <c r="DS402" s="148"/>
      <c r="DT402" s="148"/>
      <c r="DU402" s="148"/>
      <c r="DV402" s="148"/>
      <c r="DW402" s="148"/>
      <c r="DX402" s="148"/>
      <c r="DY402" s="148"/>
      <c r="DZ402" s="148"/>
      <c r="EA402" s="148"/>
      <c r="EB402" s="148"/>
      <c r="EC402" s="148"/>
      <c r="ED402" s="148"/>
      <c r="EE402" s="148"/>
      <c r="EF402" s="148"/>
      <c r="EG402" s="148"/>
      <c r="EH402" s="148"/>
      <c r="EI402" s="148"/>
      <c r="EJ402" s="148"/>
      <c r="EK402" s="148"/>
      <c r="EL402" s="148"/>
      <c r="EM402" s="148"/>
      <c r="EN402" s="148"/>
      <c r="EO402" s="148"/>
      <c r="EP402" s="148"/>
      <c r="EQ402" s="148"/>
      <c r="ER402" s="148"/>
      <c r="ES402" s="148"/>
      <c r="ET402" s="148"/>
      <c r="EU402" s="148"/>
      <c r="EV402" s="148"/>
      <c r="EW402" s="148"/>
      <c r="EX402" s="148"/>
      <c r="EY402" s="148"/>
      <c r="EZ402" s="148"/>
      <c r="FA402" s="148"/>
      <c r="FB402" s="148"/>
      <c r="FC402" s="148"/>
      <c r="FD402" s="148"/>
      <c r="FE402" s="148"/>
      <c r="FF402" s="148"/>
      <c r="FG402" s="148"/>
      <c r="FH402" s="148"/>
      <c r="FI402" s="148"/>
      <c r="FJ402" s="148"/>
      <c r="FK402" s="148"/>
      <c r="FL402" s="148"/>
      <c r="FM402" s="148"/>
      <c r="FN402" s="148"/>
      <c r="FO402" s="148"/>
      <c r="FP402" s="148"/>
      <c r="FQ402" s="148"/>
      <c r="FR402" s="148"/>
      <c r="FS402" s="148"/>
      <c r="FT402" s="148"/>
      <c r="FU402" s="148"/>
      <c r="FV402" s="148"/>
      <c r="FW402" s="148"/>
      <c r="FX402" s="148"/>
      <c r="FY402" s="148"/>
      <c r="FZ402" s="148"/>
      <c r="GA402" s="148"/>
      <c r="GB402" s="148"/>
      <c r="GC402" s="148"/>
      <c r="GD402" s="148"/>
      <c r="GE402" s="148"/>
      <c r="GF402" s="148"/>
      <c r="GG402" s="148"/>
      <c r="GH402" s="148"/>
      <c r="GI402" s="148"/>
      <c r="GJ402" s="148"/>
      <c r="GK402" s="148"/>
      <c r="GL402" s="148"/>
      <c r="GM402" s="148"/>
      <c r="GN402" s="148"/>
      <c r="GO402" s="148"/>
      <c r="GP402" s="148"/>
      <c r="GQ402" s="148"/>
      <c r="GR402" s="148"/>
      <c r="GS402" s="148"/>
      <c r="GT402" s="148"/>
      <c r="GU402" s="148"/>
      <c r="GV402" s="148"/>
      <c r="GW402" s="148"/>
      <c r="GX402" s="148"/>
      <c r="GY402" s="148"/>
      <c r="GZ402" s="148"/>
      <c r="HA402" s="148"/>
      <c r="HB402" s="148"/>
      <c r="HC402" s="148"/>
      <c r="HD402" s="148"/>
      <c r="HE402" s="148"/>
      <c r="HF402" s="148"/>
      <c r="HG402" s="148"/>
      <c r="HH402" s="148"/>
      <c r="HI402" s="148"/>
      <c r="HJ402" s="148"/>
      <c r="HK402" s="148"/>
      <c r="HL402" s="148"/>
      <c r="HM402" s="148"/>
      <c r="HN402" s="148"/>
      <c r="HO402" s="148"/>
      <c r="HP402" s="148"/>
      <c r="HQ402" s="148"/>
      <c r="HR402" s="148"/>
      <c r="HS402" s="148"/>
      <c r="HT402" s="148"/>
      <c r="HU402" s="148"/>
      <c r="HV402" s="148"/>
      <c r="HW402" s="148"/>
      <c r="HX402" s="148"/>
      <c r="HY402" s="148"/>
      <c r="HZ402" s="148"/>
      <c r="IA402" s="148"/>
      <c r="IB402" s="148"/>
      <c r="IC402" s="148"/>
      <c r="ID402" s="148"/>
      <c r="IE402" s="148"/>
      <c r="IF402" s="148"/>
      <c r="IG402" s="148"/>
      <c r="IH402" s="148"/>
      <c r="II402" s="148"/>
      <c r="IJ402" s="148"/>
      <c r="IK402" s="148"/>
      <c r="IL402" s="148"/>
      <c r="IM402" s="148"/>
      <c r="IN402" s="148"/>
      <c r="IO402" s="148"/>
      <c r="IP402" s="148"/>
      <c r="IQ402" s="148"/>
      <c r="IR402" s="148"/>
      <c r="IS402" s="148"/>
      <c r="IT402" s="148"/>
      <c r="IU402" s="148"/>
      <c r="IV402" s="148"/>
    </row>
    <row r="403" spans="1:256">
      <c r="A403" s="843"/>
      <c r="B403" s="846"/>
      <c r="C403" s="178" t="s">
        <v>2</v>
      </c>
      <c r="D403" s="180">
        <f>D401+D402</f>
        <v>26841225</v>
      </c>
      <c r="E403" s="181">
        <f t="shared" ref="E403:P403" si="173">E401+E402</f>
        <v>24751096</v>
      </c>
      <c r="F403" s="181">
        <f t="shared" si="173"/>
        <v>0</v>
      </c>
      <c r="G403" s="181">
        <f t="shared" si="173"/>
        <v>0</v>
      </c>
      <c r="H403" s="181">
        <f t="shared" si="173"/>
        <v>0</v>
      </c>
      <c r="I403" s="181">
        <f t="shared" si="173"/>
        <v>24751096</v>
      </c>
      <c r="J403" s="181">
        <f t="shared" si="173"/>
        <v>0</v>
      </c>
      <c r="K403" s="181">
        <f t="shared" si="173"/>
        <v>0</v>
      </c>
      <c r="L403" s="181">
        <f t="shared" si="173"/>
        <v>0</v>
      </c>
      <c r="M403" s="181">
        <f t="shared" si="173"/>
        <v>2090129</v>
      </c>
      <c r="N403" s="181">
        <f t="shared" si="173"/>
        <v>2090129</v>
      </c>
      <c r="O403" s="181">
        <f t="shared" si="173"/>
        <v>0</v>
      </c>
      <c r="P403" s="181">
        <f t="shared" si="173"/>
        <v>0</v>
      </c>
      <c r="Q403" s="182"/>
      <c r="R403" s="182"/>
      <c r="S403" s="182"/>
      <c r="T403" s="182"/>
      <c r="U403" s="182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48"/>
      <c r="CC403" s="148"/>
      <c r="CD403" s="148"/>
      <c r="CE403" s="148"/>
      <c r="CF403" s="148"/>
      <c r="CG403" s="148"/>
      <c r="CH403" s="148"/>
      <c r="CI403" s="148"/>
      <c r="CJ403" s="148"/>
      <c r="CK403" s="148"/>
      <c r="CL403" s="148"/>
      <c r="CM403" s="148"/>
      <c r="CN403" s="148"/>
      <c r="CO403" s="148"/>
      <c r="CP403" s="148"/>
      <c r="CQ403" s="148"/>
      <c r="CR403" s="148"/>
      <c r="CS403" s="148"/>
      <c r="CT403" s="148"/>
      <c r="CU403" s="148"/>
      <c r="CV403" s="148"/>
      <c r="CW403" s="148"/>
      <c r="CX403" s="148"/>
      <c r="CY403" s="148"/>
      <c r="CZ403" s="148"/>
      <c r="DA403" s="148"/>
      <c r="DB403" s="148"/>
      <c r="DC403" s="148"/>
      <c r="DD403" s="148"/>
      <c r="DE403" s="148"/>
      <c r="DF403" s="148"/>
      <c r="DG403" s="148"/>
      <c r="DH403" s="148"/>
      <c r="DI403" s="148"/>
      <c r="DJ403" s="148"/>
      <c r="DK403" s="148"/>
      <c r="DL403" s="148"/>
      <c r="DM403" s="148"/>
      <c r="DN403" s="148"/>
      <c r="DO403" s="148"/>
      <c r="DP403" s="148"/>
      <c r="DQ403" s="148"/>
      <c r="DR403" s="148"/>
      <c r="DS403" s="148"/>
      <c r="DT403" s="148"/>
      <c r="DU403" s="148"/>
      <c r="DV403" s="148"/>
      <c r="DW403" s="148"/>
      <c r="DX403" s="148"/>
      <c r="DY403" s="148"/>
      <c r="DZ403" s="148"/>
      <c r="EA403" s="148"/>
      <c r="EB403" s="148"/>
      <c r="EC403" s="148"/>
      <c r="ED403" s="148"/>
      <c r="EE403" s="148"/>
      <c r="EF403" s="148"/>
      <c r="EG403" s="148"/>
      <c r="EH403" s="148"/>
      <c r="EI403" s="148"/>
      <c r="EJ403" s="148"/>
      <c r="EK403" s="148"/>
      <c r="EL403" s="148"/>
      <c r="EM403" s="148"/>
      <c r="EN403" s="148"/>
      <c r="EO403" s="148"/>
      <c r="EP403" s="148"/>
      <c r="EQ403" s="148"/>
      <c r="ER403" s="148"/>
      <c r="ES403" s="148"/>
      <c r="ET403" s="148"/>
      <c r="EU403" s="148"/>
      <c r="EV403" s="148"/>
      <c r="EW403" s="148"/>
      <c r="EX403" s="148"/>
      <c r="EY403" s="148"/>
      <c r="EZ403" s="148"/>
      <c r="FA403" s="148"/>
      <c r="FB403" s="148"/>
      <c r="FC403" s="148"/>
      <c r="FD403" s="148"/>
      <c r="FE403" s="148"/>
      <c r="FF403" s="148"/>
      <c r="FG403" s="148"/>
      <c r="FH403" s="148"/>
      <c r="FI403" s="148"/>
      <c r="FJ403" s="148"/>
      <c r="FK403" s="148"/>
      <c r="FL403" s="148"/>
      <c r="FM403" s="148"/>
      <c r="FN403" s="148"/>
      <c r="FO403" s="148"/>
      <c r="FP403" s="148"/>
      <c r="FQ403" s="148"/>
      <c r="FR403" s="148"/>
      <c r="FS403" s="148"/>
      <c r="FT403" s="148"/>
      <c r="FU403" s="148"/>
      <c r="FV403" s="148"/>
      <c r="FW403" s="148"/>
      <c r="FX403" s="148"/>
      <c r="FY403" s="148"/>
      <c r="FZ403" s="148"/>
      <c r="GA403" s="148"/>
      <c r="GB403" s="148"/>
      <c r="GC403" s="148"/>
      <c r="GD403" s="148"/>
      <c r="GE403" s="148"/>
      <c r="GF403" s="148"/>
      <c r="GG403" s="148"/>
      <c r="GH403" s="148"/>
      <c r="GI403" s="148"/>
      <c r="GJ403" s="148"/>
      <c r="GK403" s="148"/>
      <c r="GL403" s="148"/>
      <c r="GM403" s="148"/>
      <c r="GN403" s="148"/>
      <c r="GO403" s="148"/>
      <c r="GP403" s="148"/>
      <c r="GQ403" s="148"/>
      <c r="GR403" s="148"/>
      <c r="GS403" s="148"/>
      <c r="GT403" s="148"/>
      <c r="GU403" s="148"/>
      <c r="GV403" s="148"/>
      <c r="GW403" s="148"/>
      <c r="GX403" s="148"/>
      <c r="GY403" s="148"/>
      <c r="GZ403" s="148"/>
      <c r="HA403" s="148"/>
      <c r="HB403" s="148"/>
      <c r="HC403" s="148"/>
      <c r="HD403" s="148"/>
      <c r="HE403" s="148"/>
      <c r="HF403" s="148"/>
      <c r="HG403" s="148"/>
      <c r="HH403" s="148"/>
      <c r="HI403" s="148"/>
      <c r="HJ403" s="148"/>
      <c r="HK403" s="148"/>
      <c r="HL403" s="148"/>
      <c r="HM403" s="148"/>
      <c r="HN403" s="148"/>
      <c r="HO403" s="148"/>
      <c r="HP403" s="148"/>
      <c r="HQ403" s="148"/>
      <c r="HR403" s="148"/>
      <c r="HS403" s="148"/>
      <c r="HT403" s="148"/>
      <c r="HU403" s="148"/>
      <c r="HV403" s="148"/>
      <c r="HW403" s="148"/>
      <c r="HX403" s="148"/>
      <c r="HY403" s="148"/>
      <c r="HZ403" s="148"/>
      <c r="IA403" s="148"/>
      <c r="IB403" s="148"/>
      <c r="IC403" s="148"/>
      <c r="ID403" s="148"/>
      <c r="IE403" s="148"/>
      <c r="IF403" s="148"/>
      <c r="IG403" s="148"/>
      <c r="IH403" s="148"/>
      <c r="II403" s="148"/>
      <c r="IJ403" s="148"/>
      <c r="IK403" s="148"/>
      <c r="IL403" s="148"/>
      <c r="IM403" s="148"/>
      <c r="IN403" s="148"/>
      <c r="IO403" s="148"/>
      <c r="IP403" s="148"/>
      <c r="IQ403" s="148"/>
      <c r="IR403" s="148"/>
      <c r="IS403" s="148"/>
      <c r="IT403" s="148"/>
      <c r="IU403" s="148"/>
      <c r="IV403" s="148"/>
    </row>
    <row r="404" spans="1:256" hidden="1">
      <c r="A404" s="841">
        <v>92120</v>
      </c>
      <c r="B404" s="844" t="s">
        <v>326</v>
      </c>
      <c r="C404" s="178" t="s">
        <v>0</v>
      </c>
      <c r="D404" s="180">
        <f t="shared" si="163"/>
        <v>2000000</v>
      </c>
      <c r="E404" s="181">
        <f t="shared" si="164"/>
        <v>2000000</v>
      </c>
      <c r="F404" s="181">
        <f t="shared" si="165"/>
        <v>155000</v>
      </c>
      <c r="G404" s="181">
        <v>55000</v>
      </c>
      <c r="H404" s="181">
        <v>100000</v>
      </c>
      <c r="I404" s="181">
        <v>1845000</v>
      </c>
      <c r="J404" s="181">
        <v>0</v>
      </c>
      <c r="K404" s="181">
        <v>0</v>
      </c>
      <c r="L404" s="181">
        <v>0</v>
      </c>
      <c r="M404" s="181">
        <f t="shared" si="166"/>
        <v>0</v>
      </c>
      <c r="N404" s="181">
        <v>0</v>
      </c>
      <c r="O404" s="181">
        <v>0</v>
      </c>
      <c r="P404" s="181">
        <v>0</v>
      </c>
      <c r="Q404" s="182"/>
      <c r="R404" s="182"/>
      <c r="S404" s="182"/>
      <c r="T404" s="182"/>
      <c r="U404" s="182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48"/>
      <c r="CC404" s="148"/>
      <c r="CD404" s="148"/>
      <c r="CE404" s="148"/>
      <c r="CF404" s="148"/>
      <c r="CG404" s="148"/>
      <c r="CH404" s="148"/>
      <c r="CI404" s="148"/>
      <c r="CJ404" s="148"/>
      <c r="CK404" s="148"/>
      <c r="CL404" s="148"/>
      <c r="CM404" s="148"/>
      <c r="CN404" s="148"/>
      <c r="CO404" s="148"/>
      <c r="CP404" s="148"/>
      <c r="CQ404" s="148"/>
      <c r="CR404" s="148"/>
      <c r="CS404" s="148"/>
      <c r="CT404" s="148"/>
      <c r="CU404" s="148"/>
      <c r="CV404" s="148"/>
      <c r="CW404" s="148"/>
      <c r="CX404" s="148"/>
      <c r="CY404" s="148"/>
      <c r="CZ404" s="148"/>
      <c r="DA404" s="148"/>
      <c r="DB404" s="148"/>
      <c r="DC404" s="148"/>
      <c r="DD404" s="148"/>
      <c r="DE404" s="148"/>
      <c r="DF404" s="148"/>
      <c r="DG404" s="148"/>
      <c r="DH404" s="148"/>
      <c r="DI404" s="148"/>
      <c r="DJ404" s="148"/>
      <c r="DK404" s="148"/>
      <c r="DL404" s="148"/>
      <c r="DM404" s="148"/>
      <c r="DN404" s="148"/>
      <c r="DO404" s="148"/>
      <c r="DP404" s="148"/>
      <c r="DQ404" s="148"/>
      <c r="DR404" s="148"/>
      <c r="DS404" s="148"/>
      <c r="DT404" s="148"/>
      <c r="DU404" s="148"/>
      <c r="DV404" s="148"/>
      <c r="DW404" s="148"/>
      <c r="DX404" s="148"/>
      <c r="DY404" s="148"/>
      <c r="DZ404" s="148"/>
      <c r="EA404" s="148"/>
      <c r="EB404" s="148"/>
      <c r="EC404" s="148"/>
      <c r="ED404" s="148"/>
      <c r="EE404" s="148"/>
      <c r="EF404" s="148"/>
      <c r="EG404" s="148"/>
      <c r="EH404" s="148"/>
      <c r="EI404" s="148"/>
      <c r="EJ404" s="148"/>
      <c r="EK404" s="148"/>
      <c r="EL404" s="148"/>
      <c r="EM404" s="148"/>
      <c r="EN404" s="148"/>
      <c r="EO404" s="148"/>
      <c r="EP404" s="148"/>
      <c r="EQ404" s="148"/>
      <c r="ER404" s="148"/>
      <c r="ES404" s="148"/>
      <c r="ET404" s="148"/>
      <c r="EU404" s="148"/>
      <c r="EV404" s="148"/>
      <c r="EW404" s="148"/>
      <c r="EX404" s="148"/>
      <c r="EY404" s="148"/>
      <c r="EZ404" s="148"/>
      <c r="FA404" s="148"/>
      <c r="FB404" s="148"/>
      <c r="FC404" s="148"/>
      <c r="FD404" s="148"/>
      <c r="FE404" s="148"/>
      <c r="FF404" s="148"/>
      <c r="FG404" s="148"/>
      <c r="FH404" s="148"/>
      <c r="FI404" s="148"/>
      <c r="FJ404" s="148"/>
      <c r="FK404" s="148"/>
      <c r="FL404" s="148"/>
      <c r="FM404" s="148"/>
      <c r="FN404" s="148"/>
      <c r="FO404" s="148"/>
      <c r="FP404" s="148"/>
      <c r="FQ404" s="148"/>
      <c r="FR404" s="148"/>
      <c r="FS404" s="148"/>
      <c r="FT404" s="148"/>
      <c r="FU404" s="148"/>
      <c r="FV404" s="148"/>
      <c r="FW404" s="148"/>
      <c r="FX404" s="148"/>
      <c r="FY404" s="148"/>
      <c r="FZ404" s="148"/>
      <c r="GA404" s="148"/>
      <c r="GB404" s="148"/>
      <c r="GC404" s="148"/>
      <c r="GD404" s="148"/>
      <c r="GE404" s="148"/>
      <c r="GF404" s="148"/>
      <c r="GG404" s="148"/>
      <c r="GH404" s="148"/>
      <c r="GI404" s="148"/>
      <c r="GJ404" s="148"/>
      <c r="GK404" s="148"/>
      <c r="GL404" s="148"/>
      <c r="GM404" s="148"/>
      <c r="GN404" s="148"/>
      <c r="GO404" s="148"/>
      <c r="GP404" s="148"/>
      <c r="GQ404" s="148"/>
      <c r="GR404" s="148"/>
      <c r="GS404" s="148"/>
      <c r="GT404" s="148"/>
      <c r="GU404" s="148"/>
      <c r="GV404" s="148"/>
      <c r="GW404" s="148"/>
      <c r="GX404" s="148"/>
      <c r="GY404" s="148"/>
      <c r="GZ404" s="148"/>
      <c r="HA404" s="148"/>
      <c r="HB404" s="148"/>
      <c r="HC404" s="148"/>
      <c r="HD404" s="148"/>
      <c r="HE404" s="148"/>
      <c r="HF404" s="148"/>
      <c r="HG404" s="148"/>
      <c r="HH404" s="148"/>
      <c r="HI404" s="148"/>
      <c r="HJ404" s="148"/>
      <c r="HK404" s="148"/>
      <c r="HL404" s="148"/>
      <c r="HM404" s="148"/>
      <c r="HN404" s="148"/>
      <c r="HO404" s="148"/>
      <c r="HP404" s="148"/>
      <c r="HQ404" s="148"/>
      <c r="HR404" s="148"/>
      <c r="HS404" s="148"/>
      <c r="HT404" s="148"/>
      <c r="HU404" s="148"/>
      <c r="HV404" s="148"/>
      <c r="HW404" s="148"/>
      <c r="HX404" s="148"/>
      <c r="HY404" s="148"/>
      <c r="HZ404" s="148"/>
      <c r="IA404" s="148"/>
      <c r="IB404" s="148"/>
      <c r="IC404" s="148"/>
      <c r="ID404" s="148"/>
      <c r="IE404" s="148"/>
      <c r="IF404" s="148"/>
      <c r="IG404" s="148"/>
      <c r="IH404" s="148"/>
      <c r="II404" s="148"/>
      <c r="IJ404" s="148"/>
      <c r="IK404" s="148"/>
      <c r="IL404" s="148"/>
      <c r="IM404" s="148"/>
      <c r="IN404" s="148"/>
      <c r="IO404" s="148"/>
      <c r="IP404" s="148"/>
      <c r="IQ404" s="148"/>
      <c r="IR404" s="148"/>
      <c r="IS404" s="148"/>
      <c r="IT404" s="148"/>
      <c r="IU404" s="148"/>
      <c r="IV404" s="148"/>
    </row>
    <row r="405" spans="1:256" hidden="1">
      <c r="A405" s="842"/>
      <c r="B405" s="845"/>
      <c r="C405" s="178" t="s">
        <v>1</v>
      </c>
      <c r="D405" s="180">
        <f t="shared" si="163"/>
        <v>0</v>
      </c>
      <c r="E405" s="181">
        <f t="shared" si="164"/>
        <v>0</v>
      </c>
      <c r="F405" s="181">
        <f t="shared" si="165"/>
        <v>0</v>
      </c>
      <c r="G405" s="181"/>
      <c r="H405" s="181"/>
      <c r="I405" s="181"/>
      <c r="J405" s="181"/>
      <c r="K405" s="181"/>
      <c r="L405" s="181"/>
      <c r="M405" s="181">
        <f t="shared" si="166"/>
        <v>0</v>
      </c>
      <c r="N405" s="181"/>
      <c r="O405" s="181"/>
      <c r="P405" s="181"/>
      <c r="Q405" s="182"/>
      <c r="R405" s="182"/>
      <c r="S405" s="182"/>
      <c r="T405" s="182"/>
      <c r="U405" s="182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48"/>
      <c r="CC405" s="148"/>
      <c r="CD405" s="148"/>
      <c r="CE405" s="148"/>
      <c r="CF405" s="148"/>
      <c r="CG405" s="148"/>
      <c r="CH405" s="148"/>
      <c r="CI405" s="148"/>
      <c r="CJ405" s="148"/>
      <c r="CK405" s="148"/>
      <c r="CL405" s="148"/>
      <c r="CM405" s="148"/>
      <c r="CN405" s="148"/>
      <c r="CO405" s="148"/>
      <c r="CP405" s="148"/>
      <c r="CQ405" s="148"/>
      <c r="CR405" s="148"/>
      <c r="CS405" s="148"/>
      <c r="CT405" s="148"/>
      <c r="CU405" s="148"/>
      <c r="CV405" s="148"/>
      <c r="CW405" s="148"/>
      <c r="CX405" s="148"/>
      <c r="CY405" s="148"/>
      <c r="CZ405" s="148"/>
      <c r="DA405" s="148"/>
      <c r="DB405" s="148"/>
      <c r="DC405" s="148"/>
      <c r="DD405" s="148"/>
      <c r="DE405" s="148"/>
      <c r="DF405" s="148"/>
      <c r="DG405" s="148"/>
      <c r="DH405" s="148"/>
      <c r="DI405" s="148"/>
      <c r="DJ405" s="148"/>
      <c r="DK405" s="148"/>
      <c r="DL405" s="148"/>
      <c r="DM405" s="148"/>
      <c r="DN405" s="148"/>
      <c r="DO405" s="148"/>
      <c r="DP405" s="148"/>
      <c r="DQ405" s="148"/>
      <c r="DR405" s="148"/>
      <c r="DS405" s="148"/>
      <c r="DT405" s="148"/>
      <c r="DU405" s="148"/>
      <c r="DV405" s="148"/>
      <c r="DW405" s="148"/>
      <c r="DX405" s="148"/>
      <c r="DY405" s="148"/>
      <c r="DZ405" s="148"/>
      <c r="EA405" s="148"/>
      <c r="EB405" s="148"/>
      <c r="EC405" s="148"/>
      <c r="ED405" s="148"/>
      <c r="EE405" s="148"/>
      <c r="EF405" s="148"/>
      <c r="EG405" s="148"/>
      <c r="EH405" s="148"/>
      <c r="EI405" s="148"/>
      <c r="EJ405" s="148"/>
      <c r="EK405" s="148"/>
      <c r="EL405" s="148"/>
      <c r="EM405" s="148"/>
      <c r="EN405" s="148"/>
      <c r="EO405" s="148"/>
      <c r="EP405" s="148"/>
      <c r="EQ405" s="148"/>
      <c r="ER405" s="148"/>
      <c r="ES405" s="148"/>
      <c r="ET405" s="148"/>
      <c r="EU405" s="148"/>
      <c r="EV405" s="148"/>
      <c r="EW405" s="148"/>
      <c r="EX405" s="148"/>
      <c r="EY405" s="148"/>
      <c r="EZ405" s="148"/>
      <c r="FA405" s="148"/>
      <c r="FB405" s="148"/>
      <c r="FC405" s="148"/>
      <c r="FD405" s="148"/>
      <c r="FE405" s="148"/>
      <c r="FF405" s="148"/>
      <c r="FG405" s="148"/>
      <c r="FH405" s="148"/>
      <c r="FI405" s="148"/>
      <c r="FJ405" s="148"/>
      <c r="FK405" s="148"/>
      <c r="FL405" s="148"/>
      <c r="FM405" s="148"/>
      <c r="FN405" s="148"/>
      <c r="FO405" s="148"/>
      <c r="FP405" s="148"/>
      <c r="FQ405" s="148"/>
      <c r="FR405" s="148"/>
      <c r="FS405" s="148"/>
      <c r="FT405" s="148"/>
      <c r="FU405" s="148"/>
      <c r="FV405" s="148"/>
      <c r="FW405" s="148"/>
      <c r="FX405" s="148"/>
      <c r="FY405" s="148"/>
      <c r="FZ405" s="148"/>
      <c r="GA405" s="148"/>
      <c r="GB405" s="148"/>
      <c r="GC405" s="148"/>
      <c r="GD405" s="148"/>
      <c r="GE405" s="148"/>
      <c r="GF405" s="148"/>
      <c r="GG405" s="148"/>
      <c r="GH405" s="148"/>
      <c r="GI405" s="148"/>
      <c r="GJ405" s="148"/>
      <c r="GK405" s="148"/>
      <c r="GL405" s="148"/>
      <c r="GM405" s="148"/>
      <c r="GN405" s="148"/>
      <c r="GO405" s="148"/>
      <c r="GP405" s="148"/>
      <c r="GQ405" s="148"/>
      <c r="GR405" s="148"/>
      <c r="GS405" s="148"/>
      <c r="GT405" s="148"/>
      <c r="GU405" s="148"/>
      <c r="GV405" s="148"/>
      <c r="GW405" s="148"/>
      <c r="GX405" s="148"/>
      <c r="GY405" s="148"/>
      <c r="GZ405" s="148"/>
      <c r="HA405" s="148"/>
      <c r="HB405" s="148"/>
      <c r="HC405" s="148"/>
      <c r="HD405" s="148"/>
      <c r="HE405" s="148"/>
      <c r="HF405" s="148"/>
      <c r="HG405" s="148"/>
      <c r="HH405" s="148"/>
      <c r="HI405" s="148"/>
      <c r="HJ405" s="148"/>
      <c r="HK405" s="148"/>
      <c r="HL405" s="148"/>
      <c r="HM405" s="148"/>
      <c r="HN405" s="148"/>
      <c r="HO405" s="148"/>
      <c r="HP405" s="148"/>
      <c r="HQ405" s="148"/>
      <c r="HR405" s="148"/>
      <c r="HS405" s="148"/>
      <c r="HT405" s="148"/>
      <c r="HU405" s="148"/>
      <c r="HV405" s="148"/>
      <c r="HW405" s="148"/>
      <c r="HX405" s="148"/>
      <c r="HY405" s="148"/>
      <c r="HZ405" s="148"/>
      <c r="IA405" s="148"/>
      <c r="IB405" s="148"/>
      <c r="IC405" s="148"/>
      <c r="ID405" s="148"/>
      <c r="IE405" s="148"/>
      <c r="IF405" s="148"/>
      <c r="IG405" s="148"/>
      <c r="IH405" s="148"/>
      <c r="II405" s="148"/>
      <c r="IJ405" s="148"/>
      <c r="IK405" s="148"/>
      <c r="IL405" s="148"/>
      <c r="IM405" s="148"/>
      <c r="IN405" s="148"/>
      <c r="IO405" s="148"/>
      <c r="IP405" s="148"/>
      <c r="IQ405" s="148"/>
      <c r="IR405" s="148"/>
      <c r="IS405" s="148"/>
      <c r="IT405" s="148"/>
      <c r="IU405" s="148"/>
      <c r="IV405" s="148"/>
    </row>
    <row r="406" spans="1:256" hidden="1">
      <c r="A406" s="843"/>
      <c r="B406" s="846"/>
      <c r="C406" s="178" t="s">
        <v>2</v>
      </c>
      <c r="D406" s="180">
        <f>D404+D405</f>
        <v>2000000</v>
      </c>
      <c r="E406" s="181">
        <f t="shared" ref="E406:P406" si="174">E404+E405</f>
        <v>2000000</v>
      </c>
      <c r="F406" s="181">
        <f t="shared" si="174"/>
        <v>155000</v>
      </c>
      <c r="G406" s="181">
        <f t="shared" si="174"/>
        <v>55000</v>
      </c>
      <c r="H406" s="181">
        <f t="shared" si="174"/>
        <v>100000</v>
      </c>
      <c r="I406" s="181">
        <f t="shared" si="174"/>
        <v>1845000</v>
      </c>
      <c r="J406" s="181">
        <f t="shared" si="174"/>
        <v>0</v>
      </c>
      <c r="K406" s="181">
        <f t="shared" si="174"/>
        <v>0</v>
      </c>
      <c r="L406" s="181">
        <f t="shared" si="174"/>
        <v>0</v>
      </c>
      <c r="M406" s="181">
        <f t="shared" si="174"/>
        <v>0</v>
      </c>
      <c r="N406" s="181">
        <f t="shared" si="174"/>
        <v>0</v>
      </c>
      <c r="O406" s="181">
        <f t="shared" si="174"/>
        <v>0</v>
      </c>
      <c r="P406" s="181">
        <f t="shared" si="174"/>
        <v>0</v>
      </c>
      <c r="Q406" s="182"/>
      <c r="R406" s="182"/>
      <c r="S406" s="182"/>
      <c r="T406" s="182"/>
      <c r="U406" s="182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  <c r="GB406" s="148"/>
      <c r="GC406" s="148"/>
      <c r="GD406" s="148"/>
      <c r="GE406" s="148"/>
      <c r="GF406" s="148"/>
      <c r="GG406" s="148"/>
      <c r="GH406" s="148"/>
      <c r="GI406" s="148"/>
      <c r="GJ406" s="148"/>
      <c r="GK406" s="148"/>
      <c r="GL406" s="148"/>
      <c r="GM406" s="148"/>
      <c r="GN406" s="148"/>
      <c r="GO406" s="148"/>
      <c r="GP406" s="148"/>
      <c r="GQ406" s="148"/>
      <c r="GR406" s="148"/>
      <c r="GS406" s="148"/>
      <c r="GT406" s="148"/>
      <c r="GU406" s="148"/>
      <c r="GV406" s="148"/>
      <c r="GW406" s="148"/>
      <c r="GX406" s="148"/>
      <c r="GY406" s="148"/>
      <c r="GZ406" s="148"/>
      <c r="HA406" s="148"/>
      <c r="HB406" s="148"/>
      <c r="HC406" s="148"/>
      <c r="HD406" s="148"/>
      <c r="HE406" s="148"/>
      <c r="HF406" s="148"/>
      <c r="HG406" s="148"/>
      <c r="HH406" s="148"/>
      <c r="HI406" s="148"/>
      <c r="HJ406" s="148"/>
      <c r="HK406" s="148"/>
      <c r="HL406" s="148"/>
      <c r="HM406" s="148"/>
      <c r="HN406" s="148"/>
      <c r="HO406" s="148"/>
      <c r="HP406" s="148"/>
      <c r="HQ406" s="148"/>
      <c r="HR406" s="148"/>
      <c r="HS406" s="148"/>
      <c r="HT406" s="148"/>
      <c r="HU406" s="148"/>
      <c r="HV406" s="148"/>
      <c r="HW406" s="148"/>
      <c r="HX406" s="148"/>
      <c r="HY406" s="148"/>
      <c r="HZ406" s="148"/>
      <c r="IA406" s="148"/>
      <c r="IB406" s="148"/>
      <c r="IC406" s="148"/>
      <c r="ID406" s="148"/>
      <c r="IE406" s="148"/>
      <c r="IF406" s="148"/>
      <c r="IG406" s="148"/>
      <c r="IH406" s="148"/>
      <c r="II406" s="148"/>
      <c r="IJ406" s="148"/>
      <c r="IK406" s="148"/>
      <c r="IL406" s="148"/>
      <c r="IM406" s="148"/>
      <c r="IN406" s="148"/>
      <c r="IO406" s="148"/>
      <c r="IP406" s="148"/>
      <c r="IQ406" s="148"/>
      <c r="IR406" s="148"/>
      <c r="IS406" s="148"/>
      <c r="IT406" s="148"/>
      <c r="IU406" s="148"/>
      <c r="IV406" s="148"/>
    </row>
    <row r="407" spans="1:256">
      <c r="A407" s="841">
        <v>92195</v>
      </c>
      <c r="B407" s="844" t="s">
        <v>108</v>
      </c>
      <c r="C407" s="178" t="s">
        <v>0</v>
      </c>
      <c r="D407" s="180">
        <f t="shared" si="163"/>
        <v>18014867</v>
      </c>
      <c r="E407" s="181">
        <f t="shared" si="164"/>
        <v>16774933</v>
      </c>
      <c r="F407" s="181">
        <f t="shared" si="165"/>
        <v>9870000</v>
      </c>
      <c r="G407" s="181">
        <v>99000</v>
      </c>
      <c r="H407" s="181">
        <v>9771000</v>
      </c>
      <c r="I407" s="181">
        <v>6264600</v>
      </c>
      <c r="J407" s="181">
        <v>450000</v>
      </c>
      <c r="K407" s="181">
        <v>190333</v>
      </c>
      <c r="L407" s="181">
        <v>0</v>
      </c>
      <c r="M407" s="181">
        <f t="shared" si="166"/>
        <v>1239934</v>
      </c>
      <c r="N407" s="181">
        <v>1239934</v>
      </c>
      <c r="O407" s="181">
        <v>0</v>
      </c>
      <c r="P407" s="181">
        <v>0</v>
      </c>
      <c r="Q407" s="182"/>
      <c r="R407" s="182"/>
      <c r="S407" s="182"/>
      <c r="T407" s="182"/>
      <c r="U407" s="182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48"/>
      <c r="CC407" s="148"/>
      <c r="CD407" s="148"/>
      <c r="CE407" s="148"/>
      <c r="CF407" s="148"/>
      <c r="CG407" s="148"/>
      <c r="CH407" s="148"/>
      <c r="CI407" s="148"/>
      <c r="CJ407" s="148"/>
      <c r="CK407" s="148"/>
      <c r="CL407" s="148"/>
      <c r="CM407" s="148"/>
      <c r="CN407" s="148"/>
      <c r="CO407" s="148"/>
      <c r="CP407" s="148"/>
      <c r="CQ407" s="148"/>
      <c r="CR407" s="148"/>
      <c r="CS407" s="148"/>
      <c r="CT407" s="148"/>
      <c r="CU407" s="148"/>
      <c r="CV407" s="148"/>
      <c r="CW407" s="148"/>
      <c r="CX407" s="148"/>
      <c r="CY407" s="148"/>
      <c r="CZ407" s="148"/>
      <c r="DA407" s="148"/>
      <c r="DB407" s="148"/>
      <c r="DC407" s="148"/>
      <c r="DD407" s="148"/>
      <c r="DE407" s="148"/>
      <c r="DF407" s="148"/>
      <c r="DG407" s="148"/>
      <c r="DH407" s="148"/>
      <c r="DI407" s="148"/>
      <c r="DJ407" s="148"/>
      <c r="DK407" s="148"/>
      <c r="DL407" s="148"/>
      <c r="DM407" s="148"/>
      <c r="DN407" s="148"/>
      <c r="DO407" s="148"/>
      <c r="DP407" s="148"/>
      <c r="DQ407" s="148"/>
      <c r="DR407" s="148"/>
      <c r="DS407" s="148"/>
      <c r="DT407" s="148"/>
      <c r="DU407" s="148"/>
      <c r="DV407" s="148"/>
      <c r="DW407" s="148"/>
      <c r="DX407" s="148"/>
      <c r="DY407" s="148"/>
      <c r="DZ407" s="148"/>
      <c r="EA407" s="148"/>
      <c r="EB407" s="148"/>
      <c r="EC407" s="148"/>
      <c r="ED407" s="148"/>
      <c r="EE407" s="148"/>
      <c r="EF407" s="148"/>
      <c r="EG407" s="148"/>
      <c r="EH407" s="148"/>
      <c r="EI407" s="148"/>
      <c r="EJ407" s="148"/>
      <c r="EK407" s="148"/>
      <c r="EL407" s="148"/>
      <c r="EM407" s="148"/>
      <c r="EN407" s="148"/>
      <c r="EO407" s="148"/>
      <c r="EP407" s="148"/>
      <c r="EQ407" s="148"/>
      <c r="ER407" s="148"/>
      <c r="ES407" s="148"/>
      <c r="ET407" s="148"/>
      <c r="EU407" s="148"/>
      <c r="EV407" s="148"/>
      <c r="EW407" s="148"/>
      <c r="EX407" s="148"/>
      <c r="EY407" s="148"/>
      <c r="EZ407" s="148"/>
      <c r="FA407" s="148"/>
      <c r="FB407" s="148"/>
      <c r="FC407" s="148"/>
      <c r="FD407" s="148"/>
      <c r="FE407" s="148"/>
      <c r="FF407" s="148"/>
      <c r="FG407" s="148"/>
      <c r="FH407" s="148"/>
      <c r="FI407" s="148"/>
      <c r="FJ407" s="148"/>
      <c r="FK407" s="148"/>
      <c r="FL407" s="148"/>
      <c r="FM407" s="148"/>
      <c r="FN407" s="148"/>
      <c r="FO407" s="148"/>
      <c r="FP407" s="148"/>
      <c r="FQ407" s="148"/>
      <c r="FR407" s="148"/>
      <c r="FS407" s="148"/>
      <c r="FT407" s="148"/>
      <c r="FU407" s="148"/>
      <c r="FV407" s="148"/>
      <c r="FW407" s="148"/>
      <c r="FX407" s="148"/>
      <c r="FY407" s="148"/>
      <c r="FZ407" s="148"/>
      <c r="GA407" s="148"/>
      <c r="GB407" s="148"/>
      <c r="GC407" s="148"/>
      <c r="GD407" s="148"/>
      <c r="GE407" s="148"/>
      <c r="GF407" s="148"/>
      <c r="GG407" s="148"/>
      <c r="GH407" s="148"/>
      <c r="GI407" s="148"/>
      <c r="GJ407" s="148"/>
      <c r="GK407" s="148"/>
      <c r="GL407" s="148"/>
      <c r="GM407" s="148"/>
      <c r="GN407" s="148"/>
      <c r="GO407" s="148"/>
      <c r="GP407" s="148"/>
      <c r="GQ407" s="148"/>
      <c r="GR407" s="148"/>
      <c r="GS407" s="148"/>
      <c r="GT407" s="148"/>
      <c r="GU407" s="148"/>
      <c r="GV407" s="148"/>
      <c r="GW407" s="148"/>
      <c r="GX407" s="148"/>
      <c r="GY407" s="148"/>
      <c r="GZ407" s="148"/>
      <c r="HA407" s="148"/>
      <c r="HB407" s="148"/>
      <c r="HC407" s="148"/>
      <c r="HD407" s="148"/>
      <c r="HE407" s="148"/>
      <c r="HF407" s="148"/>
      <c r="HG407" s="148"/>
      <c r="HH407" s="148"/>
      <c r="HI407" s="148"/>
      <c r="HJ407" s="148"/>
      <c r="HK407" s="148"/>
      <c r="HL407" s="148"/>
      <c r="HM407" s="148"/>
      <c r="HN407" s="148"/>
      <c r="HO407" s="148"/>
      <c r="HP407" s="148"/>
      <c r="HQ407" s="148"/>
      <c r="HR407" s="148"/>
      <c r="HS407" s="148"/>
      <c r="HT407" s="148"/>
      <c r="HU407" s="148"/>
      <c r="HV407" s="148"/>
      <c r="HW407" s="148"/>
      <c r="HX407" s="148"/>
      <c r="HY407" s="148"/>
      <c r="HZ407" s="148"/>
      <c r="IA407" s="148"/>
      <c r="IB407" s="148"/>
      <c r="IC407" s="148"/>
      <c r="ID407" s="148"/>
      <c r="IE407" s="148"/>
      <c r="IF407" s="148"/>
      <c r="IG407" s="148"/>
      <c r="IH407" s="148"/>
      <c r="II407" s="148"/>
      <c r="IJ407" s="148"/>
      <c r="IK407" s="148"/>
      <c r="IL407" s="148"/>
      <c r="IM407" s="148"/>
      <c r="IN407" s="148"/>
      <c r="IO407" s="148"/>
      <c r="IP407" s="148"/>
      <c r="IQ407" s="148"/>
      <c r="IR407" s="148"/>
      <c r="IS407" s="148"/>
      <c r="IT407" s="148"/>
      <c r="IU407" s="148"/>
      <c r="IV407" s="148"/>
    </row>
    <row r="408" spans="1:256">
      <c r="A408" s="842"/>
      <c r="B408" s="845"/>
      <c r="C408" s="178" t="s">
        <v>1</v>
      </c>
      <c r="D408" s="180">
        <f t="shared" si="163"/>
        <v>5334000</v>
      </c>
      <c r="E408" s="181">
        <f t="shared" si="164"/>
        <v>4298289</v>
      </c>
      <c r="F408" s="181">
        <f t="shared" si="165"/>
        <v>4500000</v>
      </c>
      <c r="G408" s="181"/>
      <c r="H408" s="181">
        <v>4500000</v>
      </c>
      <c r="I408" s="181">
        <f>-201711</f>
        <v>-201711</v>
      </c>
      <c r="J408" s="181"/>
      <c r="K408" s="181"/>
      <c r="L408" s="181"/>
      <c r="M408" s="181">
        <f t="shared" si="166"/>
        <v>1035711</v>
      </c>
      <c r="N408" s="181">
        <f>700000+335711</f>
        <v>1035711</v>
      </c>
      <c r="O408" s="181"/>
      <c r="P408" s="181"/>
      <c r="Q408" s="182"/>
      <c r="R408" s="182"/>
      <c r="S408" s="182"/>
      <c r="T408" s="182"/>
      <c r="U408" s="182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  <c r="FF408" s="148"/>
      <c r="FG408" s="148"/>
      <c r="FH408" s="148"/>
      <c r="FI408" s="148"/>
      <c r="FJ408" s="148"/>
      <c r="FK408" s="148"/>
      <c r="FL408" s="148"/>
      <c r="FM408" s="148"/>
      <c r="FN408" s="148"/>
      <c r="FO408" s="148"/>
      <c r="FP408" s="148"/>
      <c r="FQ408" s="148"/>
      <c r="FR408" s="148"/>
      <c r="FS408" s="148"/>
      <c r="FT408" s="148"/>
      <c r="FU408" s="148"/>
      <c r="FV408" s="148"/>
      <c r="FW408" s="148"/>
      <c r="FX408" s="148"/>
      <c r="FY408" s="148"/>
      <c r="FZ408" s="148"/>
      <c r="GA408" s="148"/>
      <c r="GB408" s="148"/>
      <c r="GC408" s="148"/>
      <c r="GD408" s="148"/>
      <c r="GE408" s="148"/>
      <c r="GF408" s="148"/>
      <c r="GG408" s="148"/>
      <c r="GH408" s="148"/>
      <c r="GI408" s="148"/>
      <c r="GJ408" s="148"/>
      <c r="GK408" s="148"/>
      <c r="GL408" s="148"/>
      <c r="GM408" s="148"/>
      <c r="GN408" s="148"/>
      <c r="GO408" s="148"/>
      <c r="GP408" s="148"/>
      <c r="GQ408" s="148"/>
      <c r="GR408" s="148"/>
      <c r="GS408" s="148"/>
      <c r="GT408" s="148"/>
      <c r="GU408" s="148"/>
      <c r="GV408" s="148"/>
      <c r="GW408" s="148"/>
      <c r="GX408" s="148"/>
      <c r="GY408" s="148"/>
      <c r="GZ408" s="148"/>
      <c r="HA408" s="148"/>
      <c r="HB408" s="148"/>
      <c r="HC408" s="148"/>
      <c r="HD408" s="148"/>
      <c r="HE408" s="148"/>
      <c r="HF408" s="148"/>
      <c r="HG408" s="148"/>
      <c r="HH408" s="148"/>
      <c r="HI408" s="148"/>
      <c r="HJ408" s="148"/>
      <c r="HK408" s="148"/>
      <c r="HL408" s="148"/>
      <c r="HM408" s="148"/>
      <c r="HN408" s="148"/>
      <c r="HO408" s="148"/>
      <c r="HP408" s="148"/>
      <c r="HQ408" s="148"/>
      <c r="HR408" s="148"/>
      <c r="HS408" s="148"/>
      <c r="HT408" s="148"/>
      <c r="HU408" s="148"/>
      <c r="HV408" s="148"/>
      <c r="HW408" s="148"/>
      <c r="HX408" s="148"/>
      <c r="HY408" s="148"/>
      <c r="HZ408" s="148"/>
      <c r="IA408" s="148"/>
      <c r="IB408" s="148"/>
      <c r="IC408" s="148"/>
      <c r="ID408" s="148"/>
      <c r="IE408" s="148"/>
      <c r="IF408" s="148"/>
      <c r="IG408" s="148"/>
      <c r="IH408" s="148"/>
      <c r="II408" s="148"/>
      <c r="IJ408" s="148"/>
      <c r="IK408" s="148"/>
      <c r="IL408" s="148"/>
      <c r="IM408" s="148"/>
      <c r="IN408" s="148"/>
      <c r="IO408" s="148"/>
      <c r="IP408" s="148"/>
      <c r="IQ408" s="148"/>
      <c r="IR408" s="148"/>
      <c r="IS408" s="148"/>
      <c r="IT408" s="148"/>
      <c r="IU408" s="148"/>
      <c r="IV408" s="148"/>
    </row>
    <row r="409" spans="1:256">
      <c r="A409" s="843"/>
      <c r="B409" s="846"/>
      <c r="C409" s="178" t="s">
        <v>2</v>
      </c>
      <c r="D409" s="180">
        <f>D407+D408</f>
        <v>23348867</v>
      </c>
      <c r="E409" s="181">
        <f t="shared" ref="E409:P409" si="175">E407+E408</f>
        <v>21073222</v>
      </c>
      <c r="F409" s="181">
        <f t="shared" si="175"/>
        <v>14370000</v>
      </c>
      <c r="G409" s="181">
        <f t="shared" si="175"/>
        <v>99000</v>
      </c>
      <c r="H409" s="181">
        <f t="shared" si="175"/>
        <v>14271000</v>
      </c>
      <c r="I409" s="181">
        <f t="shared" si="175"/>
        <v>6062889</v>
      </c>
      <c r="J409" s="181">
        <f t="shared" si="175"/>
        <v>450000</v>
      </c>
      <c r="K409" s="181">
        <f t="shared" si="175"/>
        <v>190333</v>
      </c>
      <c r="L409" s="181">
        <f t="shared" si="175"/>
        <v>0</v>
      </c>
      <c r="M409" s="181">
        <f t="shared" si="175"/>
        <v>2275645</v>
      </c>
      <c r="N409" s="181">
        <f t="shared" si="175"/>
        <v>2275645</v>
      </c>
      <c r="O409" s="181">
        <f t="shared" si="175"/>
        <v>0</v>
      </c>
      <c r="P409" s="181">
        <f t="shared" si="175"/>
        <v>0</v>
      </c>
      <c r="Q409" s="182"/>
      <c r="R409" s="182"/>
      <c r="S409" s="182"/>
      <c r="T409" s="182"/>
      <c r="U409" s="182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48"/>
      <c r="CC409" s="148"/>
      <c r="CD409" s="148"/>
      <c r="CE409" s="148"/>
      <c r="CF409" s="148"/>
      <c r="CG409" s="148"/>
      <c r="CH409" s="148"/>
      <c r="CI409" s="148"/>
      <c r="CJ409" s="148"/>
      <c r="CK409" s="148"/>
      <c r="CL409" s="148"/>
      <c r="CM409" s="148"/>
      <c r="CN409" s="148"/>
      <c r="CO409" s="148"/>
      <c r="CP409" s="148"/>
      <c r="CQ409" s="148"/>
      <c r="CR409" s="148"/>
      <c r="CS409" s="148"/>
      <c r="CT409" s="148"/>
      <c r="CU409" s="148"/>
      <c r="CV409" s="148"/>
      <c r="CW409" s="148"/>
      <c r="CX409" s="148"/>
      <c r="CY409" s="148"/>
      <c r="CZ409" s="148"/>
      <c r="DA409" s="148"/>
      <c r="DB409" s="148"/>
      <c r="DC409" s="148"/>
      <c r="DD409" s="148"/>
      <c r="DE409" s="148"/>
      <c r="DF409" s="148"/>
      <c r="DG409" s="148"/>
      <c r="DH409" s="148"/>
      <c r="DI409" s="148"/>
      <c r="DJ409" s="148"/>
      <c r="DK409" s="148"/>
      <c r="DL409" s="148"/>
      <c r="DM409" s="148"/>
      <c r="DN409" s="148"/>
      <c r="DO409" s="148"/>
      <c r="DP409" s="148"/>
      <c r="DQ409" s="148"/>
      <c r="DR409" s="148"/>
      <c r="DS409" s="148"/>
      <c r="DT409" s="148"/>
      <c r="DU409" s="148"/>
      <c r="DV409" s="148"/>
      <c r="DW409" s="148"/>
      <c r="DX409" s="148"/>
      <c r="DY409" s="148"/>
      <c r="DZ409" s="148"/>
      <c r="EA409" s="148"/>
      <c r="EB409" s="148"/>
      <c r="EC409" s="148"/>
      <c r="ED409" s="148"/>
      <c r="EE409" s="148"/>
      <c r="EF409" s="148"/>
      <c r="EG409" s="148"/>
      <c r="EH409" s="148"/>
      <c r="EI409" s="148"/>
      <c r="EJ409" s="148"/>
      <c r="EK409" s="148"/>
      <c r="EL409" s="148"/>
      <c r="EM409" s="148"/>
      <c r="EN409" s="148"/>
      <c r="EO409" s="148"/>
      <c r="EP409" s="148"/>
      <c r="EQ409" s="148"/>
      <c r="ER409" s="148"/>
      <c r="ES409" s="148"/>
      <c r="ET409" s="148"/>
      <c r="EU409" s="148"/>
      <c r="EV409" s="148"/>
      <c r="EW409" s="148"/>
      <c r="EX409" s="148"/>
      <c r="EY409" s="148"/>
      <c r="EZ409" s="148"/>
      <c r="FA409" s="148"/>
      <c r="FB409" s="148"/>
      <c r="FC409" s="148"/>
      <c r="FD409" s="148"/>
      <c r="FE409" s="148"/>
      <c r="FF409" s="148"/>
      <c r="FG409" s="148"/>
      <c r="FH409" s="148"/>
      <c r="FI409" s="148"/>
      <c r="FJ409" s="148"/>
      <c r="FK409" s="148"/>
      <c r="FL409" s="148"/>
      <c r="FM409" s="148"/>
      <c r="FN409" s="148"/>
      <c r="FO409" s="148"/>
      <c r="FP409" s="148"/>
      <c r="FQ409" s="148"/>
      <c r="FR409" s="148"/>
      <c r="FS409" s="148"/>
      <c r="FT409" s="148"/>
      <c r="FU409" s="148"/>
      <c r="FV409" s="148"/>
      <c r="FW409" s="148"/>
      <c r="FX409" s="148"/>
      <c r="FY409" s="148"/>
      <c r="FZ409" s="148"/>
      <c r="GA409" s="148"/>
      <c r="GB409" s="148"/>
      <c r="GC409" s="148"/>
      <c r="GD409" s="148"/>
      <c r="GE409" s="148"/>
      <c r="GF409" s="148"/>
      <c r="GG409" s="148"/>
      <c r="GH409" s="148"/>
      <c r="GI409" s="148"/>
      <c r="GJ409" s="148"/>
      <c r="GK409" s="148"/>
      <c r="GL409" s="148"/>
      <c r="GM409" s="148"/>
      <c r="GN409" s="148"/>
      <c r="GO409" s="148"/>
      <c r="GP409" s="148"/>
      <c r="GQ409" s="148"/>
      <c r="GR409" s="148"/>
      <c r="GS409" s="148"/>
      <c r="GT409" s="148"/>
      <c r="GU409" s="148"/>
      <c r="GV409" s="148"/>
      <c r="GW409" s="148"/>
      <c r="GX409" s="148"/>
      <c r="GY409" s="148"/>
      <c r="GZ409" s="148"/>
      <c r="HA409" s="148"/>
      <c r="HB409" s="148"/>
      <c r="HC409" s="148"/>
      <c r="HD409" s="148"/>
      <c r="HE409" s="148"/>
      <c r="HF409" s="148"/>
      <c r="HG409" s="148"/>
      <c r="HH409" s="148"/>
      <c r="HI409" s="148"/>
      <c r="HJ409" s="148"/>
      <c r="HK409" s="148"/>
      <c r="HL409" s="148"/>
      <c r="HM409" s="148"/>
      <c r="HN409" s="148"/>
      <c r="HO409" s="148"/>
      <c r="HP409" s="148"/>
      <c r="HQ409" s="148"/>
      <c r="HR409" s="148"/>
      <c r="HS409" s="148"/>
      <c r="HT409" s="148"/>
      <c r="HU409" s="148"/>
      <c r="HV409" s="148"/>
      <c r="HW409" s="148"/>
      <c r="HX409" s="148"/>
      <c r="HY409" s="148"/>
      <c r="HZ409" s="148"/>
      <c r="IA409" s="148"/>
      <c r="IB409" s="148"/>
      <c r="IC409" s="148"/>
      <c r="ID409" s="148"/>
      <c r="IE409" s="148"/>
      <c r="IF409" s="148"/>
      <c r="IG409" s="148"/>
      <c r="IH409" s="148"/>
      <c r="II409" s="148"/>
      <c r="IJ409" s="148"/>
      <c r="IK409" s="148"/>
      <c r="IL409" s="148"/>
      <c r="IM409" s="148"/>
      <c r="IN409" s="148"/>
      <c r="IO409" s="148"/>
      <c r="IP409" s="148"/>
      <c r="IQ409" s="148"/>
      <c r="IR409" s="148"/>
      <c r="IS409" s="148"/>
      <c r="IT409" s="148"/>
      <c r="IU409" s="148"/>
      <c r="IV409" s="148"/>
    </row>
    <row r="410" spans="1:256" ht="15">
      <c r="A410" s="835">
        <v>925</v>
      </c>
      <c r="B410" s="853" t="s">
        <v>69</v>
      </c>
      <c r="C410" s="183" t="s">
        <v>0</v>
      </c>
      <c r="D410" s="197">
        <f t="shared" ref="D410:P411" si="176">D413</f>
        <v>8742481</v>
      </c>
      <c r="E410" s="193">
        <f t="shared" si="176"/>
        <v>8442959</v>
      </c>
      <c r="F410" s="193">
        <f t="shared" si="176"/>
        <v>8297498</v>
      </c>
      <c r="G410" s="193">
        <f t="shared" si="176"/>
        <v>5867539</v>
      </c>
      <c r="H410" s="193">
        <f t="shared" si="176"/>
        <v>2429959</v>
      </c>
      <c r="I410" s="193">
        <f t="shared" si="176"/>
        <v>0</v>
      </c>
      <c r="J410" s="193">
        <f t="shared" si="176"/>
        <v>145461</v>
      </c>
      <c r="K410" s="193">
        <f t="shared" si="176"/>
        <v>0</v>
      </c>
      <c r="L410" s="193">
        <f t="shared" si="176"/>
        <v>0</v>
      </c>
      <c r="M410" s="193">
        <f t="shared" si="176"/>
        <v>299522</v>
      </c>
      <c r="N410" s="193">
        <f t="shared" si="176"/>
        <v>299522</v>
      </c>
      <c r="O410" s="193">
        <f>O413</f>
        <v>0</v>
      </c>
      <c r="P410" s="193">
        <f t="shared" si="176"/>
        <v>0</v>
      </c>
      <c r="Q410" s="194"/>
      <c r="R410" s="194"/>
      <c r="S410" s="194"/>
      <c r="T410" s="194"/>
      <c r="U410" s="194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  <c r="AW410" s="195"/>
      <c r="AX410" s="195"/>
      <c r="AY410" s="195"/>
      <c r="AZ410" s="195"/>
      <c r="BA410" s="195"/>
      <c r="BB410" s="195"/>
      <c r="BC410" s="195"/>
      <c r="BD410" s="195"/>
      <c r="BE410" s="195"/>
      <c r="BF410" s="195"/>
      <c r="BG410" s="195"/>
      <c r="BH410" s="195"/>
      <c r="BI410" s="195"/>
      <c r="BJ410" s="195"/>
      <c r="BK410" s="195"/>
      <c r="BL410" s="195"/>
      <c r="BM410" s="195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  <c r="CH410" s="195"/>
      <c r="CI410" s="195"/>
      <c r="CJ410" s="195"/>
      <c r="CK410" s="195"/>
      <c r="CL410" s="195"/>
      <c r="CM410" s="195"/>
      <c r="CN410" s="195"/>
      <c r="CO410" s="195"/>
      <c r="CP410" s="195"/>
      <c r="CQ410" s="195"/>
      <c r="CR410" s="195"/>
      <c r="CS410" s="195"/>
      <c r="CT410" s="195"/>
      <c r="CU410" s="195"/>
      <c r="CV410" s="195"/>
      <c r="CW410" s="195"/>
      <c r="CX410" s="195"/>
      <c r="CY410" s="195"/>
      <c r="CZ410" s="195"/>
      <c r="DA410" s="195"/>
      <c r="DB410" s="195"/>
      <c r="DC410" s="195"/>
      <c r="DD410" s="195"/>
      <c r="DE410" s="195"/>
      <c r="DF410" s="195"/>
      <c r="DG410" s="195"/>
      <c r="DH410" s="195"/>
      <c r="DI410" s="195"/>
      <c r="DJ410" s="195"/>
      <c r="DK410" s="195"/>
      <c r="DL410" s="195"/>
      <c r="DM410" s="195"/>
      <c r="DN410" s="195"/>
      <c r="DO410" s="195"/>
      <c r="DP410" s="195"/>
      <c r="DQ410" s="195"/>
      <c r="DR410" s="195"/>
      <c r="DS410" s="195"/>
      <c r="DT410" s="195"/>
      <c r="DU410" s="195"/>
      <c r="DV410" s="195"/>
      <c r="DW410" s="195"/>
      <c r="DX410" s="195"/>
      <c r="DY410" s="195"/>
      <c r="DZ410" s="195"/>
      <c r="EA410" s="195"/>
      <c r="EB410" s="195"/>
      <c r="EC410" s="195"/>
      <c r="ED410" s="195"/>
      <c r="EE410" s="195"/>
      <c r="EF410" s="195"/>
      <c r="EG410" s="195"/>
      <c r="EH410" s="195"/>
      <c r="EI410" s="195"/>
      <c r="EJ410" s="195"/>
      <c r="EK410" s="195"/>
      <c r="EL410" s="195"/>
      <c r="EM410" s="195"/>
      <c r="EN410" s="195"/>
      <c r="EO410" s="195"/>
      <c r="EP410" s="195"/>
      <c r="EQ410" s="195"/>
      <c r="ER410" s="195"/>
      <c r="ES410" s="195"/>
      <c r="ET410" s="195"/>
      <c r="EU410" s="195"/>
      <c r="EV410" s="195"/>
      <c r="EW410" s="195"/>
      <c r="EX410" s="195"/>
      <c r="EY410" s="195"/>
      <c r="EZ410" s="195"/>
      <c r="FA410" s="195"/>
      <c r="FB410" s="195"/>
      <c r="FC410" s="195"/>
      <c r="FD410" s="195"/>
      <c r="FE410" s="195"/>
      <c r="FF410" s="195"/>
      <c r="FG410" s="195"/>
      <c r="FH410" s="195"/>
      <c r="FI410" s="195"/>
      <c r="FJ410" s="195"/>
      <c r="FK410" s="195"/>
      <c r="FL410" s="195"/>
      <c r="FM410" s="195"/>
      <c r="FN410" s="195"/>
      <c r="FO410" s="195"/>
      <c r="FP410" s="195"/>
      <c r="FQ410" s="195"/>
      <c r="FR410" s="195"/>
      <c r="FS410" s="195"/>
      <c r="FT410" s="195"/>
      <c r="FU410" s="195"/>
      <c r="FV410" s="195"/>
      <c r="FW410" s="195"/>
      <c r="FX410" s="195"/>
      <c r="FY410" s="195"/>
      <c r="FZ410" s="195"/>
      <c r="GA410" s="195"/>
      <c r="GB410" s="195"/>
      <c r="GC410" s="195"/>
      <c r="GD410" s="195"/>
      <c r="GE410" s="195"/>
      <c r="GF410" s="195"/>
      <c r="GG410" s="195"/>
      <c r="GH410" s="195"/>
      <c r="GI410" s="195"/>
      <c r="GJ410" s="195"/>
      <c r="GK410" s="195"/>
      <c r="GL410" s="195"/>
      <c r="GM410" s="195"/>
      <c r="GN410" s="195"/>
      <c r="GO410" s="195"/>
      <c r="GP410" s="195"/>
      <c r="GQ410" s="195"/>
      <c r="GR410" s="195"/>
      <c r="GS410" s="195"/>
      <c r="GT410" s="195"/>
      <c r="GU410" s="195"/>
      <c r="GV410" s="195"/>
      <c r="GW410" s="195"/>
      <c r="GX410" s="195"/>
      <c r="GY410" s="195"/>
      <c r="GZ410" s="195"/>
      <c r="HA410" s="195"/>
      <c r="HB410" s="195"/>
      <c r="HC410" s="195"/>
      <c r="HD410" s="195"/>
      <c r="HE410" s="195"/>
      <c r="HF410" s="195"/>
      <c r="HG410" s="195"/>
      <c r="HH410" s="195"/>
      <c r="HI410" s="195"/>
      <c r="HJ410" s="195"/>
      <c r="HK410" s="195"/>
      <c r="HL410" s="195"/>
      <c r="HM410" s="195"/>
      <c r="HN410" s="195"/>
      <c r="HO410" s="195"/>
      <c r="HP410" s="195"/>
      <c r="HQ410" s="195"/>
      <c r="HR410" s="195"/>
      <c r="HS410" s="195"/>
      <c r="HT410" s="195"/>
      <c r="HU410" s="195"/>
      <c r="HV410" s="195"/>
      <c r="HW410" s="195"/>
      <c r="HX410" s="195"/>
      <c r="HY410" s="195"/>
      <c r="HZ410" s="195"/>
      <c r="IA410" s="195"/>
      <c r="IB410" s="195"/>
      <c r="IC410" s="195"/>
      <c r="ID410" s="195"/>
      <c r="IE410" s="195"/>
      <c r="IF410" s="195"/>
      <c r="IG410" s="195"/>
      <c r="IH410" s="195"/>
      <c r="II410" s="195"/>
      <c r="IJ410" s="195"/>
      <c r="IK410" s="195"/>
      <c r="IL410" s="195"/>
      <c r="IM410" s="195"/>
      <c r="IN410" s="195"/>
      <c r="IO410" s="195"/>
      <c r="IP410" s="195"/>
      <c r="IQ410" s="195"/>
      <c r="IR410" s="195"/>
      <c r="IS410" s="195"/>
      <c r="IT410" s="195"/>
      <c r="IU410" s="195"/>
      <c r="IV410" s="195"/>
    </row>
    <row r="411" spans="1:256" ht="15">
      <c r="A411" s="836"/>
      <c r="B411" s="854"/>
      <c r="C411" s="183" t="s">
        <v>1</v>
      </c>
      <c r="D411" s="197">
        <f t="shared" si="176"/>
        <v>630709</v>
      </c>
      <c r="E411" s="193">
        <f t="shared" si="176"/>
        <v>616730</v>
      </c>
      <c r="F411" s="193">
        <f t="shared" si="176"/>
        <v>236000</v>
      </c>
      <c r="G411" s="193">
        <f t="shared" si="176"/>
        <v>3000</v>
      </c>
      <c r="H411" s="193">
        <f t="shared" si="176"/>
        <v>233000</v>
      </c>
      <c r="I411" s="193">
        <f t="shared" si="176"/>
        <v>0</v>
      </c>
      <c r="J411" s="193">
        <f t="shared" si="176"/>
        <v>0</v>
      </c>
      <c r="K411" s="193">
        <f t="shared" si="176"/>
        <v>380730</v>
      </c>
      <c r="L411" s="193">
        <f t="shared" si="176"/>
        <v>0</v>
      </c>
      <c r="M411" s="193">
        <f t="shared" si="176"/>
        <v>13979</v>
      </c>
      <c r="N411" s="193">
        <f t="shared" si="176"/>
        <v>13979</v>
      </c>
      <c r="O411" s="193">
        <f>O414</f>
        <v>0</v>
      </c>
      <c r="P411" s="193">
        <f t="shared" si="176"/>
        <v>0</v>
      </c>
      <c r="Q411" s="194"/>
      <c r="R411" s="194"/>
      <c r="S411" s="194"/>
      <c r="T411" s="194"/>
      <c r="U411" s="194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  <c r="CH411" s="195"/>
      <c r="CI411" s="195"/>
      <c r="CJ411" s="195"/>
      <c r="CK411" s="195"/>
      <c r="CL411" s="195"/>
      <c r="CM411" s="195"/>
      <c r="CN411" s="195"/>
      <c r="CO411" s="195"/>
      <c r="CP411" s="195"/>
      <c r="CQ411" s="195"/>
      <c r="CR411" s="195"/>
      <c r="CS411" s="195"/>
      <c r="CT411" s="195"/>
      <c r="CU411" s="195"/>
      <c r="CV411" s="195"/>
      <c r="CW411" s="195"/>
      <c r="CX411" s="195"/>
      <c r="CY411" s="195"/>
      <c r="CZ411" s="195"/>
      <c r="DA411" s="195"/>
      <c r="DB411" s="195"/>
      <c r="DC411" s="195"/>
      <c r="DD411" s="195"/>
      <c r="DE411" s="195"/>
      <c r="DF411" s="195"/>
      <c r="DG411" s="195"/>
      <c r="DH411" s="195"/>
      <c r="DI411" s="195"/>
      <c r="DJ411" s="195"/>
      <c r="DK411" s="195"/>
      <c r="DL411" s="195"/>
      <c r="DM411" s="195"/>
      <c r="DN411" s="195"/>
      <c r="DO411" s="195"/>
      <c r="DP411" s="195"/>
      <c r="DQ411" s="195"/>
      <c r="DR411" s="195"/>
      <c r="DS411" s="195"/>
      <c r="DT411" s="195"/>
      <c r="DU411" s="195"/>
      <c r="DV411" s="195"/>
      <c r="DW411" s="195"/>
      <c r="DX411" s="195"/>
      <c r="DY411" s="195"/>
      <c r="DZ411" s="195"/>
      <c r="EA411" s="195"/>
      <c r="EB411" s="195"/>
      <c r="EC411" s="195"/>
      <c r="ED411" s="195"/>
      <c r="EE411" s="195"/>
      <c r="EF411" s="195"/>
      <c r="EG411" s="195"/>
      <c r="EH411" s="195"/>
      <c r="EI411" s="195"/>
      <c r="EJ411" s="195"/>
      <c r="EK411" s="195"/>
      <c r="EL411" s="195"/>
      <c r="EM411" s="195"/>
      <c r="EN411" s="195"/>
      <c r="EO411" s="195"/>
      <c r="EP411" s="195"/>
      <c r="EQ411" s="195"/>
      <c r="ER411" s="195"/>
      <c r="ES411" s="195"/>
      <c r="ET411" s="195"/>
      <c r="EU411" s="195"/>
      <c r="EV411" s="195"/>
      <c r="EW411" s="195"/>
      <c r="EX411" s="195"/>
      <c r="EY411" s="195"/>
      <c r="EZ411" s="195"/>
      <c r="FA411" s="195"/>
      <c r="FB411" s="195"/>
      <c r="FC411" s="195"/>
      <c r="FD411" s="195"/>
      <c r="FE411" s="195"/>
      <c r="FF411" s="195"/>
      <c r="FG411" s="195"/>
      <c r="FH411" s="195"/>
      <c r="FI411" s="195"/>
      <c r="FJ411" s="195"/>
      <c r="FK411" s="195"/>
      <c r="FL411" s="195"/>
      <c r="FM411" s="195"/>
      <c r="FN411" s="195"/>
      <c r="FO411" s="195"/>
      <c r="FP411" s="195"/>
      <c r="FQ411" s="195"/>
      <c r="FR411" s="195"/>
      <c r="FS411" s="195"/>
      <c r="FT411" s="195"/>
      <c r="FU411" s="195"/>
      <c r="FV411" s="195"/>
      <c r="FW411" s="195"/>
      <c r="FX411" s="195"/>
      <c r="FY411" s="195"/>
      <c r="FZ411" s="195"/>
      <c r="GA411" s="195"/>
      <c r="GB411" s="195"/>
      <c r="GC411" s="195"/>
      <c r="GD411" s="195"/>
      <c r="GE411" s="195"/>
      <c r="GF411" s="195"/>
      <c r="GG411" s="195"/>
      <c r="GH411" s="195"/>
      <c r="GI411" s="195"/>
      <c r="GJ411" s="195"/>
      <c r="GK411" s="195"/>
      <c r="GL411" s="195"/>
      <c r="GM411" s="195"/>
      <c r="GN411" s="195"/>
      <c r="GO411" s="195"/>
      <c r="GP411" s="195"/>
      <c r="GQ411" s="195"/>
      <c r="GR411" s="195"/>
      <c r="GS411" s="195"/>
      <c r="GT411" s="195"/>
      <c r="GU411" s="195"/>
      <c r="GV411" s="195"/>
      <c r="GW411" s="195"/>
      <c r="GX411" s="195"/>
      <c r="GY411" s="195"/>
      <c r="GZ411" s="195"/>
      <c r="HA411" s="195"/>
      <c r="HB411" s="195"/>
      <c r="HC411" s="195"/>
      <c r="HD411" s="195"/>
      <c r="HE411" s="195"/>
      <c r="HF411" s="195"/>
      <c r="HG411" s="195"/>
      <c r="HH411" s="195"/>
      <c r="HI411" s="195"/>
      <c r="HJ411" s="195"/>
      <c r="HK411" s="195"/>
      <c r="HL411" s="195"/>
      <c r="HM411" s="195"/>
      <c r="HN411" s="195"/>
      <c r="HO411" s="195"/>
      <c r="HP411" s="195"/>
      <c r="HQ411" s="195"/>
      <c r="HR411" s="195"/>
      <c r="HS411" s="195"/>
      <c r="HT411" s="195"/>
      <c r="HU411" s="195"/>
      <c r="HV411" s="195"/>
      <c r="HW411" s="195"/>
      <c r="HX411" s="195"/>
      <c r="HY411" s="195"/>
      <c r="HZ411" s="195"/>
      <c r="IA411" s="195"/>
      <c r="IB411" s="195"/>
      <c r="IC411" s="195"/>
      <c r="ID411" s="195"/>
      <c r="IE411" s="195"/>
      <c r="IF411" s="195"/>
      <c r="IG411" s="195"/>
      <c r="IH411" s="195"/>
      <c r="II411" s="195"/>
      <c r="IJ411" s="195"/>
      <c r="IK411" s="195"/>
      <c r="IL411" s="195"/>
      <c r="IM411" s="195"/>
      <c r="IN411" s="195"/>
      <c r="IO411" s="195"/>
      <c r="IP411" s="195"/>
      <c r="IQ411" s="195"/>
      <c r="IR411" s="195"/>
      <c r="IS411" s="195"/>
      <c r="IT411" s="195"/>
      <c r="IU411" s="195"/>
      <c r="IV411" s="195"/>
    </row>
    <row r="412" spans="1:256" ht="15">
      <c r="A412" s="837"/>
      <c r="B412" s="855"/>
      <c r="C412" s="183" t="s">
        <v>2</v>
      </c>
      <c r="D412" s="197">
        <f>D410+D411</f>
        <v>9373190</v>
      </c>
      <c r="E412" s="193">
        <f t="shared" ref="E412:P412" si="177">E410+E411</f>
        <v>9059689</v>
      </c>
      <c r="F412" s="193">
        <f t="shared" si="177"/>
        <v>8533498</v>
      </c>
      <c r="G412" s="193">
        <f t="shared" si="177"/>
        <v>5870539</v>
      </c>
      <c r="H412" s="193">
        <f t="shared" si="177"/>
        <v>2662959</v>
      </c>
      <c r="I412" s="193">
        <f t="shared" si="177"/>
        <v>0</v>
      </c>
      <c r="J412" s="193">
        <f t="shared" si="177"/>
        <v>145461</v>
      </c>
      <c r="K412" s="193">
        <f t="shared" si="177"/>
        <v>380730</v>
      </c>
      <c r="L412" s="193">
        <f t="shared" si="177"/>
        <v>0</v>
      </c>
      <c r="M412" s="193">
        <f t="shared" si="177"/>
        <v>313501</v>
      </c>
      <c r="N412" s="193">
        <f t="shared" si="177"/>
        <v>313501</v>
      </c>
      <c r="O412" s="193">
        <f t="shared" si="177"/>
        <v>0</v>
      </c>
      <c r="P412" s="193">
        <f t="shared" si="177"/>
        <v>0</v>
      </c>
      <c r="Q412" s="194"/>
      <c r="R412" s="194"/>
      <c r="S412" s="194"/>
      <c r="T412" s="194"/>
      <c r="U412" s="194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  <c r="AW412" s="195"/>
      <c r="AX412" s="195"/>
      <c r="AY412" s="195"/>
      <c r="AZ412" s="195"/>
      <c r="BA412" s="195"/>
      <c r="BB412" s="195"/>
      <c r="BC412" s="195"/>
      <c r="BD412" s="195"/>
      <c r="BE412" s="195"/>
      <c r="BF412" s="195"/>
      <c r="BG412" s="195"/>
      <c r="BH412" s="195"/>
      <c r="BI412" s="195"/>
      <c r="BJ412" s="195"/>
      <c r="BK412" s="195"/>
      <c r="BL412" s="195"/>
      <c r="BM412" s="195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  <c r="CH412" s="195"/>
      <c r="CI412" s="195"/>
      <c r="CJ412" s="195"/>
      <c r="CK412" s="195"/>
      <c r="CL412" s="195"/>
      <c r="CM412" s="195"/>
      <c r="CN412" s="195"/>
      <c r="CO412" s="195"/>
      <c r="CP412" s="195"/>
      <c r="CQ412" s="195"/>
      <c r="CR412" s="195"/>
      <c r="CS412" s="195"/>
      <c r="CT412" s="195"/>
      <c r="CU412" s="195"/>
      <c r="CV412" s="195"/>
      <c r="CW412" s="195"/>
      <c r="CX412" s="195"/>
      <c r="CY412" s="195"/>
      <c r="CZ412" s="195"/>
      <c r="DA412" s="195"/>
      <c r="DB412" s="195"/>
      <c r="DC412" s="195"/>
      <c r="DD412" s="195"/>
      <c r="DE412" s="195"/>
      <c r="DF412" s="195"/>
      <c r="DG412" s="195"/>
      <c r="DH412" s="195"/>
      <c r="DI412" s="195"/>
      <c r="DJ412" s="195"/>
      <c r="DK412" s="195"/>
      <c r="DL412" s="195"/>
      <c r="DM412" s="195"/>
      <c r="DN412" s="195"/>
      <c r="DO412" s="195"/>
      <c r="DP412" s="195"/>
      <c r="DQ412" s="195"/>
      <c r="DR412" s="195"/>
      <c r="DS412" s="195"/>
      <c r="DT412" s="195"/>
      <c r="DU412" s="195"/>
      <c r="DV412" s="195"/>
      <c r="DW412" s="195"/>
      <c r="DX412" s="195"/>
      <c r="DY412" s="195"/>
      <c r="DZ412" s="195"/>
      <c r="EA412" s="195"/>
      <c r="EB412" s="195"/>
      <c r="EC412" s="195"/>
      <c r="ED412" s="195"/>
      <c r="EE412" s="195"/>
      <c r="EF412" s="195"/>
      <c r="EG412" s="195"/>
      <c r="EH412" s="195"/>
      <c r="EI412" s="195"/>
      <c r="EJ412" s="195"/>
      <c r="EK412" s="195"/>
      <c r="EL412" s="195"/>
      <c r="EM412" s="195"/>
      <c r="EN412" s="195"/>
      <c r="EO412" s="195"/>
      <c r="EP412" s="195"/>
      <c r="EQ412" s="195"/>
      <c r="ER412" s="195"/>
      <c r="ES412" s="195"/>
      <c r="ET412" s="195"/>
      <c r="EU412" s="195"/>
      <c r="EV412" s="195"/>
      <c r="EW412" s="195"/>
      <c r="EX412" s="195"/>
      <c r="EY412" s="195"/>
      <c r="EZ412" s="195"/>
      <c r="FA412" s="195"/>
      <c r="FB412" s="195"/>
      <c r="FC412" s="195"/>
      <c r="FD412" s="195"/>
      <c r="FE412" s="195"/>
      <c r="FF412" s="195"/>
      <c r="FG412" s="195"/>
      <c r="FH412" s="195"/>
      <c r="FI412" s="195"/>
      <c r="FJ412" s="195"/>
      <c r="FK412" s="195"/>
      <c r="FL412" s="195"/>
      <c r="FM412" s="195"/>
      <c r="FN412" s="195"/>
      <c r="FO412" s="195"/>
      <c r="FP412" s="195"/>
      <c r="FQ412" s="195"/>
      <c r="FR412" s="195"/>
      <c r="FS412" s="195"/>
      <c r="FT412" s="195"/>
      <c r="FU412" s="195"/>
      <c r="FV412" s="195"/>
      <c r="FW412" s="195"/>
      <c r="FX412" s="195"/>
      <c r="FY412" s="195"/>
      <c r="FZ412" s="195"/>
      <c r="GA412" s="195"/>
      <c r="GB412" s="195"/>
      <c r="GC412" s="195"/>
      <c r="GD412" s="195"/>
      <c r="GE412" s="195"/>
      <c r="GF412" s="195"/>
      <c r="GG412" s="195"/>
      <c r="GH412" s="195"/>
      <c r="GI412" s="195"/>
      <c r="GJ412" s="195"/>
      <c r="GK412" s="195"/>
      <c r="GL412" s="195"/>
      <c r="GM412" s="195"/>
      <c r="GN412" s="195"/>
      <c r="GO412" s="195"/>
      <c r="GP412" s="195"/>
      <c r="GQ412" s="195"/>
      <c r="GR412" s="195"/>
      <c r="GS412" s="195"/>
      <c r="GT412" s="195"/>
      <c r="GU412" s="195"/>
      <c r="GV412" s="195"/>
      <c r="GW412" s="195"/>
      <c r="GX412" s="195"/>
      <c r="GY412" s="195"/>
      <c r="GZ412" s="195"/>
      <c r="HA412" s="195"/>
      <c r="HB412" s="195"/>
      <c r="HC412" s="195"/>
      <c r="HD412" s="195"/>
      <c r="HE412" s="195"/>
      <c r="HF412" s="195"/>
      <c r="HG412" s="195"/>
      <c r="HH412" s="195"/>
      <c r="HI412" s="195"/>
      <c r="HJ412" s="195"/>
      <c r="HK412" s="195"/>
      <c r="HL412" s="195"/>
      <c r="HM412" s="195"/>
      <c r="HN412" s="195"/>
      <c r="HO412" s="195"/>
      <c r="HP412" s="195"/>
      <c r="HQ412" s="195"/>
      <c r="HR412" s="195"/>
      <c r="HS412" s="195"/>
      <c r="HT412" s="195"/>
      <c r="HU412" s="195"/>
      <c r="HV412" s="195"/>
      <c r="HW412" s="195"/>
      <c r="HX412" s="195"/>
      <c r="HY412" s="195"/>
      <c r="HZ412" s="195"/>
      <c r="IA412" s="195"/>
      <c r="IB412" s="195"/>
      <c r="IC412" s="195"/>
      <c r="ID412" s="195"/>
      <c r="IE412" s="195"/>
      <c r="IF412" s="195"/>
      <c r="IG412" s="195"/>
      <c r="IH412" s="195"/>
      <c r="II412" s="195"/>
      <c r="IJ412" s="195"/>
      <c r="IK412" s="195"/>
      <c r="IL412" s="195"/>
      <c r="IM412" s="195"/>
      <c r="IN412" s="195"/>
      <c r="IO412" s="195"/>
      <c r="IP412" s="195"/>
      <c r="IQ412" s="195"/>
      <c r="IR412" s="195"/>
      <c r="IS412" s="195"/>
      <c r="IT412" s="195"/>
      <c r="IU412" s="195"/>
      <c r="IV412" s="195"/>
    </row>
    <row r="413" spans="1:256">
      <c r="A413" s="841">
        <v>92502</v>
      </c>
      <c r="B413" s="844" t="s">
        <v>119</v>
      </c>
      <c r="C413" s="178" t="s">
        <v>0</v>
      </c>
      <c r="D413" s="180">
        <f>E413+M413</f>
        <v>8742481</v>
      </c>
      <c r="E413" s="181">
        <f>F413+I413+J413+K413+L413</f>
        <v>8442959</v>
      </c>
      <c r="F413" s="181">
        <f>G413+H413</f>
        <v>8297498</v>
      </c>
      <c r="G413" s="181">
        <v>5867539</v>
      </c>
      <c r="H413" s="181">
        <v>2429959</v>
      </c>
      <c r="I413" s="181">
        <v>0</v>
      </c>
      <c r="J413" s="181">
        <v>145461</v>
      </c>
      <c r="K413" s="181">
        <v>0</v>
      </c>
      <c r="L413" s="181">
        <v>0</v>
      </c>
      <c r="M413" s="181">
        <f>N413+P413</f>
        <v>299522</v>
      </c>
      <c r="N413" s="181">
        <v>299522</v>
      </c>
      <c r="O413" s="181">
        <v>0</v>
      </c>
      <c r="P413" s="181">
        <v>0</v>
      </c>
      <c r="Q413" s="182"/>
      <c r="R413" s="182"/>
      <c r="S413" s="182"/>
      <c r="T413" s="182"/>
      <c r="U413" s="182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48"/>
      <c r="CC413" s="148"/>
      <c r="CD413" s="148"/>
      <c r="CE413" s="148"/>
      <c r="CF413" s="148"/>
      <c r="CG413" s="148"/>
      <c r="CH413" s="148"/>
      <c r="CI413" s="148"/>
      <c r="CJ413" s="148"/>
      <c r="CK413" s="148"/>
      <c r="CL413" s="148"/>
      <c r="CM413" s="148"/>
      <c r="CN413" s="148"/>
      <c r="CO413" s="148"/>
      <c r="CP413" s="148"/>
      <c r="CQ413" s="148"/>
      <c r="CR413" s="148"/>
      <c r="CS413" s="148"/>
      <c r="CT413" s="148"/>
      <c r="CU413" s="148"/>
      <c r="CV413" s="148"/>
      <c r="CW413" s="148"/>
      <c r="CX413" s="148"/>
      <c r="CY413" s="148"/>
      <c r="CZ413" s="148"/>
      <c r="DA413" s="148"/>
      <c r="DB413" s="148"/>
      <c r="DC413" s="148"/>
      <c r="DD413" s="148"/>
      <c r="DE413" s="148"/>
      <c r="DF413" s="148"/>
      <c r="DG413" s="148"/>
      <c r="DH413" s="148"/>
      <c r="DI413" s="148"/>
      <c r="DJ413" s="148"/>
      <c r="DK413" s="148"/>
      <c r="DL413" s="148"/>
      <c r="DM413" s="148"/>
      <c r="DN413" s="148"/>
      <c r="DO413" s="148"/>
      <c r="DP413" s="148"/>
      <c r="DQ413" s="148"/>
      <c r="DR413" s="148"/>
      <c r="DS413" s="148"/>
      <c r="DT413" s="148"/>
      <c r="DU413" s="148"/>
      <c r="DV413" s="148"/>
      <c r="DW413" s="148"/>
      <c r="DX413" s="148"/>
      <c r="DY413" s="148"/>
      <c r="DZ413" s="148"/>
      <c r="EA413" s="148"/>
      <c r="EB413" s="148"/>
      <c r="EC413" s="148"/>
      <c r="ED413" s="148"/>
      <c r="EE413" s="148"/>
      <c r="EF413" s="148"/>
      <c r="EG413" s="148"/>
      <c r="EH413" s="148"/>
      <c r="EI413" s="148"/>
      <c r="EJ413" s="148"/>
      <c r="EK413" s="148"/>
      <c r="EL413" s="148"/>
      <c r="EM413" s="148"/>
      <c r="EN413" s="148"/>
      <c r="EO413" s="148"/>
      <c r="EP413" s="148"/>
      <c r="EQ413" s="148"/>
      <c r="ER413" s="148"/>
      <c r="ES413" s="148"/>
      <c r="ET413" s="148"/>
      <c r="EU413" s="148"/>
      <c r="EV413" s="148"/>
      <c r="EW413" s="148"/>
      <c r="EX413" s="148"/>
      <c r="EY413" s="148"/>
      <c r="EZ413" s="148"/>
      <c r="FA413" s="148"/>
      <c r="FB413" s="148"/>
      <c r="FC413" s="148"/>
      <c r="FD413" s="148"/>
      <c r="FE413" s="148"/>
      <c r="FF413" s="148"/>
      <c r="FG413" s="148"/>
      <c r="FH413" s="148"/>
      <c r="FI413" s="148"/>
      <c r="FJ413" s="148"/>
      <c r="FK413" s="148"/>
      <c r="FL413" s="148"/>
      <c r="FM413" s="148"/>
      <c r="FN413" s="148"/>
      <c r="FO413" s="148"/>
      <c r="FP413" s="148"/>
      <c r="FQ413" s="148"/>
      <c r="FR413" s="148"/>
      <c r="FS413" s="148"/>
      <c r="FT413" s="148"/>
      <c r="FU413" s="148"/>
      <c r="FV413" s="148"/>
      <c r="FW413" s="148"/>
      <c r="FX413" s="148"/>
      <c r="FY413" s="148"/>
      <c r="FZ413" s="148"/>
      <c r="GA413" s="148"/>
      <c r="GB413" s="148"/>
      <c r="GC413" s="148"/>
      <c r="GD413" s="148"/>
      <c r="GE413" s="148"/>
      <c r="GF413" s="148"/>
      <c r="GG413" s="148"/>
      <c r="GH413" s="148"/>
      <c r="GI413" s="148"/>
      <c r="GJ413" s="148"/>
      <c r="GK413" s="148"/>
      <c r="GL413" s="148"/>
      <c r="GM413" s="148"/>
      <c r="GN413" s="148"/>
      <c r="GO413" s="148"/>
      <c r="GP413" s="148"/>
      <c r="GQ413" s="148"/>
      <c r="GR413" s="148"/>
      <c r="GS413" s="148"/>
      <c r="GT413" s="148"/>
      <c r="GU413" s="148"/>
      <c r="GV413" s="148"/>
      <c r="GW413" s="148"/>
      <c r="GX413" s="148"/>
      <c r="GY413" s="148"/>
      <c r="GZ413" s="148"/>
      <c r="HA413" s="148"/>
      <c r="HB413" s="148"/>
      <c r="HC413" s="148"/>
      <c r="HD413" s="148"/>
      <c r="HE413" s="148"/>
      <c r="HF413" s="148"/>
      <c r="HG413" s="148"/>
      <c r="HH413" s="148"/>
      <c r="HI413" s="148"/>
      <c r="HJ413" s="148"/>
      <c r="HK413" s="148"/>
      <c r="HL413" s="148"/>
      <c r="HM413" s="148"/>
      <c r="HN413" s="148"/>
      <c r="HO413" s="148"/>
      <c r="HP413" s="148"/>
      <c r="HQ413" s="148"/>
      <c r="HR413" s="148"/>
      <c r="HS413" s="148"/>
      <c r="HT413" s="148"/>
      <c r="HU413" s="148"/>
      <c r="HV413" s="148"/>
      <c r="HW413" s="148"/>
      <c r="HX413" s="148"/>
      <c r="HY413" s="148"/>
      <c r="HZ413" s="148"/>
      <c r="IA413" s="148"/>
      <c r="IB413" s="148"/>
      <c r="IC413" s="148"/>
      <c r="ID413" s="148"/>
      <c r="IE413" s="148"/>
      <c r="IF413" s="148"/>
      <c r="IG413" s="148"/>
      <c r="IH413" s="148"/>
      <c r="II413" s="148"/>
      <c r="IJ413" s="148"/>
      <c r="IK413" s="148"/>
      <c r="IL413" s="148"/>
      <c r="IM413" s="148"/>
      <c r="IN413" s="148"/>
      <c r="IO413" s="148"/>
      <c r="IP413" s="148"/>
      <c r="IQ413" s="148"/>
      <c r="IR413" s="148"/>
      <c r="IS413" s="148"/>
      <c r="IT413" s="148"/>
      <c r="IU413" s="148"/>
      <c r="IV413" s="148"/>
    </row>
    <row r="414" spans="1:256">
      <c r="A414" s="842"/>
      <c r="B414" s="845"/>
      <c r="C414" s="178" t="s">
        <v>1</v>
      </c>
      <c r="D414" s="180">
        <f>E414+M414</f>
        <v>630709</v>
      </c>
      <c r="E414" s="181">
        <f>F414+I414+J414+K414+L414</f>
        <v>616730</v>
      </c>
      <c r="F414" s="181">
        <f>G414+H414</f>
        <v>236000</v>
      </c>
      <c r="G414" s="181">
        <v>3000</v>
      </c>
      <c r="H414" s="181">
        <f>107000+3000+123000</f>
        <v>233000</v>
      </c>
      <c r="I414" s="181"/>
      <c r="J414" s="181"/>
      <c r="K414" s="181">
        <f>750+379980</f>
        <v>380730</v>
      </c>
      <c r="L414" s="181"/>
      <c r="M414" s="181">
        <f>N414+P414</f>
        <v>13979</v>
      </c>
      <c r="N414" s="181">
        <v>13979</v>
      </c>
      <c r="O414" s="181"/>
      <c r="P414" s="181"/>
      <c r="Q414" s="182"/>
      <c r="R414" s="182"/>
      <c r="S414" s="182"/>
      <c r="T414" s="182"/>
      <c r="U414" s="182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48"/>
      <c r="CC414" s="148"/>
      <c r="CD414" s="148"/>
      <c r="CE414" s="148"/>
      <c r="CF414" s="148"/>
      <c r="CG414" s="148"/>
      <c r="CH414" s="148"/>
      <c r="CI414" s="148"/>
      <c r="CJ414" s="148"/>
      <c r="CK414" s="148"/>
      <c r="CL414" s="148"/>
      <c r="CM414" s="148"/>
      <c r="CN414" s="148"/>
      <c r="CO414" s="148"/>
      <c r="CP414" s="148"/>
      <c r="CQ414" s="148"/>
      <c r="CR414" s="148"/>
      <c r="CS414" s="148"/>
      <c r="CT414" s="148"/>
      <c r="CU414" s="148"/>
      <c r="CV414" s="148"/>
      <c r="CW414" s="148"/>
      <c r="CX414" s="148"/>
      <c r="CY414" s="148"/>
      <c r="CZ414" s="148"/>
      <c r="DA414" s="148"/>
      <c r="DB414" s="148"/>
      <c r="DC414" s="148"/>
      <c r="DD414" s="148"/>
      <c r="DE414" s="148"/>
      <c r="DF414" s="148"/>
      <c r="DG414" s="148"/>
      <c r="DH414" s="148"/>
      <c r="DI414" s="148"/>
      <c r="DJ414" s="148"/>
      <c r="DK414" s="148"/>
      <c r="DL414" s="148"/>
      <c r="DM414" s="148"/>
      <c r="DN414" s="148"/>
      <c r="DO414" s="148"/>
      <c r="DP414" s="148"/>
      <c r="DQ414" s="148"/>
      <c r="DR414" s="148"/>
      <c r="DS414" s="148"/>
      <c r="DT414" s="148"/>
      <c r="DU414" s="148"/>
      <c r="DV414" s="148"/>
      <c r="DW414" s="148"/>
      <c r="DX414" s="148"/>
      <c r="DY414" s="148"/>
      <c r="DZ414" s="148"/>
      <c r="EA414" s="148"/>
      <c r="EB414" s="148"/>
      <c r="EC414" s="148"/>
      <c r="ED414" s="148"/>
      <c r="EE414" s="148"/>
      <c r="EF414" s="148"/>
      <c r="EG414" s="148"/>
      <c r="EH414" s="148"/>
      <c r="EI414" s="148"/>
      <c r="EJ414" s="148"/>
      <c r="EK414" s="148"/>
      <c r="EL414" s="148"/>
      <c r="EM414" s="148"/>
      <c r="EN414" s="148"/>
      <c r="EO414" s="148"/>
      <c r="EP414" s="148"/>
      <c r="EQ414" s="148"/>
      <c r="ER414" s="148"/>
      <c r="ES414" s="148"/>
      <c r="ET414" s="148"/>
      <c r="EU414" s="148"/>
      <c r="EV414" s="148"/>
      <c r="EW414" s="148"/>
      <c r="EX414" s="148"/>
      <c r="EY414" s="148"/>
      <c r="EZ414" s="148"/>
      <c r="FA414" s="148"/>
      <c r="FB414" s="148"/>
      <c r="FC414" s="148"/>
      <c r="FD414" s="148"/>
      <c r="FE414" s="148"/>
      <c r="FF414" s="148"/>
      <c r="FG414" s="148"/>
      <c r="FH414" s="148"/>
      <c r="FI414" s="148"/>
      <c r="FJ414" s="148"/>
      <c r="FK414" s="148"/>
      <c r="FL414" s="148"/>
      <c r="FM414" s="148"/>
      <c r="FN414" s="148"/>
      <c r="FO414" s="148"/>
      <c r="FP414" s="148"/>
      <c r="FQ414" s="148"/>
      <c r="FR414" s="148"/>
      <c r="FS414" s="148"/>
      <c r="FT414" s="148"/>
      <c r="FU414" s="148"/>
      <c r="FV414" s="148"/>
      <c r="FW414" s="148"/>
      <c r="FX414" s="148"/>
      <c r="FY414" s="148"/>
      <c r="FZ414" s="148"/>
      <c r="GA414" s="148"/>
      <c r="GB414" s="148"/>
      <c r="GC414" s="148"/>
      <c r="GD414" s="148"/>
      <c r="GE414" s="148"/>
      <c r="GF414" s="148"/>
      <c r="GG414" s="148"/>
      <c r="GH414" s="148"/>
      <c r="GI414" s="148"/>
      <c r="GJ414" s="148"/>
      <c r="GK414" s="148"/>
      <c r="GL414" s="148"/>
      <c r="GM414" s="148"/>
      <c r="GN414" s="148"/>
      <c r="GO414" s="148"/>
      <c r="GP414" s="148"/>
      <c r="GQ414" s="148"/>
      <c r="GR414" s="148"/>
      <c r="GS414" s="148"/>
      <c r="GT414" s="148"/>
      <c r="GU414" s="148"/>
      <c r="GV414" s="148"/>
      <c r="GW414" s="148"/>
      <c r="GX414" s="148"/>
      <c r="GY414" s="148"/>
      <c r="GZ414" s="148"/>
      <c r="HA414" s="148"/>
      <c r="HB414" s="148"/>
      <c r="HC414" s="148"/>
      <c r="HD414" s="148"/>
      <c r="HE414" s="148"/>
      <c r="HF414" s="148"/>
      <c r="HG414" s="148"/>
      <c r="HH414" s="148"/>
      <c r="HI414" s="148"/>
      <c r="HJ414" s="148"/>
      <c r="HK414" s="148"/>
      <c r="HL414" s="148"/>
      <c r="HM414" s="148"/>
      <c r="HN414" s="148"/>
      <c r="HO414" s="148"/>
      <c r="HP414" s="148"/>
      <c r="HQ414" s="148"/>
      <c r="HR414" s="148"/>
      <c r="HS414" s="148"/>
      <c r="HT414" s="148"/>
      <c r="HU414" s="148"/>
      <c r="HV414" s="148"/>
      <c r="HW414" s="148"/>
      <c r="HX414" s="148"/>
      <c r="HY414" s="148"/>
      <c r="HZ414" s="148"/>
      <c r="IA414" s="148"/>
      <c r="IB414" s="148"/>
      <c r="IC414" s="148"/>
      <c r="ID414" s="148"/>
      <c r="IE414" s="148"/>
      <c r="IF414" s="148"/>
      <c r="IG414" s="148"/>
      <c r="IH414" s="148"/>
      <c r="II414" s="148"/>
      <c r="IJ414" s="148"/>
      <c r="IK414" s="148"/>
      <c r="IL414" s="148"/>
      <c r="IM414" s="148"/>
      <c r="IN414" s="148"/>
      <c r="IO414" s="148"/>
      <c r="IP414" s="148"/>
      <c r="IQ414" s="148"/>
      <c r="IR414" s="148"/>
      <c r="IS414" s="148"/>
      <c r="IT414" s="148"/>
      <c r="IU414" s="148"/>
      <c r="IV414" s="148"/>
    </row>
    <row r="415" spans="1:256">
      <c r="A415" s="843"/>
      <c r="B415" s="846"/>
      <c r="C415" s="178" t="s">
        <v>2</v>
      </c>
      <c r="D415" s="180">
        <f>D413+D414</f>
        <v>9373190</v>
      </c>
      <c r="E415" s="181">
        <f t="shared" ref="E415:P415" si="178">E413+E414</f>
        <v>9059689</v>
      </c>
      <c r="F415" s="181">
        <f t="shared" si="178"/>
        <v>8533498</v>
      </c>
      <c r="G415" s="181">
        <f t="shared" si="178"/>
        <v>5870539</v>
      </c>
      <c r="H415" s="181">
        <f t="shared" si="178"/>
        <v>2662959</v>
      </c>
      <c r="I415" s="181">
        <f t="shared" si="178"/>
        <v>0</v>
      </c>
      <c r="J415" s="181">
        <f t="shared" si="178"/>
        <v>145461</v>
      </c>
      <c r="K415" s="181">
        <f t="shared" si="178"/>
        <v>380730</v>
      </c>
      <c r="L415" s="181">
        <f t="shared" si="178"/>
        <v>0</v>
      </c>
      <c r="M415" s="181">
        <f t="shared" si="178"/>
        <v>313501</v>
      </c>
      <c r="N415" s="181">
        <f t="shared" si="178"/>
        <v>313501</v>
      </c>
      <c r="O415" s="181">
        <f t="shared" si="178"/>
        <v>0</v>
      </c>
      <c r="P415" s="181">
        <f t="shared" si="178"/>
        <v>0</v>
      </c>
      <c r="Q415" s="182"/>
      <c r="R415" s="182"/>
      <c r="S415" s="182"/>
      <c r="T415" s="182"/>
      <c r="U415" s="182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BZ415" s="148"/>
      <c r="CA415" s="148"/>
      <c r="CB415" s="148"/>
      <c r="CC415" s="148"/>
      <c r="CD415" s="148"/>
      <c r="CE415" s="148"/>
      <c r="CF415" s="148"/>
      <c r="CG415" s="148"/>
      <c r="CH415" s="148"/>
      <c r="CI415" s="148"/>
      <c r="CJ415" s="148"/>
      <c r="CK415" s="148"/>
      <c r="CL415" s="148"/>
      <c r="CM415" s="148"/>
      <c r="CN415" s="148"/>
      <c r="CO415" s="148"/>
      <c r="CP415" s="148"/>
      <c r="CQ415" s="148"/>
      <c r="CR415" s="148"/>
      <c r="CS415" s="148"/>
      <c r="CT415" s="148"/>
      <c r="CU415" s="148"/>
      <c r="CV415" s="148"/>
      <c r="CW415" s="148"/>
      <c r="CX415" s="148"/>
      <c r="CY415" s="148"/>
      <c r="CZ415" s="148"/>
      <c r="DA415" s="148"/>
      <c r="DB415" s="148"/>
      <c r="DC415" s="148"/>
      <c r="DD415" s="148"/>
      <c r="DE415" s="148"/>
      <c r="DF415" s="148"/>
      <c r="DG415" s="148"/>
      <c r="DH415" s="148"/>
      <c r="DI415" s="148"/>
      <c r="DJ415" s="148"/>
      <c r="DK415" s="148"/>
      <c r="DL415" s="148"/>
      <c r="DM415" s="148"/>
      <c r="DN415" s="148"/>
      <c r="DO415" s="148"/>
      <c r="DP415" s="148"/>
      <c r="DQ415" s="148"/>
      <c r="DR415" s="148"/>
      <c r="DS415" s="148"/>
      <c r="DT415" s="148"/>
      <c r="DU415" s="148"/>
      <c r="DV415" s="148"/>
      <c r="DW415" s="148"/>
      <c r="DX415" s="148"/>
      <c r="DY415" s="148"/>
      <c r="DZ415" s="148"/>
      <c r="EA415" s="148"/>
      <c r="EB415" s="148"/>
      <c r="EC415" s="148"/>
      <c r="ED415" s="148"/>
      <c r="EE415" s="148"/>
      <c r="EF415" s="148"/>
      <c r="EG415" s="148"/>
      <c r="EH415" s="148"/>
      <c r="EI415" s="148"/>
      <c r="EJ415" s="148"/>
      <c r="EK415" s="148"/>
      <c r="EL415" s="148"/>
      <c r="EM415" s="148"/>
      <c r="EN415" s="148"/>
      <c r="EO415" s="148"/>
      <c r="EP415" s="148"/>
      <c r="EQ415" s="148"/>
      <c r="ER415" s="148"/>
      <c r="ES415" s="148"/>
      <c r="ET415" s="148"/>
      <c r="EU415" s="148"/>
      <c r="EV415" s="148"/>
      <c r="EW415" s="148"/>
      <c r="EX415" s="148"/>
      <c r="EY415" s="148"/>
      <c r="EZ415" s="148"/>
      <c r="FA415" s="148"/>
      <c r="FB415" s="148"/>
      <c r="FC415" s="148"/>
      <c r="FD415" s="148"/>
      <c r="FE415" s="148"/>
      <c r="FF415" s="148"/>
      <c r="FG415" s="148"/>
      <c r="FH415" s="148"/>
      <c r="FI415" s="148"/>
      <c r="FJ415" s="148"/>
      <c r="FK415" s="148"/>
      <c r="FL415" s="148"/>
      <c r="FM415" s="148"/>
      <c r="FN415" s="148"/>
      <c r="FO415" s="148"/>
      <c r="FP415" s="148"/>
      <c r="FQ415" s="148"/>
      <c r="FR415" s="148"/>
      <c r="FS415" s="148"/>
      <c r="FT415" s="148"/>
      <c r="FU415" s="148"/>
      <c r="FV415" s="148"/>
      <c r="FW415" s="148"/>
      <c r="FX415" s="148"/>
      <c r="FY415" s="148"/>
      <c r="FZ415" s="148"/>
      <c r="GA415" s="148"/>
      <c r="GB415" s="148"/>
      <c r="GC415" s="148"/>
      <c r="GD415" s="148"/>
      <c r="GE415" s="148"/>
      <c r="GF415" s="148"/>
      <c r="GG415" s="148"/>
      <c r="GH415" s="148"/>
      <c r="GI415" s="148"/>
      <c r="GJ415" s="148"/>
      <c r="GK415" s="148"/>
      <c r="GL415" s="148"/>
      <c r="GM415" s="148"/>
      <c r="GN415" s="148"/>
      <c r="GO415" s="148"/>
      <c r="GP415" s="148"/>
      <c r="GQ415" s="148"/>
      <c r="GR415" s="148"/>
      <c r="GS415" s="148"/>
      <c r="GT415" s="148"/>
      <c r="GU415" s="148"/>
      <c r="GV415" s="148"/>
      <c r="GW415" s="148"/>
      <c r="GX415" s="148"/>
      <c r="GY415" s="148"/>
      <c r="GZ415" s="148"/>
      <c r="HA415" s="148"/>
      <c r="HB415" s="148"/>
      <c r="HC415" s="148"/>
      <c r="HD415" s="148"/>
      <c r="HE415" s="148"/>
      <c r="HF415" s="148"/>
      <c r="HG415" s="148"/>
      <c r="HH415" s="148"/>
      <c r="HI415" s="148"/>
      <c r="HJ415" s="148"/>
      <c r="HK415" s="148"/>
      <c r="HL415" s="148"/>
      <c r="HM415" s="148"/>
      <c r="HN415" s="148"/>
      <c r="HO415" s="148"/>
      <c r="HP415" s="148"/>
      <c r="HQ415" s="148"/>
      <c r="HR415" s="148"/>
      <c r="HS415" s="148"/>
      <c r="HT415" s="148"/>
      <c r="HU415" s="148"/>
      <c r="HV415" s="148"/>
      <c r="HW415" s="148"/>
      <c r="HX415" s="148"/>
      <c r="HY415" s="148"/>
      <c r="HZ415" s="148"/>
      <c r="IA415" s="148"/>
      <c r="IB415" s="148"/>
      <c r="IC415" s="148"/>
      <c r="ID415" s="148"/>
      <c r="IE415" s="148"/>
      <c r="IF415" s="148"/>
      <c r="IG415" s="148"/>
      <c r="IH415" s="148"/>
      <c r="II415" s="148"/>
      <c r="IJ415" s="148"/>
      <c r="IK415" s="148"/>
      <c r="IL415" s="148"/>
      <c r="IM415" s="148"/>
      <c r="IN415" s="148"/>
      <c r="IO415" s="148"/>
      <c r="IP415" s="148"/>
      <c r="IQ415" s="148"/>
      <c r="IR415" s="148"/>
      <c r="IS415" s="148"/>
      <c r="IT415" s="148"/>
      <c r="IU415" s="148"/>
      <c r="IV415" s="148"/>
    </row>
    <row r="416" spans="1:256" ht="15">
      <c r="A416" s="835">
        <v>926</v>
      </c>
      <c r="B416" s="838" t="s">
        <v>327</v>
      </c>
      <c r="C416" s="183" t="s">
        <v>0</v>
      </c>
      <c r="D416" s="174">
        <f t="shared" ref="D416:P417" si="179">D419</f>
        <v>24003000</v>
      </c>
      <c r="E416" s="175">
        <f t="shared" si="179"/>
        <v>13503000</v>
      </c>
      <c r="F416" s="175">
        <f t="shared" si="179"/>
        <v>4040000</v>
      </c>
      <c r="G416" s="175">
        <f t="shared" si="179"/>
        <v>5000</v>
      </c>
      <c r="H416" s="175">
        <f t="shared" si="179"/>
        <v>4035000</v>
      </c>
      <c r="I416" s="175">
        <f t="shared" si="179"/>
        <v>8753000</v>
      </c>
      <c r="J416" s="175">
        <f t="shared" si="179"/>
        <v>710000</v>
      </c>
      <c r="K416" s="175">
        <f t="shared" si="179"/>
        <v>0</v>
      </c>
      <c r="L416" s="175">
        <f t="shared" si="179"/>
        <v>0</v>
      </c>
      <c r="M416" s="175">
        <f t="shared" si="179"/>
        <v>10500000</v>
      </c>
      <c r="N416" s="175">
        <f t="shared" si="179"/>
        <v>10500000</v>
      </c>
      <c r="O416" s="175">
        <f>O419</f>
        <v>0</v>
      </c>
      <c r="P416" s="175">
        <f t="shared" si="179"/>
        <v>0</v>
      </c>
      <c r="Q416" s="188"/>
      <c r="R416" s="188"/>
      <c r="S416" s="188"/>
      <c r="T416" s="188"/>
      <c r="U416" s="188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89"/>
      <c r="BZ416" s="189"/>
      <c r="CA416" s="189"/>
      <c r="CB416" s="189"/>
      <c r="CC416" s="189"/>
      <c r="CD416" s="189"/>
      <c r="CE416" s="189"/>
      <c r="CF416" s="189"/>
      <c r="CG416" s="189"/>
      <c r="CH416" s="189"/>
      <c r="CI416" s="189"/>
      <c r="CJ416" s="189"/>
      <c r="CK416" s="189"/>
      <c r="CL416" s="189"/>
      <c r="CM416" s="189"/>
      <c r="CN416" s="189"/>
      <c r="CO416" s="189"/>
      <c r="CP416" s="189"/>
      <c r="CQ416" s="189"/>
      <c r="CR416" s="189"/>
      <c r="CS416" s="189"/>
      <c r="CT416" s="189"/>
      <c r="CU416" s="189"/>
      <c r="CV416" s="189"/>
      <c r="CW416" s="189"/>
      <c r="CX416" s="189"/>
      <c r="CY416" s="189"/>
      <c r="CZ416" s="189"/>
      <c r="DA416" s="189"/>
      <c r="DB416" s="189"/>
      <c r="DC416" s="189"/>
      <c r="DD416" s="189"/>
      <c r="DE416" s="189"/>
      <c r="DF416" s="189"/>
      <c r="DG416" s="189"/>
      <c r="DH416" s="189"/>
      <c r="DI416" s="189"/>
      <c r="DJ416" s="189"/>
      <c r="DK416" s="189"/>
      <c r="DL416" s="189"/>
      <c r="DM416" s="189"/>
      <c r="DN416" s="189"/>
      <c r="DO416" s="189"/>
      <c r="DP416" s="189"/>
      <c r="DQ416" s="189"/>
      <c r="DR416" s="189"/>
      <c r="DS416" s="189"/>
      <c r="DT416" s="189"/>
      <c r="DU416" s="189"/>
      <c r="DV416" s="189"/>
      <c r="DW416" s="189"/>
      <c r="DX416" s="189"/>
      <c r="DY416" s="189"/>
      <c r="DZ416" s="189"/>
      <c r="EA416" s="189"/>
      <c r="EB416" s="189"/>
      <c r="EC416" s="189"/>
      <c r="ED416" s="189"/>
      <c r="EE416" s="189"/>
      <c r="EF416" s="189"/>
      <c r="EG416" s="189"/>
      <c r="EH416" s="189"/>
      <c r="EI416" s="189"/>
      <c r="EJ416" s="189"/>
      <c r="EK416" s="189"/>
      <c r="EL416" s="189"/>
      <c r="EM416" s="189"/>
      <c r="EN416" s="189"/>
      <c r="EO416" s="189"/>
      <c r="EP416" s="189"/>
      <c r="EQ416" s="189"/>
      <c r="ER416" s="189"/>
      <c r="ES416" s="189"/>
      <c r="ET416" s="189"/>
      <c r="EU416" s="189"/>
      <c r="EV416" s="189"/>
      <c r="EW416" s="189"/>
      <c r="EX416" s="189"/>
      <c r="EY416" s="189"/>
      <c r="EZ416" s="189"/>
      <c r="FA416" s="189"/>
      <c r="FB416" s="189"/>
      <c r="FC416" s="189"/>
      <c r="FD416" s="189"/>
      <c r="FE416" s="189"/>
      <c r="FF416" s="189"/>
      <c r="FG416" s="189"/>
      <c r="FH416" s="189"/>
      <c r="FI416" s="189"/>
      <c r="FJ416" s="189"/>
      <c r="FK416" s="189"/>
      <c r="FL416" s="189"/>
      <c r="FM416" s="189"/>
      <c r="FN416" s="189"/>
      <c r="FO416" s="189"/>
      <c r="FP416" s="189"/>
      <c r="FQ416" s="189"/>
      <c r="FR416" s="189"/>
      <c r="FS416" s="189"/>
      <c r="FT416" s="189"/>
      <c r="FU416" s="189"/>
      <c r="FV416" s="189"/>
      <c r="FW416" s="189"/>
      <c r="FX416" s="189"/>
      <c r="FY416" s="189"/>
      <c r="FZ416" s="189"/>
      <c r="GA416" s="189"/>
      <c r="GB416" s="189"/>
      <c r="GC416" s="189"/>
      <c r="GD416" s="189"/>
      <c r="GE416" s="189"/>
      <c r="GF416" s="189"/>
      <c r="GG416" s="189"/>
      <c r="GH416" s="189"/>
      <c r="GI416" s="189"/>
      <c r="GJ416" s="189"/>
      <c r="GK416" s="189"/>
      <c r="GL416" s="189"/>
      <c r="GM416" s="189"/>
      <c r="GN416" s="189"/>
      <c r="GO416" s="189"/>
      <c r="GP416" s="189"/>
      <c r="GQ416" s="189"/>
      <c r="GR416" s="189"/>
      <c r="GS416" s="189"/>
      <c r="GT416" s="189"/>
      <c r="GU416" s="189"/>
      <c r="GV416" s="189"/>
      <c r="GW416" s="189"/>
      <c r="GX416" s="189"/>
      <c r="GY416" s="189"/>
      <c r="GZ416" s="189"/>
      <c r="HA416" s="189"/>
      <c r="HB416" s="189"/>
      <c r="HC416" s="189"/>
      <c r="HD416" s="189"/>
      <c r="HE416" s="189"/>
      <c r="HF416" s="189"/>
      <c r="HG416" s="189"/>
      <c r="HH416" s="189"/>
      <c r="HI416" s="189"/>
      <c r="HJ416" s="189"/>
      <c r="HK416" s="189"/>
      <c r="HL416" s="189"/>
      <c r="HM416" s="189"/>
      <c r="HN416" s="189"/>
      <c r="HO416" s="189"/>
      <c r="HP416" s="189"/>
      <c r="HQ416" s="189"/>
      <c r="HR416" s="189"/>
      <c r="HS416" s="189"/>
      <c r="HT416" s="189"/>
      <c r="HU416" s="189"/>
      <c r="HV416" s="189"/>
      <c r="HW416" s="189"/>
      <c r="HX416" s="189"/>
      <c r="HY416" s="189"/>
      <c r="HZ416" s="189"/>
      <c r="IA416" s="189"/>
      <c r="IB416" s="189"/>
      <c r="IC416" s="189"/>
      <c r="ID416" s="189"/>
      <c r="IE416" s="189"/>
      <c r="IF416" s="189"/>
      <c r="IG416" s="189"/>
      <c r="IH416" s="189"/>
      <c r="II416" s="189"/>
      <c r="IJ416" s="189"/>
      <c r="IK416" s="189"/>
      <c r="IL416" s="189"/>
      <c r="IM416" s="189"/>
      <c r="IN416" s="189"/>
      <c r="IO416" s="189"/>
      <c r="IP416" s="189"/>
      <c r="IQ416" s="189"/>
      <c r="IR416" s="189"/>
      <c r="IS416" s="189"/>
      <c r="IT416" s="189"/>
      <c r="IU416" s="189"/>
      <c r="IV416" s="189"/>
    </row>
    <row r="417" spans="1:256" ht="15">
      <c r="A417" s="836"/>
      <c r="B417" s="839"/>
      <c r="C417" s="183" t="s">
        <v>1</v>
      </c>
      <c r="D417" s="174">
        <f t="shared" si="179"/>
        <v>15470000</v>
      </c>
      <c r="E417" s="175">
        <f t="shared" si="179"/>
        <v>1470000</v>
      </c>
      <c r="F417" s="175">
        <f t="shared" si="179"/>
        <v>700000</v>
      </c>
      <c r="G417" s="175">
        <f t="shared" si="179"/>
        <v>0</v>
      </c>
      <c r="H417" s="175">
        <f t="shared" si="179"/>
        <v>700000</v>
      </c>
      <c r="I417" s="175">
        <f t="shared" si="179"/>
        <v>770000</v>
      </c>
      <c r="J417" s="175">
        <f t="shared" si="179"/>
        <v>0</v>
      </c>
      <c r="K417" s="175">
        <f t="shared" si="179"/>
        <v>0</v>
      </c>
      <c r="L417" s="175">
        <f t="shared" si="179"/>
        <v>0</v>
      </c>
      <c r="M417" s="175">
        <f t="shared" si="179"/>
        <v>14000000</v>
      </c>
      <c r="N417" s="175">
        <f t="shared" si="179"/>
        <v>14000000</v>
      </c>
      <c r="O417" s="175">
        <f>O420</f>
        <v>0</v>
      </c>
      <c r="P417" s="175">
        <f t="shared" si="179"/>
        <v>0</v>
      </c>
      <c r="Q417" s="188"/>
      <c r="R417" s="188"/>
      <c r="S417" s="188"/>
      <c r="T417" s="188"/>
      <c r="U417" s="188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89"/>
      <c r="AT417" s="189"/>
      <c r="AU417" s="189"/>
      <c r="AV417" s="189"/>
      <c r="AW417" s="189"/>
      <c r="AX417" s="189"/>
      <c r="AY417" s="189"/>
      <c r="AZ417" s="189"/>
      <c r="BA417" s="189"/>
      <c r="BB417" s="189"/>
      <c r="BC417" s="189"/>
      <c r="BD417" s="189"/>
      <c r="BE417" s="189"/>
      <c r="BF417" s="189"/>
      <c r="BG417" s="189"/>
      <c r="BH417" s="189"/>
      <c r="BI417" s="189"/>
      <c r="BJ417" s="189"/>
      <c r="BK417" s="189"/>
      <c r="BL417" s="189"/>
      <c r="BM417" s="189"/>
      <c r="BN417" s="189"/>
      <c r="BO417" s="189"/>
      <c r="BP417" s="189"/>
      <c r="BQ417" s="189"/>
      <c r="BR417" s="189"/>
      <c r="BS417" s="189"/>
      <c r="BT417" s="189"/>
      <c r="BU417" s="189"/>
      <c r="BV417" s="189"/>
      <c r="BW417" s="189"/>
      <c r="BX417" s="189"/>
      <c r="BY417" s="189"/>
      <c r="BZ417" s="189"/>
      <c r="CA417" s="189"/>
      <c r="CB417" s="189"/>
      <c r="CC417" s="189"/>
      <c r="CD417" s="189"/>
      <c r="CE417" s="189"/>
      <c r="CF417" s="189"/>
      <c r="CG417" s="189"/>
      <c r="CH417" s="189"/>
      <c r="CI417" s="189"/>
      <c r="CJ417" s="189"/>
      <c r="CK417" s="189"/>
      <c r="CL417" s="189"/>
      <c r="CM417" s="189"/>
      <c r="CN417" s="189"/>
      <c r="CO417" s="189"/>
      <c r="CP417" s="189"/>
      <c r="CQ417" s="189"/>
      <c r="CR417" s="189"/>
      <c r="CS417" s="189"/>
      <c r="CT417" s="189"/>
      <c r="CU417" s="189"/>
      <c r="CV417" s="189"/>
      <c r="CW417" s="189"/>
      <c r="CX417" s="189"/>
      <c r="CY417" s="189"/>
      <c r="CZ417" s="189"/>
      <c r="DA417" s="189"/>
      <c r="DB417" s="189"/>
      <c r="DC417" s="189"/>
      <c r="DD417" s="189"/>
      <c r="DE417" s="189"/>
      <c r="DF417" s="189"/>
      <c r="DG417" s="189"/>
      <c r="DH417" s="189"/>
      <c r="DI417" s="189"/>
      <c r="DJ417" s="189"/>
      <c r="DK417" s="189"/>
      <c r="DL417" s="189"/>
      <c r="DM417" s="189"/>
      <c r="DN417" s="189"/>
      <c r="DO417" s="189"/>
      <c r="DP417" s="189"/>
      <c r="DQ417" s="189"/>
      <c r="DR417" s="189"/>
      <c r="DS417" s="189"/>
      <c r="DT417" s="189"/>
      <c r="DU417" s="189"/>
      <c r="DV417" s="189"/>
      <c r="DW417" s="189"/>
      <c r="DX417" s="189"/>
      <c r="DY417" s="189"/>
      <c r="DZ417" s="189"/>
      <c r="EA417" s="189"/>
      <c r="EB417" s="189"/>
      <c r="EC417" s="189"/>
      <c r="ED417" s="189"/>
      <c r="EE417" s="189"/>
      <c r="EF417" s="189"/>
      <c r="EG417" s="189"/>
      <c r="EH417" s="189"/>
      <c r="EI417" s="189"/>
      <c r="EJ417" s="189"/>
      <c r="EK417" s="189"/>
      <c r="EL417" s="189"/>
      <c r="EM417" s="189"/>
      <c r="EN417" s="189"/>
      <c r="EO417" s="189"/>
      <c r="EP417" s="189"/>
      <c r="EQ417" s="189"/>
      <c r="ER417" s="189"/>
      <c r="ES417" s="189"/>
      <c r="ET417" s="189"/>
      <c r="EU417" s="189"/>
      <c r="EV417" s="189"/>
      <c r="EW417" s="189"/>
      <c r="EX417" s="189"/>
      <c r="EY417" s="189"/>
      <c r="EZ417" s="189"/>
      <c r="FA417" s="189"/>
      <c r="FB417" s="189"/>
      <c r="FC417" s="189"/>
      <c r="FD417" s="189"/>
      <c r="FE417" s="189"/>
      <c r="FF417" s="189"/>
      <c r="FG417" s="189"/>
      <c r="FH417" s="189"/>
      <c r="FI417" s="189"/>
      <c r="FJ417" s="189"/>
      <c r="FK417" s="189"/>
      <c r="FL417" s="189"/>
      <c r="FM417" s="189"/>
      <c r="FN417" s="189"/>
      <c r="FO417" s="189"/>
      <c r="FP417" s="189"/>
      <c r="FQ417" s="189"/>
      <c r="FR417" s="189"/>
      <c r="FS417" s="189"/>
      <c r="FT417" s="189"/>
      <c r="FU417" s="189"/>
      <c r="FV417" s="189"/>
      <c r="FW417" s="189"/>
      <c r="FX417" s="189"/>
      <c r="FY417" s="189"/>
      <c r="FZ417" s="189"/>
      <c r="GA417" s="189"/>
      <c r="GB417" s="189"/>
      <c r="GC417" s="189"/>
      <c r="GD417" s="189"/>
      <c r="GE417" s="189"/>
      <c r="GF417" s="189"/>
      <c r="GG417" s="189"/>
      <c r="GH417" s="189"/>
      <c r="GI417" s="189"/>
      <c r="GJ417" s="189"/>
      <c r="GK417" s="189"/>
      <c r="GL417" s="189"/>
      <c r="GM417" s="189"/>
      <c r="GN417" s="189"/>
      <c r="GO417" s="189"/>
      <c r="GP417" s="189"/>
      <c r="GQ417" s="189"/>
      <c r="GR417" s="189"/>
      <c r="GS417" s="189"/>
      <c r="GT417" s="189"/>
      <c r="GU417" s="189"/>
      <c r="GV417" s="189"/>
      <c r="GW417" s="189"/>
      <c r="GX417" s="189"/>
      <c r="GY417" s="189"/>
      <c r="GZ417" s="189"/>
      <c r="HA417" s="189"/>
      <c r="HB417" s="189"/>
      <c r="HC417" s="189"/>
      <c r="HD417" s="189"/>
      <c r="HE417" s="189"/>
      <c r="HF417" s="189"/>
      <c r="HG417" s="189"/>
      <c r="HH417" s="189"/>
      <c r="HI417" s="189"/>
      <c r="HJ417" s="189"/>
      <c r="HK417" s="189"/>
      <c r="HL417" s="189"/>
      <c r="HM417" s="189"/>
      <c r="HN417" s="189"/>
      <c r="HO417" s="189"/>
      <c r="HP417" s="189"/>
      <c r="HQ417" s="189"/>
      <c r="HR417" s="189"/>
      <c r="HS417" s="189"/>
      <c r="HT417" s="189"/>
      <c r="HU417" s="189"/>
      <c r="HV417" s="189"/>
      <c r="HW417" s="189"/>
      <c r="HX417" s="189"/>
      <c r="HY417" s="189"/>
      <c r="HZ417" s="189"/>
      <c r="IA417" s="189"/>
      <c r="IB417" s="189"/>
      <c r="IC417" s="189"/>
      <c r="ID417" s="189"/>
      <c r="IE417" s="189"/>
      <c r="IF417" s="189"/>
      <c r="IG417" s="189"/>
      <c r="IH417" s="189"/>
      <c r="II417" s="189"/>
      <c r="IJ417" s="189"/>
      <c r="IK417" s="189"/>
      <c r="IL417" s="189"/>
      <c r="IM417" s="189"/>
      <c r="IN417" s="189"/>
      <c r="IO417" s="189"/>
      <c r="IP417" s="189"/>
      <c r="IQ417" s="189"/>
      <c r="IR417" s="189"/>
      <c r="IS417" s="189"/>
      <c r="IT417" s="189"/>
      <c r="IU417" s="189"/>
      <c r="IV417" s="189"/>
    </row>
    <row r="418" spans="1:256" ht="15">
      <c r="A418" s="837"/>
      <c r="B418" s="840"/>
      <c r="C418" s="183" t="s">
        <v>2</v>
      </c>
      <c r="D418" s="174">
        <f>D416+D417</f>
        <v>39473000</v>
      </c>
      <c r="E418" s="175">
        <f t="shared" ref="E418:P418" si="180">E416+E417</f>
        <v>14973000</v>
      </c>
      <c r="F418" s="175">
        <f t="shared" si="180"/>
        <v>4740000</v>
      </c>
      <c r="G418" s="175">
        <f t="shared" si="180"/>
        <v>5000</v>
      </c>
      <c r="H418" s="175">
        <f t="shared" si="180"/>
        <v>4735000</v>
      </c>
      <c r="I418" s="175">
        <f t="shared" si="180"/>
        <v>9523000</v>
      </c>
      <c r="J418" s="175">
        <f t="shared" si="180"/>
        <v>710000</v>
      </c>
      <c r="K418" s="175">
        <f t="shared" si="180"/>
        <v>0</v>
      </c>
      <c r="L418" s="175">
        <f t="shared" si="180"/>
        <v>0</v>
      </c>
      <c r="M418" s="175">
        <f t="shared" si="180"/>
        <v>24500000</v>
      </c>
      <c r="N418" s="175">
        <f t="shared" si="180"/>
        <v>24500000</v>
      </c>
      <c r="O418" s="175">
        <f t="shared" si="180"/>
        <v>0</v>
      </c>
      <c r="P418" s="175">
        <f t="shared" si="180"/>
        <v>0</v>
      </c>
      <c r="Q418" s="188"/>
      <c r="R418" s="188"/>
      <c r="S418" s="188"/>
      <c r="T418" s="188"/>
      <c r="U418" s="188"/>
      <c r="V418" s="189"/>
      <c r="W418" s="189"/>
      <c r="X418" s="189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189"/>
      <c r="AT418" s="189"/>
      <c r="AU418" s="189"/>
      <c r="AV418" s="189"/>
      <c r="AW418" s="189"/>
      <c r="AX418" s="189"/>
      <c r="AY418" s="189"/>
      <c r="AZ418" s="189"/>
      <c r="BA418" s="189"/>
      <c r="BB418" s="189"/>
      <c r="BC418" s="189"/>
      <c r="BD418" s="189"/>
      <c r="BE418" s="189"/>
      <c r="BF418" s="189"/>
      <c r="BG418" s="189"/>
      <c r="BH418" s="189"/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89"/>
      <c r="BW418" s="189"/>
      <c r="BX418" s="189"/>
      <c r="BY418" s="189"/>
      <c r="BZ418" s="189"/>
      <c r="CA418" s="189"/>
      <c r="CB418" s="189"/>
      <c r="CC418" s="189"/>
      <c r="CD418" s="189"/>
      <c r="CE418" s="189"/>
      <c r="CF418" s="189"/>
      <c r="CG418" s="189"/>
      <c r="CH418" s="189"/>
      <c r="CI418" s="189"/>
      <c r="CJ418" s="189"/>
      <c r="CK418" s="189"/>
      <c r="CL418" s="189"/>
      <c r="CM418" s="189"/>
      <c r="CN418" s="189"/>
      <c r="CO418" s="189"/>
      <c r="CP418" s="189"/>
      <c r="CQ418" s="189"/>
      <c r="CR418" s="189"/>
      <c r="CS418" s="189"/>
      <c r="CT418" s="189"/>
      <c r="CU418" s="189"/>
      <c r="CV418" s="189"/>
      <c r="CW418" s="189"/>
      <c r="CX418" s="189"/>
      <c r="CY418" s="189"/>
      <c r="CZ418" s="189"/>
      <c r="DA418" s="189"/>
      <c r="DB418" s="189"/>
      <c r="DC418" s="189"/>
      <c r="DD418" s="189"/>
      <c r="DE418" s="189"/>
      <c r="DF418" s="189"/>
      <c r="DG418" s="189"/>
      <c r="DH418" s="189"/>
      <c r="DI418" s="189"/>
      <c r="DJ418" s="189"/>
      <c r="DK418" s="189"/>
      <c r="DL418" s="189"/>
      <c r="DM418" s="189"/>
      <c r="DN418" s="189"/>
      <c r="DO418" s="189"/>
      <c r="DP418" s="189"/>
      <c r="DQ418" s="189"/>
      <c r="DR418" s="189"/>
      <c r="DS418" s="189"/>
      <c r="DT418" s="189"/>
      <c r="DU418" s="189"/>
      <c r="DV418" s="189"/>
      <c r="DW418" s="189"/>
      <c r="DX418" s="189"/>
      <c r="DY418" s="189"/>
      <c r="DZ418" s="189"/>
      <c r="EA418" s="189"/>
      <c r="EB418" s="189"/>
      <c r="EC418" s="189"/>
      <c r="ED418" s="189"/>
      <c r="EE418" s="189"/>
      <c r="EF418" s="189"/>
      <c r="EG418" s="189"/>
      <c r="EH418" s="189"/>
      <c r="EI418" s="189"/>
      <c r="EJ418" s="189"/>
      <c r="EK418" s="189"/>
      <c r="EL418" s="189"/>
      <c r="EM418" s="189"/>
      <c r="EN418" s="189"/>
      <c r="EO418" s="189"/>
      <c r="EP418" s="189"/>
      <c r="EQ418" s="189"/>
      <c r="ER418" s="189"/>
      <c r="ES418" s="189"/>
      <c r="ET418" s="189"/>
      <c r="EU418" s="189"/>
      <c r="EV418" s="189"/>
      <c r="EW418" s="189"/>
      <c r="EX418" s="189"/>
      <c r="EY418" s="189"/>
      <c r="EZ418" s="189"/>
      <c r="FA418" s="189"/>
      <c r="FB418" s="189"/>
      <c r="FC418" s="189"/>
      <c r="FD418" s="189"/>
      <c r="FE418" s="189"/>
      <c r="FF418" s="189"/>
      <c r="FG418" s="189"/>
      <c r="FH418" s="189"/>
      <c r="FI418" s="189"/>
      <c r="FJ418" s="189"/>
      <c r="FK418" s="189"/>
      <c r="FL418" s="189"/>
      <c r="FM418" s="189"/>
      <c r="FN418" s="189"/>
      <c r="FO418" s="189"/>
      <c r="FP418" s="189"/>
      <c r="FQ418" s="189"/>
      <c r="FR418" s="189"/>
      <c r="FS418" s="189"/>
      <c r="FT418" s="189"/>
      <c r="FU418" s="189"/>
      <c r="FV418" s="189"/>
      <c r="FW418" s="189"/>
      <c r="FX418" s="189"/>
      <c r="FY418" s="189"/>
      <c r="FZ418" s="189"/>
      <c r="GA418" s="189"/>
      <c r="GB418" s="189"/>
      <c r="GC418" s="189"/>
      <c r="GD418" s="189"/>
      <c r="GE418" s="189"/>
      <c r="GF418" s="189"/>
      <c r="GG418" s="189"/>
      <c r="GH418" s="189"/>
      <c r="GI418" s="189"/>
      <c r="GJ418" s="189"/>
      <c r="GK418" s="189"/>
      <c r="GL418" s="189"/>
      <c r="GM418" s="189"/>
      <c r="GN418" s="189"/>
      <c r="GO418" s="189"/>
      <c r="GP418" s="189"/>
      <c r="GQ418" s="189"/>
      <c r="GR418" s="189"/>
      <c r="GS418" s="189"/>
      <c r="GT418" s="189"/>
      <c r="GU418" s="189"/>
      <c r="GV418" s="189"/>
      <c r="GW418" s="189"/>
      <c r="GX418" s="189"/>
      <c r="GY418" s="189"/>
      <c r="GZ418" s="189"/>
      <c r="HA418" s="189"/>
      <c r="HB418" s="189"/>
      <c r="HC418" s="189"/>
      <c r="HD418" s="189"/>
      <c r="HE418" s="189"/>
      <c r="HF418" s="189"/>
      <c r="HG418" s="189"/>
      <c r="HH418" s="189"/>
      <c r="HI418" s="189"/>
      <c r="HJ418" s="189"/>
      <c r="HK418" s="189"/>
      <c r="HL418" s="189"/>
      <c r="HM418" s="189"/>
      <c r="HN418" s="189"/>
      <c r="HO418" s="189"/>
      <c r="HP418" s="189"/>
      <c r="HQ418" s="189"/>
      <c r="HR418" s="189"/>
      <c r="HS418" s="189"/>
      <c r="HT418" s="189"/>
      <c r="HU418" s="189"/>
      <c r="HV418" s="189"/>
      <c r="HW418" s="189"/>
      <c r="HX418" s="189"/>
      <c r="HY418" s="189"/>
      <c r="HZ418" s="189"/>
      <c r="IA418" s="189"/>
      <c r="IB418" s="189"/>
      <c r="IC418" s="189"/>
      <c r="ID418" s="189"/>
      <c r="IE418" s="189"/>
      <c r="IF418" s="189"/>
      <c r="IG418" s="189"/>
      <c r="IH418" s="189"/>
      <c r="II418" s="189"/>
      <c r="IJ418" s="189"/>
      <c r="IK418" s="189"/>
      <c r="IL418" s="189"/>
      <c r="IM418" s="189"/>
      <c r="IN418" s="189"/>
      <c r="IO418" s="189"/>
      <c r="IP418" s="189"/>
      <c r="IQ418" s="189"/>
      <c r="IR418" s="189"/>
      <c r="IS418" s="189"/>
      <c r="IT418" s="189"/>
      <c r="IU418" s="189"/>
      <c r="IV418" s="189"/>
    </row>
    <row r="419" spans="1:256">
      <c r="A419" s="841">
        <v>92605</v>
      </c>
      <c r="B419" s="844" t="s">
        <v>328</v>
      </c>
      <c r="C419" s="178" t="s">
        <v>0</v>
      </c>
      <c r="D419" s="180">
        <f>E419+M419</f>
        <v>24003000</v>
      </c>
      <c r="E419" s="181">
        <f>F419+I419+J419+K419+L419</f>
        <v>13503000</v>
      </c>
      <c r="F419" s="181">
        <f>G419+H419</f>
        <v>4040000</v>
      </c>
      <c r="G419" s="181">
        <v>5000</v>
      </c>
      <c r="H419" s="181">
        <v>4035000</v>
      </c>
      <c r="I419" s="181">
        <v>8753000</v>
      </c>
      <c r="J419" s="181">
        <v>710000</v>
      </c>
      <c r="K419" s="181">
        <v>0</v>
      </c>
      <c r="L419" s="181">
        <v>0</v>
      </c>
      <c r="M419" s="181">
        <f>N419+P419</f>
        <v>10500000</v>
      </c>
      <c r="N419" s="181">
        <v>10500000</v>
      </c>
      <c r="O419" s="181">
        <v>0</v>
      </c>
      <c r="P419" s="181">
        <v>0</v>
      </c>
      <c r="Q419" s="182"/>
      <c r="R419" s="182"/>
      <c r="S419" s="182"/>
      <c r="T419" s="182"/>
      <c r="U419" s="182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48"/>
      <c r="CC419" s="148"/>
      <c r="CD419" s="148"/>
      <c r="CE419" s="148"/>
      <c r="CF419" s="148"/>
      <c r="CG419" s="148"/>
      <c r="CH419" s="148"/>
      <c r="CI419" s="148"/>
      <c r="CJ419" s="148"/>
      <c r="CK419" s="148"/>
      <c r="CL419" s="148"/>
      <c r="CM419" s="148"/>
      <c r="CN419" s="148"/>
      <c r="CO419" s="148"/>
      <c r="CP419" s="148"/>
      <c r="CQ419" s="148"/>
      <c r="CR419" s="148"/>
      <c r="CS419" s="148"/>
      <c r="CT419" s="148"/>
      <c r="CU419" s="148"/>
      <c r="CV419" s="148"/>
      <c r="CW419" s="148"/>
      <c r="CX419" s="148"/>
      <c r="CY419" s="148"/>
      <c r="CZ419" s="148"/>
      <c r="DA419" s="148"/>
      <c r="DB419" s="148"/>
      <c r="DC419" s="148"/>
      <c r="DD419" s="148"/>
      <c r="DE419" s="148"/>
      <c r="DF419" s="148"/>
      <c r="DG419" s="148"/>
      <c r="DH419" s="148"/>
      <c r="DI419" s="148"/>
      <c r="DJ419" s="148"/>
      <c r="DK419" s="148"/>
      <c r="DL419" s="148"/>
      <c r="DM419" s="148"/>
      <c r="DN419" s="148"/>
      <c r="DO419" s="148"/>
      <c r="DP419" s="148"/>
      <c r="DQ419" s="148"/>
      <c r="DR419" s="148"/>
      <c r="DS419" s="148"/>
      <c r="DT419" s="148"/>
      <c r="DU419" s="148"/>
      <c r="DV419" s="148"/>
      <c r="DW419" s="148"/>
      <c r="DX419" s="148"/>
      <c r="DY419" s="148"/>
      <c r="DZ419" s="148"/>
      <c r="EA419" s="148"/>
      <c r="EB419" s="148"/>
      <c r="EC419" s="148"/>
      <c r="ED419" s="148"/>
      <c r="EE419" s="148"/>
      <c r="EF419" s="148"/>
      <c r="EG419" s="148"/>
      <c r="EH419" s="148"/>
      <c r="EI419" s="148"/>
      <c r="EJ419" s="148"/>
      <c r="EK419" s="148"/>
      <c r="EL419" s="148"/>
      <c r="EM419" s="148"/>
      <c r="EN419" s="148"/>
      <c r="EO419" s="148"/>
      <c r="EP419" s="148"/>
      <c r="EQ419" s="148"/>
      <c r="ER419" s="148"/>
      <c r="ES419" s="148"/>
      <c r="ET419" s="148"/>
      <c r="EU419" s="148"/>
      <c r="EV419" s="148"/>
      <c r="EW419" s="148"/>
      <c r="EX419" s="148"/>
      <c r="EY419" s="148"/>
      <c r="EZ419" s="148"/>
      <c r="FA419" s="148"/>
      <c r="FB419" s="148"/>
      <c r="FC419" s="148"/>
      <c r="FD419" s="148"/>
      <c r="FE419" s="148"/>
      <c r="FF419" s="148"/>
      <c r="FG419" s="148"/>
      <c r="FH419" s="148"/>
      <c r="FI419" s="148"/>
      <c r="FJ419" s="148"/>
      <c r="FK419" s="148"/>
      <c r="FL419" s="148"/>
      <c r="FM419" s="148"/>
      <c r="FN419" s="148"/>
      <c r="FO419" s="148"/>
      <c r="FP419" s="148"/>
      <c r="FQ419" s="148"/>
      <c r="FR419" s="148"/>
      <c r="FS419" s="148"/>
      <c r="FT419" s="148"/>
      <c r="FU419" s="148"/>
      <c r="FV419" s="148"/>
      <c r="FW419" s="148"/>
      <c r="FX419" s="148"/>
      <c r="FY419" s="148"/>
      <c r="FZ419" s="148"/>
      <c r="GA419" s="148"/>
      <c r="GB419" s="148"/>
      <c r="GC419" s="148"/>
      <c r="GD419" s="148"/>
      <c r="GE419" s="148"/>
      <c r="GF419" s="148"/>
      <c r="GG419" s="148"/>
      <c r="GH419" s="148"/>
      <c r="GI419" s="148"/>
      <c r="GJ419" s="148"/>
      <c r="GK419" s="148"/>
      <c r="GL419" s="148"/>
      <c r="GM419" s="148"/>
      <c r="GN419" s="148"/>
      <c r="GO419" s="148"/>
      <c r="GP419" s="148"/>
      <c r="GQ419" s="148"/>
      <c r="GR419" s="148"/>
      <c r="GS419" s="148"/>
      <c r="GT419" s="148"/>
      <c r="GU419" s="148"/>
      <c r="GV419" s="148"/>
      <c r="GW419" s="148"/>
      <c r="GX419" s="148"/>
      <c r="GY419" s="148"/>
      <c r="GZ419" s="148"/>
      <c r="HA419" s="148"/>
      <c r="HB419" s="148"/>
      <c r="HC419" s="148"/>
      <c r="HD419" s="148"/>
      <c r="HE419" s="148"/>
      <c r="HF419" s="148"/>
      <c r="HG419" s="148"/>
      <c r="HH419" s="148"/>
      <c r="HI419" s="148"/>
      <c r="HJ419" s="148"/>
      <c r="HK419" s="148"/>
      <c r="HL419" s="148"/>
      <c r="HM419" s="148"/>
      <c r="HN419" s="148"/>
      <c r="HO419" s="148"/>
      <c r="HP419" s="148"/>
      <c r="HQ419" s="148"/>
      <c r="HR419" s="148"/>
      <c r="HS419" s="148"/>
      <c r="HT419" s="148"/>
      <c r="HU419" s="148"/>
      <c r="HV419" s="148"/>
      <c r="HW419" s="148"/>
      <c r="HX419" s="148"/>
      <c r="HY419" s="148"/>
      <c r="HZ419" s="148"/>
      <c r="IA419" s="148"/>
      <c r="IB419" s="148"/>
      <c r="IC419" s="148"/>
      <c r="ID419" s="148"/>
      <c r="IE419" s="148"/>
      <c r="IF419" s="148"/>
      <c r="IG419" s="148"/>
      <c r="IH419" s="148"/>
      <c r="II419" s="148"/>
      <c r="IJ419" s="148"/>
      <c r="IK419" s="148"/>
      <c r="IL419" s="148"/>
      <c r="IM419" s="148"/>
      <c r="IN419" s="148"/>
      <c r="IO419" s="148"/>
      <c r="IP419" s="148"/>
      <c r="IQ419" s="148"/>
      <c r="IR419" s="148"/>
      <c r="IS419" s="148"/>
      <c r="IT419" s="148"/>
      <c r="IU419" s="148"/>
      <c r="IV419" s="148"/>
    </row>
    <row r="420" spans="1:256">
      <c r="A420" s="842"/>
      <c r="B420" s="845"/>
      <c r="C420" s="178" t="s">
        <v>1</v>
      </c>
      <c r="D420" s="180">
        <f>E420+M420</f>
        <v>15470000</v>
      </c>
      <c r="E420" s="181">
        <f>F420+I420+J420+K420+L420</f>
        <v>1470000</v>
      </c>
      <c r="F420" s="181">
        <f>G420+H420</f>
        <v>700000</v>
      </c>
      <c r="G420" s="181"/>
      <c r="H420" s="181">
        <v>700000</v>
      </c>
      <c r="I420" s="181">
        <f>270000+500000</f>
        <v>770000</v>
      </c>
      <c r="J420" s="181"/>
      <c r="K420" s="181"/>
      <c r="L420" s="181"/>
      <c r="M420" s="181">
        <f>N420+P420</f>
        <v>14000000</v>
      </c>
      <c r="N420" s="181">
        <v>14000000</v>
      </c>
      <c r="O420" s="181"/>
      <c r="P420" s="181"/>
      <c r="Q420" s="182"/>
      <c r="R420" s="182"/>
      <c r="S420" s="182"/>
      <c r="T420" s="182"/>
      <c r="U420" s="182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48"/>
      <c r="CC420" s="148"/>
      <c r="CD420" s="148"/>
      <c r="CE420" s="148"/>
      <c r="CF420" s="148"/>
      <c r="CG420" s="148"/>
      <c r="CH420" s="148"/>
      <c r="CI420" s="148"/>
      <c r="CJ420" s="148"/>
      <c r="CK420" s="148"/>
      <c r="CL420" s="148"/>
      <c r="CM420" s="148"/>
      <c r="CN420" s="148"/>
      <c r="CO420" s="148"/>
      <c r="CP420" s="148"/>
      <c r="CQ420" s="148"/>
      <c r="CR420" s="148"/>
      <c r="CS420" s="148"/>
      <c r="CT420" s="148"/>
      <c r="CU420" s="148"/>
      <c r="CV420" s="148"/>
      <c r="CW420" s="148"/>
      <c r="CX420" s="148"/>
      <c r="CY420" s="148"/>
      <c r="CZ420" s="148"/>
      <c r="DA420" s="148"/>
      <c r="DB420" s="148"/>
      <c r="DC420" s="148"/>
      <c r="DD420" s="148"/>
      <c r="DE420" s="148"/>
      <c r="DF420" s="148"/>
      <c r="DG420" s="148"/>
      <c r="DH420" s="148"/>
      <c r="DI420" s="148"/>
      <c r="DJ420" s="148"/>
      <c r="DK420" s="148"/>
      <c r="DL420" s="148"/>
      <c r="DM420" s="148"/>
      <c r="DN420" s="148"/>
      <c r="DO420" s="148"/>
      <c r="DP420" s="148"/>
      <c r="DQ420" s="148"/>
      <c r="DR420" s="148"/>
      <c r="DS420" s="148"/>
      <c r="DT420" s="148"/>
      <c r="DU420" s="148"/>
      <c r="DV420" s="148"/>
      <c r="DW420" s="148"/>
      <c r="DX420" s="148"/>
      <c r="DY420" s="148"/>
      <c r="DZ420" s="148"/>
      <c r="EA420" s="148"/>
      <c r="EB420" s="148"/>
      <c r="EC420" s="148"/>
      <c r="ED420" s="148"/>
      <c r="EE420" s="148"/>
      <c r="EF420" s="148"/>
      <c r="EG420" s="148"/>
      <c r="EH420" s="148"/>
      <c r="EI420" s="148"/>
      <c r="EJ420" s="148"/>
      <c r="EK420" s="148"/>
      <c r="EL420" s="148"/>
      <c r="EM420" s="148"/>
      <c r="EN420" s="148"/>
      <c r="EO420" s="148"/>
      <c r="EP420" s="148"/>
      <c r="EQ420" s="148"/>
      <c r="ER420" s="148"/>
      <c r="ES420" s="148"/>
      <c r="ET420" s="148"/>
      <c r="EU420" s="148"/>
      <c r="EV420" s="148"/>
      <c r="EW420" s="148"/>
      <c r="EX420" s="148"/>
      <c r="EY420" s="148"/>
      <c r="EZ420" s="148"/>
      <c r="FA420" s="148"/>
      <c r="FB420" s="148"/>
      <c r="FC420" s="148"/>
      <c r="FD420" s="148"/>
      <c r="FE420" s="148"/>
      <c r="FF420" s="148"/>
      <c r="FG420" s="148"/>
      <c r="FH420" s="148"/>
      <c r="FI420" s="148"/>
      <c r="FJ420" s="148"/>
      <c r="FK420" s="148"/>
      <c r="FL420" s="148"/>
      <c r="FM420" s="148"/>
      <c r="FN420" s="148"/>
      <c r="FO420" s="148"/>
      <c r="FP420" s="148"/>
      <c r="FQ420" s="148"/>
      <c r="FR420" s="148"/>
      <c r="FS420" s="148"/>
      <c r="FT420" s="148"/>
      <c r="FU420" s="148"/>
      <c r="FV420" s="148"/>
      <c r="FW420" s="148"/>
      <c r="FX420" s="148"/>
      <c r="FY420" s="148"/>
      <c r="FZ420" s="148"/>
      <c r="GA420" s="148"/>
      <c r="GB420" s="148"/>
      <c r="GC420" s="148"/>
      <c r="GD420" s="148"/>
      <c r="GE420" s="148"/>
      <c r="GF420" s="148"/>
      <c r="GG420" s="148"/>
      <c r="GH420" s="148"/>
      <c r="GI420" s="148"/>
      <c r="GJ420" s="148"/>
      <c r="GK420" s="148"/>
      <c r="GL420" s="148"/>
      <c r="GM420" s="148"/>
      <c r="GN420" s="148"/>
      <c r="GO420" s="148"/>
      <c r="GP420" s="148"/>
      <c r="GQ420" s="148"/>
      <c r="GR420" s="148"/>
      <c r="GS420" s="148"/>
      <c r="GT420" s="148"/>
      <c r="GU420" s="148"/>
      <c r="GV420" s="148"/>
      <c r="GW420" s="148"/>
      <c r="GX420" s="148"/>
      <c r="GY420" s="148"/>
      <c r="GZ420" s="148"/>
      <c r="HA420" s="148"/>
      <c r="HB420" s="148"/>
      <c r="HC420" s="148"/>
      <c r="HD420" s="148"/>
      <c r="HE420" s="148"/>
      <c r="HF420" s="148"/>
      <c r="HG420" s="148"/>
      <c r="HH420" s="148"/>
      <c r="HI420" s="148"/>
      <c r="HJ420" s="148"/>
      <c r="HK420" s="148"/>
      <c r="HL420" s="148"/>
      <c r="HM420" s="148"/>
      <c r="HN420" s="148"/>
      <c r="HO420" s="148"/>
      <c r="HP420" s="148"/>
      <c r="HQ420" s="148"/>
      <c r="HR420" s="148"/>
      <c r="HS420" s="148"/>
      <c r="HT420" s="148"/>
      <c r="HU420" s="148"/>
      <c r="HV420" s="148"/>
      <c r="HW420" s="148"/>
      <c r="HX420" s="148"/>
      <c r="HY420" s="148"/>
      <c r="HZ420" s="148"/>
      <c r="IA420" s="148"/>
      <c r="IB420" s="148"/>
      <c r="IC420" s="148"/>
      <c r="ID420" s="148"/>
      <c r="IE420" s="148"/>
      <c r="IF420" s="148"/>
      <c r="IG420" s="148"/>
      <c r="IH420" s="148"/>
      <c r="II420" s="148"/>
      <c r="IJ420" s="148"/>
      <c r="IK420" s="148"/>
      <c r="IL420" s="148"/>
      <c r="IM420" s="148"/>
      <c r="IN420" s="148"/>
      <c r="IO420" s="148"/>
      <c r="IP420" s="148"/>
      <c r="IQ420" s="148"/>
      <c r="IR420" s="148"/>
      <c r="IS420" s="148"/>
      <c r="IT420" s="148"/>
      <c r="IU420" s="148"/>
      <c r="IV420" s="148"/>
    </row>
    <row r="421" spans="1:256">
      <c r="A421" s="843"/>
      <c r="B421" s="846"/>
      <c r="C421" s="178" t="s">
        <v>2</v>
      </c>
      <c r="D421" s="180">
        <f>D419+D420</f>
        <v>39473000</v>
      </c>
      <c r="E421" s="181">
        <f t="shared" ref="E421:P421" si="181">E419+E420</f>
        <v>14973000</v>
      </c>
      <c r="F421" s="181">
        <f t="shared" si="181"/>
        <v>4740000</v>
      </c>
      <c r="G421" s="181">
        <f t="shared" si="181"/>
        <v>5000</v>
      </c>
      <c r="H421" s="181">
        <f t="shared" si="181"/>
        <v>4735000</v>
      </c>
      <c r="I421" s="181">
        <f t="shared" si="181"/>
        <v>9523000</v>
      </c>
      <c r="J421" s="181">
        <f t="shared" si="181"/>
        <v>710000</v>
      </c>
      <c r="K421" s="181">
        <f t="shared" si="181"/>
        <v>0</v>
      </c>
      <c r="L421" s="181">
        <f t="shared" si="181"/>
        <v>0</v>
      </c>
      <c r="M421" s="181">
        <f t="shared" si="181"/>
        <v>24500000</v>
      </c>
      <c r="N421" s="181">
        <f t="shared" si="181"/>
        <v>24500000</v>
      </c>
      <c r="O421" s="181">
        <f t="shared" si="181"/>
        <v>0</v>
      </c>
      <c r="P421" s="181">
        <f t="shared" si="181"/>
        <v>0</v>
      </c>
      <c r="Q421" s="182"/>
      <c r="R421" s="182"/>
      <c r="S421" s="182"/>
      <c r="T421" s="182"/>
      <c r="U421" s="182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  <c r="FR421" s="148"/>
      <c r="FS421" s="148"/>
      <c r="FT421" s="148"/>
      <c r="FU421" s="148"/>
      <c r="FV421" s="148"/>
      <c r="FW421" s="148"/>
      <c r="FX421" s="148"/>
      <c r="FY421" s="148"/>
      <c r="FZ421" s="148"/>
      <c r="GA421" s="148"/>
      <c r="GB421" s="148"/>
      <c r="GC421" s="148"/>
      <c r="GD421" s="148"/>
      <c r="GE421" s="148"/>
      <c r="GF421" s="148"/>
      <c r="GG421" s="148"/>
      <c r="GH421" s="148"/>
      <c r="GI421" s="148"/>
      <c r="GJ421" s="148"/>
      <c r="GK421" s="148"/>
      <c r="GL421" s="148"/>
      <c r="GM421" s="148"/>
      <c r="GN421" s="148"/>
      <c r="GO421" s="148"/>
      <c r="GP421" s="148"/>
      <c r="GQ421" s="148"/>
      <c r="GR421" s="148"/>
      <c r="GS421" s="148"/>
      <c r="GT421" s="148"/>
      <c r="GU421" s="148"/>
      <c r="GV421" s="148"/>
      <c r="GW421" s="148"/>
      <c r="GX421" s="148"/>
      <c r="GY421" s="148"/>
      <c r="GZ421" s="148"/>
      <c r="HA421" s="148"/>
      <c r="HB421" s="148"/>
      <c r="HC421" s="148"/>
      <c r="HD421" s="148"/>
      <c r="HE421" s="148"/>
      <c r="HF421" s="148"/>
      <c r="HG421" s="148"/>
      <c r="HH421" s="148"/>
      <c r="HI421" s="148"/>
      <c r="HJ421" s="148"/>
      <c r="HK421" s="148"/>
      <c r="HL421" s="148"/>
      <c r="HM421" s="148"/>
      <c r="HN421" s="148"/>
      <c r="HO421" s="148"/>
      <c r="HP421" s="148"/>
      <c r="HQ421" s="148"/>
      <c r="HR421" s="148"/>
      <c r="HS421" s="148"/>
      <c r="HT421" s="148"/>
      <c r="HU421" s="148"/>
      <c r="HV421" s="148"/>
      <c r="HW421" s="148"/>
      <c r="HX421" s="148"/>
      <c r="HY421" s="148"/>
      <c r="HZ421" s="148"/>
      <c r="IA421" s="148"/>
      <c r="IB421" s="148"/>
      <c r="IC421" s="148"/>
      <c r="ID421" s="148"/>
      <c r="IE421" s="148"/>
      <c r="IF421" s="148"/>
      <c r="IG421" s="148"/>
      <c r="IH421" s="148"/>
      <c r="II421" s="148"/>
      <c r="IJ421" s="148"/>
      <c r="IK421" s="148"/>
      <c r="IL421" s="148"/>
      <c r="IM421" s="148"/>
      <c r="IN421" s="148"/>
      <c r="IO421" s="148"/>
      <c r="IP421" s="148"/>
      <c r="IQ421" s="148"/>
      <c r="IR421" s="148"/>
      <c r="IS421" s="148"/>
      <c r="IT421" s="148"/>
      <c r="IU421" s="148"/>
      <c r="IV421" s="148"/>
    </row>
    <row r="422" spans="1:256" ht="5.0999999999999996" customHeight="1">
      <c r="A422" s="158"/>
      <c r="B422" s="168"/>
      <c r="C422" s="169"/>
      <c r="D422" s="170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2"/>
      <c r="R422" s="172"/>
      <c r="S422" s="172"/>
      <c r="T422" s="172"/>
      <c r="U422" s="172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3"/>
      <c r="BL422" s="163"/>
      <c r="BM422" s="163"/>
      <c r="BN422" s="163"/>
      <c r="BO422" s="163"/>
      <c r="BP422" s="163"/>
      <c r="BQ422" s="163"/>
      <c r="BR422" s="163"/>
      <c r="BS422" s="163"/>
      <c r="BT422" s="163"/>
      <c r="BU422" s="163"/>
      <c r="BV422" s="163"/>
      <c r="BW422" s="163"/>
      <c r="BX422" s="163"/>
      <c r="BY422" s="163"/>
      <c r="BZ422" s="163"/>
      <c r="CA422" s="163"/>
      <c r="CB422" s="163"/>
      <c r="CC422" s="163"/>
      <c r="CD422" s="163"/>
      <c r="CE422" s="163"/>
      <c r="CF422" s="163"/>
      <c r="CG422" s="163"/>
      <c r="CH422" s="163"/>
      <c r="CI422" s="163"/>
      <c r="CJ422" s="163"/>
      <c r="CK422" s="163"/>
      <c r="CL422" s="163"/>
      <c r="CM422" s="163"/>
      <c r="CN422" s="163"/>
      <c r="CO422" s="163"/>
      <c r="CP422" s="163"/>
      <c r="CQ422" s="163"/>
      <c r="CR422" s="163"/>
      <c r="CS422" s="163"/>
      <c r="CT422" s="163"/>
      <c r="CU422" s="163"/>
      <c r="CV422" s="163"/>
      <c r="CW422" s="163"/>
      <c r="CX422" s="163"/>
      <c r="CY422" s="163"/>
      <c r="CZ422" s="163"/>
      <c r="DA422" s="163"/>
      <c r="DB422" s="163"/>
      <c r="DC422" s="163"/>
      <c r="DD422" s="163"/>
      <c r="DE422" s="163"/>
      <c r="DF422" s="163"/>
      <c r="DG422" s="163"/>
      <c r="DH422" s="163"/>
      <c r="DI422" s="163"/>
      <c r="DJ422" s="163"/>
      <c r="DK422" s="163"/>
      <c r="DL422" s="163"/>
      <c r="DM422" s="163"/>
      <c r="DN422" s="163"/>
      <c r="DO422" s="163"/>
      <c r="DP422" s="163"/>
      <c r="DQ422" s="163"/>
      <c r="DR422" s="163"/>
      <c r="DS422" s="163"/>
      <c r="DT422" s="163"/>
      <c r="DU422" s="163"/>
      <c r="DV422" s="163"/>
      <c r="DW422" s="163"/>
      <c r="DX422" s="163"/>
      <c r="DY422" s="163"/>
      <c r="DZ422" s="163"/>
      <c r="EA422" s="163"/>
      <c r="EB422" s="163"/>
      <c r="EC422" s="163"/>
      <c r="ED422" s="163"/>
      <c r="EE422" s="163"/>
      <c r="EF422" s="163"/>
      <c r="EG422" s="163"/>
      <c r="EH422" s="163"/>
      <c r="EI422" s="163"/>
      <c r="EJ422" s="163"/>
      <c r="EK422" s="163"/>
      <c r="EL422" s="163"/>
      <c r="EM422" s="163"/>
      <c r="EN422" s="163"/>
      <c r="EO422" s="163"/>
      <c r="EP422" s="163"/>
      <c r="EQ422" s="163"/>
      <c r="ER422" s="163"/>
      <c r="ES422" s="163"/>
      <c r="ET422" s="163"/>
      <c r="EU422" s="163"/>
      <c r="EV422" s="163"/>
      <c r="EW422" s="163"/>
      <c r="EX422" s="163"/>
      <c r="EY422" s="163"/>
      <c r="EZ422" s="163"/>
      <c r="FA422" s="163"/>
      <c r="FB422" s="163"/>
      <c r="FC422" s="163"/>
      <c r="FD422" s="163"/>
      <c r="FE422" s="163"/>
      <c r="FF422" s="163"/>
      <c r="FG422" s="163"/>
      <c r="FH422" s="163"/>
      <c r="FI422" s="163"/>
      <c r="FJ422" s="163"/>
      <c r="FK422" s="163"/>
      <c r="FL422" s="163"/>
      <c r="FM422" s="163"/>
      <c r="FN422" s="163"/>
      <c r="FO422" s="163"/>
      <c r="FP422" s="163"/>
      <c r="FQ422" s="163"/>
      <c r="FR422" s="163"/>
      <c r="FS422" s="163"/>
      <c r="FT422" s="163"/>
      <c r="FU422" s="163"/>
      <c r="FV422" s="163"/>
      <c r="FW422" s="163"/>
      <c r="FX422" s="163"/>
      <c r="FY422" s="163"/>
      <c r="FZ422" s="163"/>
      <c r="GA422" s="163"/>
      <c r="GB422" s="163"/>
      <c r="GC422" s="163"/>
      <c r="GD422" s="163"/>
      <c r="GE422" s="163"/>
      <c r="GF422" s="163"/>
      <c r="GG422" s="163"/>
      <c r="GH422" s="163"/>
      <c r="GI422" s="163"/>
      <c r="GJ422" s="163"/>
      <c r="GK422" s="163"/>
      <c r="GL422" s="163"/>
      <c r="GM422" s="163"/>
      <c r="GN422" s="163"/>
      <c r="GO422" s="163"/>
      <c r="GP422" s="163"/>
      <c r="GQ422" s="163"/>
      <c r="GR422" s="163"/>
      <c r="GS422" s="163"/>
      <c r="GT422" s="163"/>
      <c r="GU422" s="163"/>
      <c r="GV422" s="163"/>
      <c r="GW422" s="163"/>
      <c r="GX422" s="163"/>
      <c r="GY422" s="163"/>
      <c r="GZ422" s="163"/>
      <c r="HA422" s="163"/>
      <c r="HB422" s="163"/>
      <c r="HC422" s="163"/>
      <c r="HD422" s="163"/>
      <c r="HE422" s="163"/>
      <c r="HF422" s="163"/>
      <c r="HG422" s="163"/>
      <c r="HH422" s="163"/>
      <c r="HI422" s="163"/>
      <c r="HJ422" s="163"/>
      <c r="HK422" s="163"/>
      <c r="HL422" s="163"/>
      <c r="HM422" s="163"/>
      <c r="HN422" s="163"/>
      <c r="HO422" s="163"/>
      <c r="HP422" s="163"/>
      <c r="HQ422" s="163"/>
      <c r="HR422" s="163"/>
      <c r="HS422" s="163"/>
      <c r="HT422" s="163"/>
      <c r="HU422" s="163"/>
      <c r="HV422" s="163"/>
      <c r="HW422" s="163"/>
      <c r="HX422" s="163"/>
      <c r="HY422" s="163"/>
      <c r="HZ422" s="163"/>
      <c r="IA422" s="163"/>
      <c r="IB422" s="163"/>
      <c r="IC422" s="163"/>
      <c r="ID422" s="163"/>
      <c r="IE422" s="163"/>
      <c r="IF422" s="163"/>
      <c r="IG422" s="163"/>
      <c r="IH422" s="163"/>
      <c r="II422" s="163"/>
      <c r="IJ422" s="163"/>
      <c r="IK422" s="163"/>
      <c r="IL422" s="163"/>
      <c r="IM422" s="163"/>
      <c r="IN422" s="163"/>
      <c r="IO422" s="163"/>
      <c r="IP422" s="163"/>
      <c r="IQ422" s="163"/>
      <c r="IR422" s="163"/>
      <c r="IS422" s="163"/>
      <c r="IT422" s="163"/>
      <c r="IU422" s="163"/>
      <c r="IV422" s="163"/>
    </row>
    <row r="423" spans="1:256" ht="15.75">
      <c r="A423" s="847"/>
      <c r="B423" s="850" t="s">
        <v>176</v>
      </c>
      <c r="C423" s="198" t="s">
        <v>0</v>
      </c>
      <c r="D423" s="199">
        <f t="shared" ref="D423:P424" si="182">D13</f>
        <v>2031778458.1100001</v>
      </c>
      <c r="E423" s="199">
        <f t="shared" si="182"/>
        <v>1265307116.1100001</v>
      </c>
      <c r="F423" s="199">
        <f t="shared" si="182"/>
        <v>543479760.11000001</v>
      </c>
      <c r="G423" s="199">
        <f t="shared" si="182"/>
        <v>257074630</v>
      </c>
      <c r="H423" s="199">
        <f t="shared" si="182"/>
        <v>286405130.11000001</v>
      </c>
      <c r="I423" s="199">
        <f t="shared" si="182"/>
        <v>464692705</v>
      </c>
      <c r="J423" s="199">
        <f t="shared" si="182"/>
        <v>4456434</v>
      </c>
      <c r="K423" s="199">
        <f t="shared" si="182"/>
        <v>181045059</v>
      </c>
      <c r="L423" s="199">
        <f t="shared" si="182"/>
        <v>71633158</v>
      </c>
      <c r="M423" s="199">
        <f t="shared" si="182"/>
        <v>766471342</v>
      </c>
      <c r="N423" s="199">
        <f t="shared" si="182"/>
        <v>700523364</v>
      </c>
      <c r="O423" s="199">
        <f t="shared" si="182"/>
        <v>141597345</v>
      </c>
      <c r="P423" s="199">
        <f t="shared" si="182"/>
        <v>65947978</v>
      </c>
      <c r="Q423" s="166"/>
      <c r="R423" s="166"/>
      <c r="S423" s="166"/>
      <c r="T423" s="166"/>
      <c r="U423" s="166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7"/>
      <c r="BN423" s="167"/>
      <c r="BO423" s="167"/>
      <c r="BP423" s="167"/>
      <c r="BQ423" s="167"/>
      <c r="BR423" s="167"/>
      <c r="BS423" s="167"/>
      <c r="BT423" s="167"/>
      <c r="BU423" s="167"/>
      <c r="BV423" s="167"/>
      <c r="BW423" s="167"/>
      <c r="BX423" s="167"/>
      <c r="BY423" s="167"/>
      <c r="BZ423" s="167"/>
      <c r="CA423" s="167"/>
      <c r="CB423" s="167"/>
      <c r="CC423" s="167"/>
      <c r="CD423" s="167"/>
      <c r="CE423" s="167"/>
      <c r="CF423" s="167"/>
      <c r="CG423" s="167"/>
      <c r="CH423" s="167"/>
      <c r="CI423" s="167"/>
      <c r="CJ423" s="167"/>
      <c r="CK423" s="167"/>
      <c r="CL423" s="167"/>
      <c r="CM423" s="167"/>
      <c r="CN423" s="167"/>
      <c r="CO423" s="167"/>
      <c r="CP423" s="167"/>
      <c r="CQ423" s="167"/>
      <c r="CR423" s="167"/>
      <c r="CS423" s="167"/>
      <c r="CT423" s="167"/>
      <c r="CU423" s="167"/>
      <c r="CV423" s="167"/>
      <c r="CW423" s="167"/>
      <c r="CX423" s="167"/>
      <c r="CY423" s="167"/>
      <c r="CZ423" s="167"/>
      <c r="DA423" s="167"/>
      <c r="DB423" s="167"/>
      <c r="DC423" s="167"/>
      <c r="DD423" s="167"/>
      <c r="DE423" s="167"/>
      <c r="DF423" s="167"/>
      <c r="DG423" s="167"/>
      <c r="DH423" s="167"/>
      <c r="DI423" s="167"/>
      <c r="DJ423" s="167"/>
      <c r="DK423" s="167"/>
      <c r="DL423" s="167"/>
      <c r="DM423" s="167"/>
      <c r="DN423" s="167"/>
      <c r="DO423" s="167"/>
      <c r="DP423" s="167"/>
      <c r="DQ423" s="167"/>
      <c r="DR423" s="167"/>
      <c r="DS423" s="167"/>
      <c r="DT423" s="167"/>
      <c r="DU423" s="167"/>
      <c r="DV423" s="167"/>
      <c r="DW423" s="167"/>
      <c r="DX423" s="167"/>
      <c r="DY423" s="167"/>
      <c r="DZ423" s="167"/>
      <c r="EA423" s="167"/>
      <c r="EB423" s="167"/>
      <c r="EC423" s="167"/>
      <c r="ED423" s="167"/>
      <c r="EE423" s="167"/>
      <c r="EF423" s="167"/>
      <c r="EG423" s="167"/>
      <c r="EH423" s="167"/>
      <c r="EI423" s="167"/>
      <c r="EJ423" s="167"/>
      <c r="EK423" s="167"/>
      <c r="EL423" s="167"/>
      <c r="EM423" s="167"/>
      <c r="EN423" s="167"/>
      <c r="EO423" s="167"/>
      <c r="EP423" s="167"/>
      <c r="EQ423" s="167"/>
      <c r="ER423" s="167"/>
      <c r="ES423" s="167"/>
      <c r="ET423" s="167"/>
      <c r="EU423" s="167"/>
      <c r="EV423" s="167"/>
      <c r="EW423" s="167"/>
      <c r="EX423" s="167"/>
      <c r="EY423" s="167"/>
      <c r="EZ423" s="167"/>
      <c r="FA423" s="167"/>
      <c r="FB423" s="167"/>
      <c r="FC423" s="167"/>
      <c r="FD423" s="167"/>
      <c r="FE423" s="167"/>
      <c r="FF423" s="167"/>
      <c r="FG423" s="167"/>
      <c r="FH423" s="167"/>
      <c r="FI423" s="167"/>
      <c r="FJ423" s="167"/>
      <c r="FK423" s="167"/>
      <c r="FL423" s="167"/>
      <c r="FM423" s="167"/>
      <c r="FN423" s="167"/>
      <c r="FO423" s="167"/>
      <c r="FP423" s="167"/>
      <c r="FQ423" s="167"/>
      <c r="FR423" s="167"/>
      <c r="FS423" s="167"/>
      <c r="FT423" s="167"/>
      <c r="FU423" s="167"/>
      <c r="FV423" s="167"/>
      <c r="FW423" s="167"/>
      <c r="FX423" s="167"/>
      <c r="FY423" s="167"/>
      <c r="FZ423" s="167"/>
      <c r="GA423" s="167"/>
      <c r="GB423" s="167"/>
      <c r="GC423" s="167"/>
      <c r="GD423" s="167"/>
      <c r="GE423" s="167"/>
      <c r="GF423" s="167"/>
      <c r="GG423" s="167"/>
      <c r="GH423" s="167"/>
      <c r="GI423" s="167"/>
      <c r="GJ423" s="167"/>
      <c r="GK423" s="167"/>
      <c r="GL423" s="167"/>
      <c r="GM423" s="167"/>
      <c r="GN423" s="167"/>
      <c r="GO423" s="167"/>
      <c r="GP423" s="167"/>
      <c r="GQ423" s="167"/>
      <c r="GR423" s="167"/>
      <c r="GS423" s="167"/>
      <c r="GT423" s="167"/>
      <c r="GU423" s="167"/>
      <c r="GV423" s="167"/>
      <c r="GW423" s="167"/>
      <c r="GX423" s="167"/>
      <c r="GY423" s="167"/>
      <c r="GZ423" s="167"/>
      <c r="HA423" s="167"/>
      <c r="HB423" s="167"/>
      <c r="HC423" s="167"/>
      <c r="HD423" s="167"/>
      <c r="HE423" s="167"/>
      <c r="HF423" s="167"/>
      <c r="HG423" s="167"/>
      <c r="HH423" s="167"/>
      <c r="HI423" s="167"/>
      <c r="HJ423" s="167"/>
      <c r="HK423" s="167"/>
      <c r="HL423" s="167"/>
      <c r="HM423" s="167"/>
      <c r="HN423" s="167"/>
      <c r="HO423" s="167"/>
      <c r="HP423" s="167"/>
      <c r="HQ423" s="167"/>
      <c r="HR423" s="167"/>
      <c r="HS423" s="167"/>
      <c r="HT423" s="167"/>
      <c r="HU423" s="167"/>
      <c r="HV423" s="167"/>
      <c r="HW423" s="167"/>
      <c r="HX423" s="167"/>
      <c r="HY423" s="167"/>
      <c r="HZ423" s="167"/>
      <c r="IA423" s="167"/>
      <c r="IB423" s="167"/>
      <c r="IC423" s="167"/>
      <c r="ID423" s="167"/>
      <c r="IE423" s="167"/>
      <c r="IF423" s="167"/>
      <c r="IG423" s="167"/>
      <c r="IH423" s="167"/>
      <c r="II423" s="167"/>
      <c r="IJ423" s="167"/>
      <c r="IK423" s="167"/>
      <c r="IL423" s="167"/>
      <c r="IM423" s="167"/>
      <c r="IN423" s="167"/>
      <c r="IO423" s="167"/>
      <c r="IP423" s="167"/>
      <c r="IQ423" s="167"/>
      <c r="IR423" s="167"/>
      <c r="IS423" s="167"/>
      <c r="IT423" s="167"/>
      <c r="IU423" s="167"/>
      <c r="IV423" s="167"/>
    </row>
    <row r="424" spans="1:256" ht="15.75">
      <c r="A424" s="848"/>
      <c r="B424" s="851"/>
      <c r="C424" s="198" t="s">
        <v>1</v>
      </c>
      <c r="D424" s="199">
        <f t="shared" si="182"/>
        <v>54164381.799999997</v>
      </c>
      <c r="E424" s="199">
        <f t="shared" si="182"/>
        <v>34882248.799999997</v>
      </c>
      <c r="F424" s="199">
        <f t="shared" si="182"/>
        <v>29985389.800000001</v>
      </c>
      <c r="G424" s="199">
        <f t="shared" si="182"/>
        <v>595890.02</v>
      </c>
      <c r="H424" s="199">
        <f t="shared" si="182"/>
        <v>29389499.780000001</v>
      </c>
      <c r="I424" s="199">
        <f t="shared" si="182"/>
        <v>3685387</v>
      </c>
      <c r="J424" s="199">
        <f t="shared" si="182"/>
        <v>1000</v>
      </c>
      <c r="K424" s="199">
        <f t="shared" si="182"/>
        <v>1210472</v>
      </c>
      <c r="L424" s="199">
        <f t="shared" si="182"/>
        <v>0</v>
      </c>
      <c r="M424" s="199">
        <f t="shared" si="182"/>
        <v>19282133</v>
      </c>
      <c r="N424" s="199">
        <f t="shared" si="182"/>
        <v>22784133</v>
      </c>
      <c r="O424" s="199">
        <f t="shared" si="182"/>
        <v>5957668</v>
      </c>
      <c r="P424" s="199">
        <f t="shared" si="182"/>
        <v>-3502000</v>
      </c>
      <c r="Q424" s="166"/>
      <c r="R424" s="166"/>
      <c r="S424" s="166"/>
      <c r="T424" s="166"/>
      <c r="U424" s="166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7"/>
      <c r="BN424" s="167"/>
      <c r="BO424" s="167"/>
      <c r="BP424" s="167"/>
      <c r="BQ424" s="167"/>
      <c r="BR424" s="167"/>
      <c r="BS424" s="167"/>
      <c r="BT424" s="167"/>
      <c r="BU424" s="167"/>
      <c r="BV424" s="167"/>
      <c r="BW424" s="167"/>
      <c r="BX424" s="167"/>
      <c r="BY424" s="167"/>
      <c r="BZ424" s="167"/>
      <c r="CA424" s="167"/>
      <c r="CB424" s="167"/>
      <c r="CC424" s="167"/>
      <c r="CD424" s="167"/>
      <c r="CE424" s="167"/>
      <c r="CF424" s="167"/>
      <c r="CG424" s="167"/>
      <c r="CH424" s="167"/>
      <c r="CI424" s="167"/>
      <c r="CJ424" s="167"/>
      <c r="CK424" s="167"/>
      <c r="CL424" s="167"/>
      <c r="CM424" s="167"/>
      <c r="CN424" s="167"/>
      <c r="CO424" s="167"/>
      <c r="CP424" s="167"/>
      <c r="CQ424" s="167"/>
      <c r="CR424" s="167"/>
      <c r="CS424" s="167"/>
      <c r="CT424" s="167"/>
      <c r="CU424" s="167"/>
      <c r="CV424" s="167"/>
      <c r="CW424" s="167"/>
      <c r="CX424" s="167"/>
      <c r="CY424" s="167"/>
      <c r="CZ424" s="167"/>
      <c r="DA424" s="167"/>
      <c r="DB424" s="167"/>
      <c r="DC424" s="167"/>
      <c r="DD424" s="167"/>
      <c r="DE424" s="167"/>
      <c r="DF424" s="167"/>
      <c r="DG424" s="167"/>
      <c r="DH424" s="167"/>
      <c r="DI424" s="167"/>
      <c r="DJ424" s="167"/>
      <c r="DK424" s="167"/>
      <c r="DL424" s="167"/>
      <c r="DM424" s="167"/>
      <c r="DN424" s="167"/>
      <c r="DO424" s="167"/>
      <c r="DP424" s="167"/>
      <c r="DQ424" s="167"/>
      <c r="DR424" s="167"/>
      <c r="DS424" s="167"/>
      <c r="DT424" s="167"/>
      <c r="DU424" s="167"/>
      <c r="DV424" s="167"/>
      <c r="DW424" s="167"/>
      <c r="DX424" s="167"/>
      <c r="DY424" s="167"/>
      <c r="DZ424" s="167"/>
      <c r="EA424" s="167"/>
      <c r="EB424" s="167"/>
      <c r="EC424" s="167"/>
      <c r="ED424" s="167"/>
      <c r="EE424" s="167"/>
      <c r="EF424" s="167"/>
      <c r="EG424" s="167"/>
      <c r="EH424" s="167"/>
      <c r="EI424" s="167"/>
      <c r="EJ424" s="167"/>
      <c r="EK424" s="167"/>
      <c r="EL424" s="167"/>
      <c r="EM424" s="167"/>
      <c r="EN424" s="167"/>
      <c r="EO424" s="167"/>
      <c r="EP424" s="167"/>
      <c r="EQ424" s="167"/>
      <c r="ER424" s="167"/>
      <c r="ES424" s="167"/>
      <c r="ET424" s="167"/>
      <c r="EU424" s="167"/>
      <c r="EV424" s="167"/>
      <c r="EW424" s="167"/>
      <c r="EX424" s="167"/>
      <c r="EY424" s="167"/>
      <c r="EZ424" s="167"/>
      <c r="FA424" s="167"/>
      <c r="FB424" s="167"/>
      <c r="FC424" s="167"/>
      <c r="FD424" s="167"/>
      <c r="FE424" s="167"/>
      <c r="FF424" s="167"/>
      <c r="FG424" s="167"/>
      <c r="FH424" s="167"/>
      <c r="FI424" s="167"/>
      <c r="FJ424" s="167"/>
      <c r="FK424" s="167"/>
      <c r="FL424" s="167"/>
      <c r="FM424" s="167"/>
      <c r="FN424" s="167"/>
      <c r="FO424" s="167"/>
      <c r="FP424" s="167"/>
      <c r="FQ424" s="167"/>
      <c r="FR424" s="167"/>
      <c r="FS424" s="167"/>
      <c r="FT424" s="167"/>
      <c r="FU424" s="167"/>
      <c r="FV424" s="167"/>
      <c r="FW424" s="167"/>
      <c r="FX424" s="167"/>
      <c r="FY424" s="167"/>
      <c r="FZ424" s="167"/>
      <c r="GA424" s="167"/>
      <c r="GB424" s="167"/>
      <c r="GC424" s="167"/>
      <c r="GD424" s="167"/>
      <c r="GE424" s="167"/>
      <c r="GF424" s="167"/>
      <c r="GG424" s="167"/>
      <c r="GH424" s="167"/>
      <c r="GI424" s="167"/>
      <c r="GJ424" s="167"/>
      <c r="GK424" s="167"/>
      <c r="GL424" s="167"/>
      <c r="GM424" s="167"/>
      <c r="GN424" s="167"/>
      <c r="GO424" s="167"/>
      <c r="GP424" s="167"/>
      <c r="GQ424" s="167"/>
      <c r="GR424" s="167"/>
      <c r="GS424" s="167"/>
      <c r="GT424" s="167"/>
      <c r="GU424" s="167"/>
      <c r="GV424" s="167"/>
      <c r="GW424" s="167"/>
      <c r="GX424" s="167"/>
      <c r="GY424" s="167"/>
      <c r="GZ424" s="167"/>
      <c r="HA424" s="167"/>
      <c r="HB424" s="167"/>
      <c r="HC424" s="167"/>
      <c r="HD424" s="167"/>
      <c r="HE424" s="167"/>
      <c r="HF424" s="167"/>
      <c r="HG424" s="167"/>
      <c r="HH424" s="167"/>
      <c r="HI424" s="167"/>
      <c r="HJ424" s="167"/>
      <c r="HK424" s="167"/>
      <c r="HL424" s="167"/>
      <c r="HM424" s="167"/>
      <c r="HN424" s="167"/>
      <c r="HO424" s="167"/>
      <c r="HP424" s="167"/>
      <c r="HQ424" s="167"/>
      <c r="HR424" s="167"/>
      <c r="HS424" s="167"/>
      <c r="HT424" s="167"/>
      <c r="HU424" s="167"/>
      <c r="HV424" s="167"/>
      <c r="HW424" s="167"/>
      <c r="HX424" s="167"/>
      <c r="HY424" s="167"/>
      <c r="HZ424" s="167"/>
      <c r="IA424" s="167"/>
      <c r="IB424" s="167"/>
      <c r="IC424" s="167"/>
      <c r="ID424" s="167"/>
      <c r="IE424" s="167"/>
      <c r="IF424" s="167"/>
      <c r="IG424" s="167"/>
      <c r="IH424" s="167"/>
      <c r="II424" s="167"/>
      <c r="IJ424" s="167"/>
      <c r="IK424" s="167"/>
      <c r="IL424" s="167"/>
      <c r="IM424" s="167"/>
      <c r="IN424" s="167"/>
      <c r="IO424" s="167"/>
      <c r="IP424" s="167"/>
      <c r="IQ424" s="167"/>
      <c r="IR424" s="167"/>
      <c r="IS424" s="167"/>
      <c r="IT424" s="167"/>
      <c r="IU424" s="167"/>
      <c r="IV424" s="167"/>
    </row>
    <row r="425" spans="1:256" ht="15.75">
      <c r="A425" s="849"/>
      <c r="B425" s="852"/>
      <c r="C425" s="198" t="s">
        <v>2</v>
      </c>
      <c r="D425" s="199">
        <f>D423+D424</f>
        <v>2085942839.9100001</v>
      </c>
      <c r="E425" s="199">
        <f t="shared" ref="E425:P425" si="183">E423+E424</f>
        <v>1300189364.9100001</v>
      </c>
      <c r="F425" s="199">
        <f t="shared" si="183"/>
        <v>573465149.90999997</v>
      </c>
      <c r="G425" s="199">
        <f t="shared" si="183"/>
        <v>257670520.02000001</v>
      </c>
      <c r="H425" s="199">
        <f t="shared" si="183"/>
        <v>315794629.88999999</v>
      </c>
      <c r="I425" s="199">
        <f t="shared" si="183"/>
        <v>468378092</v>
      </c>
      <c r="J425" s="199">
        <f t="shared" si="183"/>
        <v>4457434</v>
      </c>
      <c r="K425" s="199">
        <f t="shared" si="183"/>
        <v>182255531</v>
      </c>
      <c r="L425" s="199">
        <f t="shared" si="183"/>
        <v>71633158</v>
      </c>
      <c r="M425" s="199">
        <f t="shared" si="183"/>
        <v>785753475</v>
      </c>
      <c r="N425" s="199">
        <f t="shared" si="183"/>
        <v>723307497</v>
      </c>
      <c r="O425" s="199">
        <f t="shared" si="183"/>
        <v>147555013</v>
      </c>
      <c r="P425" s="199">
        <f t="shared" si="183"/>
        <v>62445978</v>
      </c>
      <c r="Q425" s="166"/>
      <c r="R425" s="166"/>
      <c r="S425" s="166"/>
      <c r="T425" s="166"/>
      <c r="U425" s="166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7"/>
      <c r="BN425" s="167"/>
      <c r="BO425" s="167"/>
      <c r="BP425" s="167"/>
      <c r="BQ425" s="167"/>
      <c r="BR425" s="167"/>
      <c r="BS425" s="167"/>
      <c r="BT425" s="167"/>
      <c r="BU425" s="167"/>
      <c r="BV425" s="167"/>
      <c r="BW425" s="167"/>
      <c r="BX425" s="167"/>
      <c r="BY425" s="167"/>
      <c r="BZ425" s="167"/>
      <c r="CA425" s="167"/>
      <c r="CB425" s="167"/>
      <c r="CC425" s="167"/>
      <c r="CD425" s="167"/>
      <c r="CE425" s="167"/>
      <c r="CF425" s="167"/>
      <c r="CG425" s="167"/>
      <c r="CH425" s="167"/>
      <c r="CI425" s="167"/>
      <c r="CJ425" s="167"/>
      <c r="CK425" s="167"/>
      <c r="CL425" s="167"/>
      <c r="CM425" s="167"/>
      <c r="CN425" s="167"/>
      <c r="CO425" s="167"/>
      <c r="CP425" s="167"/>
      <c r="CQ425" s="167"/>
      <c r="CR425" s="167"/>
      <c r="CS425" s="167"/>
      <c r="CT425" s="167"/>
      <c r="CU425" s="167"/>
      <c r="CV425" s="167"/>
      <c r="CW425" s="167"/>
      <c r="CX425" s="167"/>
      <c r="CY425" s="167"/>
      <c r="CZ425" s="167"/>
      <c r="DA425" s="167"/>
      <c r="DB425" s="167"/>
      <c r="DC425" s="167"/>
      <c r="DD425" s="167"/>
      <c r="DE425" s="167"/>
      <c r="DF425" s="167"/>
      <c r="DG425" s="167"/>
      <c r="DH425" s="167"/>
      <c r="DI425" s="167"/>
      <c r="DJ425" s="167"/>
      <c r="DK425" s="167"/>
      <c r="DL425" s="167"/>
      <c r="DM425" s="167"/>
      <c r="DN425" s="167"/>
      <c r="DO425" s="167"/>
      <c r="DP425" s="167"/>
      <c r="DQ425" s="167"/>
      <c r="DR425" s="167"/>
      <c r="DS425" s="167"/>
      <c r="DT425" s="167"/>
      <c r="DU425" s="167"/>
      <c r="DV425" s="167"/>
      <c r="DW425" s="167"/>
      <c r="DX425" s="167"/>
      <c r="DY425" s="167"/>
      <c r="DZ425" s="167"/>
      <c r="EA425" s="167"/>
      <c r="EB425" s="167"/>
      <c r="EC425" s="167"/>
      <c r="ED425" s="167"/>
      <c r="EE425" s="167"/>
      <c r="EF425" s="167"/>
      <c r="EG425" s="167"/>
      <c r="EH425" s="167"/>
      <c r="EI425" s="167"/>
      <c r="EJ425" s="167"/>
      <c r="EK425" s="167"/>
      <c r="EL425" s="167"/>
      <c r="EM425" s="167"/>
      <c r="EN425" s="167"/>
      <c r="EO425" s="167"/>
      <c r="EP425" s="167"/>
      <c r="EQ425" s="167"/>
      <c r="ER425" s="167"/>
      <c r="ES425" s="167"/>
      <c r="ET425" s="167"/>
      <c r="EU425" s="167"/>
      <c r="EV425" s="167"/>
      <c r="EW425" s="167"/>
      <c r="EX425" s="167"/>
      <c r="EY425" s="167"/>
      <c r="EZ425" s="167"/>
      <c r="FA425" s="167"/>
      <c r="FB425" s="167"/>
      <c r="FC425" s="167"/>
      <c r="FD425" s="167"/>
      <c r="FE425" s="167"/>
      <c r="FF425" s="167"/>
      <c r="FG425" s="167"/>
      <c r="FH425" s="167"/>
      <c r="FI425" s="167"/>
      <c r="FJ425" s="167"/>
      <c r="FK425" s="167"/>
      <c r="FL425" s="167"/>
      <c r="FM425" s="167"/>
      <c r="FN425" s="167"/>
      <c r="FO425" s="167"/>
      <c r="FP425" s="167"/>
      <c r="FQ425" s="167"/>
      <c r="FR425" s="167"/>
      <c r="FS425" s="167"/>
      <c r="FT425" s="167"/>
      <c r="FU425" s="167"/>
      <c r="FV425" s="167"/>
      <c r="FW425" s="167"/>
      <c r="FX425" s="167"/>
      <c r="FY425" s="167"/>
      <c r="FZ425" s="167"/>
      <c r="GA425" s="167"/>
      <c r="GB425" s="167"/>
      <c r="GC425" s="167"/>
      <c r="GD425" s="167"/>
      <c r="GE425" s="167"/>
      <c r="GF425" s="167"/>
      <c r="GG425" s="167"/>
      <c r="GH425" s="167"/>
      <c r="GI425" s="167"/>
      <c r="GJ425" s="167"/>
      <c r="GK425" s="167"/>
      <c r="GL425" s="167"/>
      <c r="GM425" s="167"/>
      <c r="GN425" s="167"/>
      <c r="GO425" s="167"/>
      <c r="GP425" s="167"/>
      <c r="GQ425" s="167"/>
      <c r="GR425" s="167"/>
      <c r="GS425" s="167"/>
      <c r="GT425" s="167"/>
      <c r="GU425" s="167"/>
      <c r="GV425" s="167"/>
      <c r="GW425" s="167"/>
      <c r="GX425" s="167"/>
      <c r="GY425" s="167"/>
      <c r="GZ425" s="167"/>
      <c r="HA425" s="167"/>
      <c r="HB425" s="167"/>
      <c r="HC425" s="167"/>
      <c r="HD425" s="167"/>
      <c r="HE425" s="167"/>
      <c r="HF425" s="167"/>
      <c r="HG425" s="167"/>
      <c r="HH425" s="167"/>
      <c r="HI425" s="167"/>
      <c r="HJ425" s="167"/>
      <c r="HK425" s="167"/>
      <c r="HL425" s="167"/>
      <c r="HM425" s="167"/>
      <c r="HN425" s="167"/>
      <c r="HO425" s="167"/>
      <c r="HP425" s="167"/>
      <c r="HQ425" s="167"/>
      <c r="HR425" s="167"/>
      <c r="HS425" s="167"/>
      <c r="HT425" s="167"/>
      <c r="HU425" s="167"/>
      <c r="HV425" s="167"/>
      <c r="HW425" s="167"/>
      <c r="HX425" s="167"/>
      <c r="HY425" s="167"/>
      <c r="HZ425" s="167"/>
      <c r="IA425" s="167"/>
      <c r="IB425" s="167"/>
      <c r="IC425" s="167"/>
      <c r="ID425" s="167"/>
      <c r="IE425" s="167"/>
      <c r="IF425" s="167"/>
      <c r="IG425" s="167"/>
      <c r="IH425" s="167"/>
      <c r="II425" s="167"/>
      <c r="IJ425" s="167"/>
      <c r="IK425" s="167"/>
      <c r="IL425" s="167"/>
      <c r="IM425" s="167"/>
      <c r="IN425" s="167"/>
      <c r="IO425" s="167"/>
      <c r="IP425" s="167"/>
      <c r="IQ425" s="167"/>
      <c r="IR425" s="167"/>
      <c r="IS425" s="167"/>
      <c r="IT425" s="167"/>
      <c r="IU425" s="167"/>
      <c r="IV425" s="167"/>
    </row>
    <row r="426" spans="1:256">
      <c r="A426" s="200"/>
      <c r="B426" s="201"/>
      <c r="C426" s="202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201"/>
      <c r="R426" s="201"/>
      <c r="S426" s="201"/>
      <c r="T426" s="201"/>
      <c r="U426" s="201"/>
    </row>
    <row r="427" spans="1:256">
      <c r="A427" s="203" t="s">
        <v>99</v>
      </c>
      <c r="B427" s="146"/>
      <c r="C427" s="204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  <c r="BV427" s="146"/>
      <c r="BW427" s="146"/>
      <c r="BX427" s="146"/>
      <c r="BY427" s="146"/>
      <c r="BZ427" s="146"/>
      <c r="CA427" s="146"/>
      <c r="CB427" s="146"/>
      <c r="CC427" s="146"/>
      <c r="CD427" s="146"/>
      <c r="CE427" s="146"/>
      <c r="CF427" s="146"/>
      <c r="CG427" s="146"/>
      <c r="CH427" s="146"/>
      <c r="CI427" s="146"/>
      <c r="CJ427" s="146"/>
      <c r="CK427" s="146"/>
      <c r="CL427" s="146"/>
      <c r="CM427" s="146"/>
      <c r="CN427" s="146"/>
      <c r="CO427" s="146"/>
      <c r="CP427" s="146"/>
      <c r="CQ427" s="146"/>
      <c r="CR427" s="146"/>
      <c r="CS427" s="146"/>
      <c r="CT427" s="146"/>
      <c r="CU427" s="146"/>
      <c r="CV427" s="146"/>
      <c r="CW427" s="146"/>
      <c r="CX427" s="146"/>
      <c r="CY427" s="146"/>
      <c r="CZ427" s="146"/>
      <c r="DA427" s="146"/>
      <c r="DB427" s="146"/>
      <c r="DC427" s="146"/>
      <c r="DD427" s="146"/>
      <c r="DE427" s="146"/>
      <c r="DF427" s="146"/>
      <c r="DG427" s="146"/>
      <c r="DH427" s="146"/>
      <c r="DI427" s="146"/>
      <c r="DJ427" s="146"/>
      <c r="DK427" s="146"/>
      <c r="DL427" s="146"/>
      <c r="DM427" s="146"/>
      <c r="DN427" s="146"/>
      <c r="DO427" s="146"/>
      <c r="DP427" s="146"/>
      <c r="DQ427" s="146"/>
      <c r="DR427" s="146"/>
      <c r="DS427" s="146"/>
      <c r="DT427" s="146"/>
      <c r="DU427" s="146"/>
      <c r="DV427" s="146"/>
      <c r="DW427" s="146"/>
      <c r="DX427" s="146"/>
      <c r="DY427" s="146"/>
      <c r="DZ427" s="146"/>
      <c r="EA427" s="146"/>
      <c r="EB427" s="146"/>
      <c r="EC427" s="146"/>
      <c r="ED427" s="146"/>
      <c r="EE427" s="146"/>
      <c r="EF427" s="146"/>
      <c r="EG427" s="146"/>
      <c r="EH427" s="146"/>
      <c r="EI427" s="146"/>
      <c r="EJ427" s="146"/>
      <c r="EK427" s="146"/>
      <c r="EL427" s="146"/>
      <c r="EM427" s="146"/>
      <c r="EN427" s="146"/>
      <c r="EO427" s="146"/>
      <c r="EP427" s="146"/>
      <c r="EQ427" s="146"/>
      <c r="ER427" s="146"/>
      <c r="ES427" s="146"/>
      <c r="ET427" s="146"/>
      <c r="EU427" s="146"/>
      <c r="EV427" s="146"/>
      <c r="EW427" s="146"/>
      <c r="EX427" s="146"/>
      <c r="EY427" s="146"/>
      <c r="EZ427" s="146"/>
      <c r="FA427" s="146"/>
      <c r="FB427" s="146"/>
      <c r="FC427" s="146"/>
      <c r="FD427" s="146"/>
      <c r="FE427" s="146"/>
      <c r="FF427" s="146"/>
      <c r="FG427" s="146"/>
      <c r="FH427" s="146"/>
      <c r="FI427" s="146"/>
      <c r="FJ427" s="146"/>
      <c r="FK427" s="146"/>
      <c r="FL427" s="146"/>
      <c r="FM427" s="146"/>
      <c r="FN427" s="146"/>
      <c r="FO427" s="146"/>
      <c r="FP427" s="146"/>
      <c r="FQ427" s="146"/>
      <c r="FR427" s="146"/>
      <c r="FS427" s="146"/>
      <c r="FT427" s="146"/>
      <c r="FU427" s="146"/>
      <c r="FV427" s="146"/>
      <c r="FW427" s="146"/>
      <c r="FX427" s="146"/>
      <c r="FY427" s="146"/>
      <c r="FZ427" s="146"/>
      <c r="GA427" s="146"/>
      <c r="GB427" s="146"/>
      <c r="GC427" s="146"/>
      <c r="GD427" s="146"/>
      <c r="GE427" s="146"/>
      <c r="GF427" s="146"/>
      <c r="GG427" s="146"/>
      <c r="GH427" s="146"/>
      <c r="GI427" s="146"/>
      <c r="GJ427" s="146"/>
      <c r="GK427" s="146"/>
      <c r="GL427" s="146"/>
      <c r="GM427" s="146"/>
      <c r="GN427" s="146"/>
      <c r="GO427" s="146"/>
      <c r="GP427" s="146"/>
      <c r="GQ427" s="146"/>
      <c r="GR427" s="146"/>
      <c r="GS427" s="146"/>
      <c r="GT427" s="146"/>
      <c r="GU427" s="146"/>
      <c r="GV427" s="146"/>
      <c r="GW427" s="146"/>
      <c r="GX427" s="146"/>
      <c r="GY427" s="146"/>
      <c r="GZ427" s="146"/>
      <c r="HA427" s="146"/>
      <c r="HB427" s="146"/>
      <c r="HC427" s="146"/>
      <c r="HD427" s="146"/>
      <c r="HE427" s="146"/>
      <c r="HF427" s="146"/>
      <c r="HG427" s="146"/>
      <c r="HH427" s="146"/>
      <c r="HI427" s="146"/>
      <c r="HJ427" s="146"/>
      <c r="HK427" s="146"/>
      <c r="HL427" s="146"/>
      <c r="HM427" s="146"/>
      <c r="HN427" s="146"/>
      <c r="HO427" s="146"/>
      <c r="HP427" s="146"/>
      <c r="HQ427" s="146"/>
      <c r="HR427" s="146"/>
      <c r="HS427" s="146"/>
      <c r="HT427" s="146"/>
      <c r="HU427" s="146"/>
      <c r="HV427" s="146"/>
      <c r="HW427" s="146"/>
      <c r="HX427" s="146"/>
      <c r="HY427" s="146"/>
      <c r="HZ427" s="146"/>
      <c r="IA427" s="146"/>
      <c r="IB427" s="146"/>
      <c r="IC427" s="146"/>
      <c r="ID427" s="146"/>
      <c r="IE427" s="146"/>
      <c r="IF427" s="146"/>
      <c r="IG427" s="146"/>
      <c r="IH427" s="146"/>
      <c r="II427" s="146"/>
      <c r="IJ427" s="146"/>
      <c r="IK427" s="146"/>
      <c r="IL427" s="146"/>
      <c r="IM427" s="146"/>
      <c r="IN427" s="146"/>
      <c r="IO427" s="146"/>
      <c r="IP427" s="146"/>
      <c r="IQ427" s="146"/>
      <c r="IR427" s="146"/>
      <c r="IS427" s="146"/>
      <c r="IT427" s="146"/>
      <c r="IU427" s="146"/>
      <c r="IV427" s="146"/>
    </row>
    <row r="428" spans="1:256">
      <c r="A428" s="203" t="s">
        <v>329</v>
      </c>
      <c r="B428" s="146"/>
      <c r="C428" s="204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  <c r="BV428" s="146"/>
      <c r="BW428" s="146"/>
      <c r="BX428" s="146"/>
      <c r="BY428" s="146"/>
      <c r="BZ428" s="146"/>
      <c r="CA428" s="146"/>
      <c r="CB428" s="146"/>
      <c r="CC428" s="146"/>
      <c r="CD428" s="146"/>
      <c r="CE428" s="146"/>
      <c r="CF428" s="146"/>
      <c r="CG428" s="146"/>
      <c r="CH428" s="146"/>
      <c r="CI428" s="146"/>
      <c r="CJ428" s="146"/>
      <c r="CK428" s="146"/>
      <c r="CL428" s="146"/>
      <c r="CM428" s="146"/>
      <c r="CN428" s="146"/>
      <c r="CO428" s="146"/>
      <c r="CP428" s="146"/>
      <c r="CQ428" s="146"/>
      <c r="CR428" s="146"/>
      <c r="CS428" s="146"/>
      <c r="CT428" s="146"/>
      <c r="CU428" s="146"/>
      <c r="CV428" s="146"/>
      <c r="CW428" s="146"/>
      <c r="CX428" s="146"/>
      <c r="CY428" s="146"/>
      <c r="CZ428" s="146"/>
      <c r="DA428" s="146"/>
      <c r="DB428" s="146"/>
      <c r="DC428" s="146"/>
      <c r="DD428" s="146"/>
      <c r="DE428" s="146"/>
      <c r="DF428" s="146"/>
      <c r="DG428" s="146"/>
      <c r="DH428" s="146"/>
      <c r="DI428" s="146"/>
      <c r="DJ428" s="146"/>
      <c r="DK428" s="146"/>
      <c r="DL428" s="146"/>
      <c r="DM428" s="146"/>
      <c r="DN428" s="146"/>
      <c r="DO428" s="146"/>
      <c r="DP428" s="146"/>
      <c r="DQ428" s="146"/>
      <c r="DR428" s="146"/>
      <c r="DS428" s="146"/>
      <c r="DT428" s="146"/>
      <c r="DU428" s="146"/>
      <c r="DV428" s="146"/>
      <c r="DW428" s="146"/>
      <c r="DX428" s="146"/>
      <c r="DY428" s="146"/>
      <c r="DZ428" s="146"/>
      <c r="EA428" s="146"/>
      <c r="EB428" s="146"/>
      <c r="EC428" s="146"/>
      <c r="ED428" s="146"/>
      <c r="EE428" s="146"/>
      <c r="EF428" s="146"/>
      <c r="EG428" s="146"/>
      <c r="EH428" s="146"/>
      <c r="EI428" s="146"/>
      <c r="EJ428" s="146"/>
      <c r="EK428" s="146"/>
      <c r="EL428" s="146"/>
      <c r="EM428" s="146"/>
      <c r="EN428" s="146"/>
      <c r="EO428" s="146"/>
      <c r="EP428" s="146"/>
      <c r="EQ428" s="146"/>
      <c r="ER428" s="146"/>
      <c r="ES428" s="146"/>
      <c r="ET428" s="146"/>
      <c r="EU428" s="146"/>
      <c r="EV428" s="146"/>
      <c r="EW428" s="146"/>
      <c r="EX428" s="146"/>
      <c r="EY428" s="146"/>
      <c r="EZ428" s="146"/>
      <c r="FA428" s="146"/>
      <c r="FB428" s="146"/>
      <c r="FC428" s="146"/>
      <c r="FD428" s="146"/>
      <c r="FE428" s="146"/>
      <c r="FF428" s="146"/>
      <c r="FG428" s="146"/>
      <c r="FH428" s="146"/>
      <c r="FI428" s="146"/>
      <c r="FJ428" s="146"/>
      <c r="FK428" s="146"/>
      <c r="FL428" s="146"/>
      <c r="FM428" s="146"/>
      <c r="FN428" s="146"/>
      <c r="FO428" s="146"/>
      <c r="FP428" s="146"/>
      <c r="FQ428" s="146"/>
      <c r="FR428" s="146"/>
      <c r="FS428" s="146"/>
      <c r="FT428" s="146"/>
      <c r="FU428" s="146"/>
      <c r="FV428" s="146"/>
      <c r="FW428" s="146"/>
      <c r="FX428" s="146"/>
      <c r="FY428" s="146"/>
      <c r="FZ428" s="146"/>
      <c r="GA428" s="146"/>
      <c r="GB428" s="146"/>
      <c r="GC428" s="146"/>
      <c r="GD428" s="146"/>
      <c r="GE428" s="146"/>
      <c r="GF428" s="146"/>
      <c r="GG428" s="146"/>
      <c r="GH428" s="146"/>
      <c r="GI428" s="146"/>
      <c r="GJ428" s="146"/>
      <c r="GK428" s="146"/>
      <c r="GL428" s="146"/>
      <c r="GM428" s="146"/>
      <c r="GN428" s="146"/>
      <c r="GO428" s="146"/>
      <c r="GP428" s="146"/>
      <c r="GQ428" s="146"/>
      <c r="GR428" s="146"/>
      <c r="GS428" s="146"/>
      <c r="GT428" s="146"/>
      <c r="GU428" s="146"/>
      <c r="GV428" s="146"/>
      <c r="GW428" s="146"/>
      <c r="GX428" s="146"/>
      <c r="GY428" s="146"/>
      <c r="GZ428" s="146"/>
      <c r="HA428" s="146"/>
      <c r="HB428" s="146"/>
      <c r="HC428" s="146"/>
      <c r="HD428" s="146"/>
      <c r="HE428" s="146"/>
      <c r="HF428" s="146"/>
      <c r="HG428" s="146"/>
      <c r="HH428" s="146"/>
      <c r="HI428" s="146"/>
      <c r="HJ428" s="146"/>
      <c r="HK428" s="146"/>
      <c r="HL428" s="146"/>
      <c r="HM428" s="146"/>
      <c r="HN428" s="146"/>
      <c r="HO428" s="146"/>
      <c r="HP428" s="146"/>
      <c r="HQ428" s="146"/>
      <c r="HR428" s="146"/>
      <c r="HS428" s="146"/>
      <c r="HT428" s="146"/>
      <c r="HU428" s="146"/>
      <c r="HV428" s="146"/>
      <c r="HW428" s="146"/>
      <c r="HX428" s="146"/>
      <c r="HY428" s="146"/>
      <c r="HZ428" s="146"/>
      <c r="IA428" s="146"/>
      <c r="IB428" s="146"/>
      <c r="IC428" s="146"/>
      <c r="ID428" s="146"/>
      <c r="IE428" s="146"/>
      <c r="IF428" s="146"/>
      <c r="IG428" s="146"/>
      <c r="IH428" s="146"/>
      <c r="II428" s="146"/>
      <c r="IJ428" s="146"/>
      <c r="IK428" s="146"/>
      <c r="IL428" s="146"/>
      <c r="IM428" s="146"/>
      <c r="IN428" s="146"/>
      <c r="IO428" s="146"/>
      <c r="IP428" s="146"/>
      <c r="IQ428" s="146"/>
      <c r="IR428" s="146"/>
      <c r="IS428" s="146"/>
      <c r="IT428" s="146"/>
      <c r="IU428" s="146"/>
      <c r="IV428" s="146"/>
    </row>
    <row r="429" spans="1:256">
      <c r="A429" s="203" t="s">
        <v>330</v>
      </c>
      <c r="B429" s="146"/>
      <c r="C429" s="204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  <c r="BV429" s="146"/>
      <c r="BW429" s="146"/>
      <c r="BX429" s="146"/>
      <c r="BY429" s="146"/>
      <c r="BZ429" s="146"/>
      <c r="CA429" s="146"/>
      <c r="CB429" s="146"/>
      <c r="CC429" s="146"/>
      <c r="CD429" s="146"/>
      <c r="CE429" s="146"/>
      <c r="CF429" s="146"/>
      <c r="CG429" s="146"/>
      <c r="CH429" s="146"/>
      <c r="CI429" s="146"/>
      <c r="CJ429" s="146"/>
      <c r="CK429" s="146"/>
      <c r="CL429" s="146"/>
      <c r="CM429" s="146"/>
      <c r="CN429" s="146"/>
      <c r="CO429" s="146"/>
      <c r="CP429" s="146"/>
      <c r="CQ429" s="146"/>
      <c r="CR429" s="146"/>
      <c r="CS429" s="146"/>
      <c r="CT429" s="146"/>
      <c r="CU429" s="146"/>
      <c r="CV429" s="146"/>
      <c r="CW429" s="146"/>
      <c r="CX429" s="146"/>
      <c r="CY429" s="146"/>
      <c r="CZ429" s="146"/>
      <c r="DA429" s="146"/>
      <c r="DB429" s="146"/>
      <c r="DC429" s="146"/>
      <c r="DD429" s="146"/>
      <c r="DE429" s="146"/>
      <c r="DF429" s="146"/>
      <c r="DG429" s="146"/>
      <c r="DH429" s="146"/>
      <c r="DI429" s="146"/>
      <c r="DJ429" s="146"/>
      <c r="DK429" s="146"/>
      <c r="DL429" s="146"/>
      <c r="DM429" s="146"/>
      <c r="DN429" s="146"/>
      <c r="DO429" s="146"/>
      <c r="DP429" s="146"/>
      <c r="DQ429" s="146"/>
      <c r="DR429" s="146"/>
      <c r="DS429" s="146"/>
      <c r="DT429" s="146"/>
      <c r="DU429" s="146"/>
      <c r="DV429" s="146"/>
      <c r="DW429" s="146"/>
      <c r="DX429" s="146"/>
      <c r="DY429" s="146"/>
      <c r="DZ429" s="146"/>
      <c r="EA429" s="146"/>
      <c r="EB429" s="146"/>
      <c r="EC429" s="146"/>
      <c r="ED429" s="146"/>
      <c r="EE429" s="146"/>
      <c r="EF429" s="146"/>
      <c r="EG429" s="146"/>
      <c r="EH429" s="146"/>
      <c r="EI429" s="146"/>
      <c r="EJ429" s="146"/>
      <c r="EK429" s="146"/>
      <c r="EL429" s="146"/>
      <c r="EM429" s="146"/>
      <c r="EN429" s="146"/>
      <c r="EO429" s="146"/>
      <c r="EP429" s="146"/>
      <c r="EQ429" s="146"/>
      <c r="ER429" s="146"/>
      <c r="ES429" s="146"/>
      <c r="ET429" s="146"/>
      <c r="EU429" s="146"/>
      <c r="EV429" s="146"/>
      <c r="EW429" s="146"/>
      <c r="EX429" s="146"/>
      <c r="EY429" s="146"/>
      <c r="EZ429" s="146"/>
      <c r="FA429" s="146"/>
      <c r="FB429" s="146"/>
      <c r="FC429" s="146"/>
      <c r="FD429" s="146"/>
      <c r="FE429" s="146"/>
      <c r="FF429" s="146"/>
      <c r="FG429" s="146"/>
      <c r="FH429" s="146"/>
      <c r="FI429" s="146"/>
      <c r="FJ429" s="146"/>
      <c r="FK429" s="146"/>
      <c r="FL429" s="146"/>
      <c r="FM429" s="146"/>
      <c r="FN429" s="146"/>
      <c r="FO429" s="146"/>
      <c r="FP429" s="146"/>
      <c r="FQ429" s="146"/>
      <c r="FR429" s="146"/>
      <c r="FS429" s="146"/>
      <c r="FT429" s="146"/>
      <c r="FU429" s="146"/>
      <c r="FV429" s="146"/>
      <c r="FW429" s="146"/>
      <c r="FX429" s="146"/>
      <c r="FY429" s="146"/>
      <c r="FZ429" s="146"/>
      <c r="GA429" s="146"/>
      <c r="GB429" s="146"/>
      <c r="GC429" s="146"/>
      <c r="GD429" s="146"/>
      <c r="GE429" s="146"/>
      <c r="GF429" s="146"/>
      <c r="GG429" s="146"/>
      <c r="GH429" s="146"/>
      <c r="GI429" s="146"/>
      <c r="GJ429" s="146"/>
      <c r="GK429" s="146"/>
      <c r="GL429" s="146"/>
      <c r="GM429" s="146"/>
      <c r="GN429" s="146"/>
      <c r="GO429" s="146"/>
      <c r="GP429" s="146"/>
      <c r="GQ429" s="146"/>
      <c r="GR429" s="146"/>
      <c r="GS429" s="146"/>
      <c r="GT429" s="146"/>
      <c r="GU429" s="146"/>
      <c r="GV429" s="146"/>
      <c r="GW429" s="146"/>
      <c r="GX429" s="146"/>
      <c r="GY429" s="146"/>
      <c r="GZ429" s="146"/>
      <c r="HA429" s="146"/>
      <c r="HB429" s="146"/>
      <c r="HC429" s="146"/>
      <c r="HD429" s="146"/>
      <c r="HE429" s="146"/>
      <c r="HF429" s="146"/>
      <c r="HG429" s="146"/>
      <c r="HH429" s="146"/>
      <c r="HI429" s="146"/>
      <c r="HJ429" s="146"/>
      <c r="HK429" s="146"/>
      <c r="HL429" s="146"/>
      <c r="HM429" s="146"/>
      <c r="HN429" s="146"/>
      <c r="HO429" s="146"/>
      <c r="HP429" s="146"/>
      <c r="HQ429" s="146"/>
      <c r="HR429" s="146"/>
      <c r="HS429" s="146"/>
      <c r="HT429" s="146"/>
      <c r="HU429" s="146"/>
      <c r="HV429" s="146"/>
      <c r="HW429" s="146"/>
      <c r="HX429" s="146"/>
      <c r="HY429" s="146"/>
      <c r="HZ429" s="146"/>
      <c r="IA429" s="146"/>
      <c r="IB429" s="146"/>
      <c r="IC429" s="146"/>
      <c r="ID429" s="146"/>
      <c r="IE429" s="146"/>
      <c r="IF429" s="146"/>
      <c r="IG429" s="146"/>
      <c r="IH429" s="146"/>
      <c r="II429" s="146"/>
      <c r="IJ429" s="146"/>
      <c r="IK429" s="146"/>
      <c r="IL429" s="146"/>
      <c r="IM429" s="146"/>
      <c r="IN429" s="146"/>
      <c r="IO429" s="146"/>
      <c r="IP429" s="146"/>
      <c r="IQ429" s="146"/>
      <c r="IR429" s="146"/>
      <c r="IS429" s="146"/>
      <c r="IT429" s="146"/>
      <c r="IU429" s="146"/>
      <c r="IV429" s="146"/>
    </row>
    <row r="430" spans="1:256">
      <c r="A430" s="203" t="s">
        <v>331</v>
      </c>
      <c r="B430" s="146"/>
      <c r="C430" s="204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  <c r="BV430" s="146"/>
      <c r="BW430" s="146"/>
      <c r="BX430" s="146"/>
      <c r="BY430" s="146"/>
      <c r="BZ430" s="146"/>
      <c r="CA430" s="146"/>
      <c r="CB430" s="146"/>
      <c r="CC430" s="146"/>
      <c r="CD430" s="146"/>
      <c r="CE430" s="146"/>
      <c r="CF430" s="146"/>
      <c r="CG430" s="146"/>
      <c r="CH430" s="146"/>
      <c r="CI430" s="146"/>
      <c r="CJ430" s="146"/>
      <c r="CK430" s="146"/>
      <c r="CL430" s="146"/>
      <c r="CM430" s="146"/>
      <c r="CN430" s="146"/>
      <c r="CO430" s="146"/>
      <c r="CP430" s="146"/>
      <c r="CQ430" s="146"/>
      <c r="CR430" s="146"/>
      <c r="CS430" s="146"/>
      <c r="CT430" s="146"/>
      <c r="CU430" s="146"/>
      <c r="CV430" s="146"/>
      <c r="CW430" s="146"/>
      <c r="CX430" s="146"/>
      <c r="CY430" s="146"/>
      <c r="CZ430" s="146"/>
      <c r="DA430" s="146"/>
      <c r="DB430" s="146"/>
      <c r="DC430" s="146"/>
      <c r="DD430" s="146"/>
      <c r="DE430" s="146"/>
      <c r="DF430" s="146"/>
      <c r="DG430" s="146"/>
      <c r="DH430" s="146"/>
      <c r="DI430" s="146"/>
      <c r="DJ430" s="146"/>
      <c r="DK430" s="146"/>
      <c r="DL430" s="146"/>
      <c r="DM430" s="146"/>
      <c r="DN430" s="146"/>
      <c r="DO430" s="146"/>
      <c r="DP430" s="146"/>
      <c r="DQ430" s="146"/>
      <c r="DR430" s="146"/>
      <c r="DS430" s="146"/>
      <c r="DT430" s="146"/>
      <c r="DU430" s="146"/>
      <c r="DV430" s="146"/>
      <c r="DW430" s="146"/>
      <c r="DX430" s="146"/>
      <c r="DY430" s="146"/>
      <c r="DZ430" s="146"/>
      <c r="EA430" s="146"/>
      <c r="EB430" s="146"/>
      <c r="EC430" s="146"/>
      <c r="ED430" s="146"/>
      <c r="EE430" s="146"/>
      <c r="EF430" s="146"/>
      <c r="EG430" s="146"/>
      <c r="EH430" s="146"/>
      <c r="EI430" s="146"/>
      <c r="EJ430" s="146"/>
      <c r="EK430" s="146"/>
      <c r="EL430" s="146"/>
      <c r="EM430" s="146"/>
      <c r="EN430" s="146"/>
      <c r="EO430" s="146"/>
      <c r="EP430" s="146"/>
      <c r="EQ430" s="146"/>
      <c r="ER430" s="146"/>
      <c r="ES430" s="146"/>
      <c r="ET430" s="146"/>
      <c r="EU430" s="146"/>
      <c r="EV430" s="146"/>
      <c r="EW430" s="146"/>
      <c r="EX430" s="146"/>
      <c r="EY430" s="146"/>
      <c r="EZ430" s="146"/>
      <c r="FA430" s="146"/>
      <c r="FB430" s="146"/>
      <c r="FC430" s="146"/>
      <c r="FD430" s="146"/>
      <c r="FE430" s="146"/>
      <c r="FF430" s="146"/>
      <c r="FG430" s="146"/>
      <c r="FH430" s="146"/>
      <c r="FI430" s="146"/>
      <c r="FJ430" s="146"/>
      <c r="FK430" s="146"/>
      <c r="FL430" s="146"/>
      <c r="FM430" s="146"/>
      <c r="FN430" s="146"/>
      <c r="FO430" s="146"/>
      <c r="FP430" s="146"/>
      <c r="FQ430" s="146"/>
      <c r="FR430" s="146"/>
      <c r="FS430" s="146"/>
      <c r="FT430" s="146"/>
      <c r="FU430" s="146"/>
      <c r="FV430" s="146"/>
      <c r="FW430" s="146"/>
      <c r="FX430" s="146"/>
      <c r="FY430" s="146"/>
      <c r="FZ430" s="146"/>
      <c r="GA430" s="146"/>
      <c r="GB430" s="146"/>
      <c r="GC430" s="146"/>
      <c r="GD430" s="146"/>
      <c r="GE430" s="146"/>
      <c r="GF430" s="146"/>
      <c r="GG430" s="146"/>
      <c r="GH430" s="146"/>
      <c r="GI430" s="146"/>
      <c r="GJ430" s="146"/>
      <c r="GK430" s="146"/>
      <c r="GL430" s="146"/>
      <c r="GM430" s="146"/>
      <c r="GN430" s="146"/>
      <c r="GO430" s="146"/>
      <c r="GP430" s="146"/>
      <c r="GQ430" s="146"/>
      <c r="GR430" s="146"/>
      <c r="GS430" s="146"/>
      <c r="GT430" s="146"/>
      <c r="GU430" s="146"/>
      <c r="GV430" s="146"/>
      <c r="GW430" s="146"/>
      <c r="GX430" s="146"/>
      <c r="GY430" s="146"/>
      <c r="GZ430" s="146"/>
      <c r="HA430" s="146"/>
      <c r="HB430" s="146"/>
      <c r="HC430" s="146"/>
      <c r="HD430" s="146"/>
      <c r="HE430" s="146"/>
      <c r="HF430" s="146"/>
      <c r="HG430" s="146"/>
      <c r="HH430" s="146"/>
      <c r="HI430" s="146"/>
      <c r="HJ430" s="146"/>
      <c r="HK430" s="146"/>
      <c r="HL430" s="146"/>
      <c r="HM430" s="146"/>
      <c r="HN430" s="146"/>
      <c r="HO430" s="146"/>
      <c r="HP430" s="146"/>
      <c r="HQ430" s="146"/>
      <c r="HR430" s="146"/>
      <c r="HS430" s="146"/>
      <c r="HT430" s="146"/>
      <c r="HU430" s="146"/>
      <c r="HV430" s="146"/>
      <c r="HW430" s="146"/>
      <c r="HX430" s="146"/>
      <c r="HY430" s="146"/>
      <c r="HZ430" s="146"/>
      <c r="IA430" s="146"/>
      <c r="IB430" s="146"/>
      <c r="IC430" s="146"/>
      <c r="ID430" s="146"/>
      <c r="IE430" s="146"/>
      <c r="IF430" s="146"/>
      <c r="IG430" s="146"/>
      <c r="IH430" s="146"/>
      <c r="II430" s="146"/>
      <c r="IJ430" s="146"/>
      <c r="IK430" s="146"/>
      <c r="IL430" s="146"/>
      <c r="IM430" s="146"/>
      <c r="IN430" s="146"/>
      <c r="IO430" s="146"/>
      <c r="IP430" s="146"/>
      <c r="IQ430" s="146"/>
      <c r="IR430" s="146"/>
      <c r="IS430" s="146"/>
      <c r="IT430" s="146"/>
      <c r="IU430" s="146"/>
      <c r="IV430" s="146"/>
    </row>
  </sheetData>
  <sheetProtection algorithmName="SHA-512" hashValue="xabDlhhPLtQ8dk3FKwC1IwZcsPtpcxugcQdsLSAbhXZa3M/t0pdFcLpSPwYgtefzSzjgVzOJTjwaA94enXQREA==" saltValue="PaofIio+yYeIyf1d3X7now==" spinCount="100000" sheet="1" objects="1" scenarios="1"/>
  <mergeCells count="292"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  <mergeCell ref="A20:A22"/>
    <mergeCell ref="B20:B22"/>
    <mergeCell ref="A23:A25"/>
    <mergeCell ref="B23:B25"/>
    <mergeCell ref="A26:A28"/>
    <mergeCell ref="B26:B28"/>
    <mergeCell ref="N9:N10"/>
    <mergeCell ref="P9:P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L9:L10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128:A130"/>
    <mergeCell ref="B128:B130"/>
    <mergeCell ref="A131:A133"/>
    <mergeCell ref="B131:B133"/>
    <mergeCell ref="A134:A136"/>
    <mergeCell ref="B134:B136"/>
    <mergeCell ref="A119:A121"/>
    <mergeCell ref="B119:B121"/>
    <mergeCell ref="A122:A124"/>
    <mergeCell ref="B122:B124"/>
    <mergeCell ref="A125:A127"/>
    <mergeCell ref="B125:B127"/>
    <mergeCell ref="A146:A148"/>
    <mergeCell ref="B146:B148"/>
    <mergeCell ref="A149:A151"/>
    <mergeCell ref="B149:B151"/>
    <mergeCell ref="A152:A154"/>
    <mergeCell ref="B152:B154"/>
    <mergeCell ref="A137:A139"/>
    <mergeCell ref="B137:B139"/>
    <mergeCell ref="A140:A142"/>
    <mergeCell ref="B140:B142"/>
    <mergeCell ref="A143:A145"/>
    <mergeCell ref="B143:B145"/>
    <mergeCell ref="A164:A166"/>
    <mergeCell ref="B164:B166"/>
    <mergeCell ref="A167:A169"/>
    <mergeCell ref="B167:B169"/>
    <mergeCell ref="A170:A172"/>
    <mergeCell ref="B170:B172"/>
    <mergeCell ref="A155:A157"/>
    <mergeCell ref="B155:B157"/>
    <mergeCell ref="A158:A160"/>
    <mergeCell ref="B158:B160"/>
    <mergeCell ref="A161:A163"/>
    <mergeCell ref="B161:B163"/>
    <mergeCell ref="A182:A184"/>
    <mergeCell ref="B182:B184"/>
    <mergeCell ref="A185:A187"/>
    <mergeCell ref="B185:B187"/>
    <mergeCell ref="A188:A190"/>
    <mergeCell ref="B188:B190"/>
    <mergeCell ref="A173:A175"/>
    <mergeCell ref="B173:B175"/>
    <mergeCell ref="A176:A178"/>
    <mergeCell ref="B176:B178"/>
    <mergeCell ref="A179:A181"/>
    <mergeCell ref="B179:B181"/>
    <mergeCell ref="A200:A202"/>
    <mergeCell ref="B200:B202"/>
    <mergeCell ref="A203:A205"/>
    <mergeCell ref="B203:B205"/>
    <mergeCell ref="A206:A208"/>
    <mergeCell ref="B206:B208"/>
    <mergeCell ref="A191:A193"/>
    <mergeCell ref="B191:B193"/>
    <mergeCell ref="A194:A196"/>
    <mergeCell ref="B194:B196"/>
    <mergeCell ref="A197:A199"/>
    <mergeCell ref="B197:B199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72:A274"/>
    <mergeCell ref="B272:B274"/>
    <mergeCell ref="A275:A277"/>
    <mergeCell ref="B275:B277"/>
    <mergeCell ref="A278:A280"/>
    <mergeCell ref="B278:B280"/>
    <mergeCell ref="A263:A265"/>
    <mergeCell ref="B263:B265"/>
    <mergeCell ref="A266:A268"/>
    <mergeCell ref="B266:B268"/>
    <mergeCell ref="A269:A271"/>
    <mergeCell ref="B269:B271"/>
    <mergeCell ref="A290:A292"/>
    <mergeCell ref="B290:B292"/>
    <mergeCell ref="A293:A295"/>
    <mergeCell ref="B293:B295"/>
    <mergeCell ref="A296:A298"/>
    <mergeCell ref="B296:B298"/>
    <mergeCell ref="A281:A283"/>
    <mergeCell ref="B281:B283"/>
    <mergeCell ref="A284:A286"/>
    <mergeCell ref="B284:B286"/>
    <mergeCell ref="A287:A289"/>
    <mergeCell ref="B287:B289"/>
    <mergeCell ref="A308:A310"/>
    <mergeCell ref="B308:B310"/>
    <mergeCell ref="A311:A313"/>
    <mergeCell ref="B311:B313"/>
    <mergeCell ref="A314:A316"/>
    <mergeCell ref="B314:B316"/>
    <mergeCell ref="A299:A301"/>
    <mergeCell ref="B299:B301"/>
    <mergeCell ref="A302:A304"/>
    <mergeCell ref="B302:B304"/>
    <mergeCell ref="A305:A307"/>
    <mergeCell ref="B305:B307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344:A346"/>
    <mergeCell ref="B344:B346"/>
    <mergeCell ref="A347:A349"/>
    <mergeCell ref="B347:B349"/>
    <mergeCell ref="A350:A352"/>
    <mergeCell ref="B350:B352"/>
    <mergeCell ref="A335:A337"/>
    <mergeCell ref="B335:B337"/>
    <mergeCell ref="A338:A340"/>
    <mergeCell ref="B338:B340"/>
    <mergeCell ref="A341:A343"/>
    <mergeCell ref="B341:B343"/>
    <mergeCell ref="A362:A364"/>
    <mergeCell ref="B362:B364"/>
    <mergeCell ref="A365:A367"/>
    <mergeCell ref="B365:B367"/>
    <mergeCell ref="A368:A370"/>
    <mergeCell ref="B368:B370"/>
    <mergeCell ref="A353:A355"/>
    <mergeCell ref="B353:B355"/>
    <mergeCell ref="A356:A358"/>
    <mergeCell ref="B356:B358"/>
    <mergeCell ref="A359:A361"/>
    <mergeCell ref="B359:B361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A416:A418"/>
    <mergeCell ref="B416:B418"/>
    <mergeCell ref="A419:A421"/>
    <mergeCell ref="B419:B421"/>
    <mergeCell ref="A423:A425"/>
    <mergeCell ref="B423:B425"/>
    <mergeCell ref="A407:A409"/>
    <mergeCell ref="B407:B409"/>
    <mergeCell ref="A410:A412"/>
    <mergeCell ref="B410:B412"/>
    <mergeCell ref="A413:A415"/>
    <mergeCell ref="B413:B41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A228-8C11-4392-95BA-DEE454ADD1C3}">
  <dimension ref="A1:G346"/>
  <sheetViews>
    <sheetView view="pageBreakPreview" topLeftCell="A327" zoomScaleNormal="106" zoomScaleSheetLayoutView="100" workbookViewId="0">
      <selection activeCell="C343" sqref="C343"/>
    </sheetView>
  </sheetViews>
  <sheetFormatPr defaultRowHeight="12.75"/>
  <cols>
    <col min="1" max="1" width="7.25" style="240" customWidth="1"/>
    <col min="2" max="2" width="7.125" style="240" customWidth="1"/>
    <col min="3" max="3" width="42.25" style="240" customWidth="1"/>
    <col min="4" max="4" width="13.875" style="240" customWidth="1"/>
    <col min="5" max="6" width="12.25" style="240" customWidth="1"/>
    <col min="7" max="7" width="14.125" style="240" customWidth="1"/>
    <col min="8" max="252" width="9" style="240"/>
    <col min="253" max="253" width="7.25" style="240" customWidth="1"/>
    <col min="254" max="254" width="7.125" style="240" customWidth="1"/>
    <col min="255" max="255" width="42.25" style="240" customWidth="1"/>
    <col min="256" max="256" width="13.875" style="240" customWidth="1"/>
    <col min="257" max="258" width="12.25" style="240" customWidth="1"/>
    <col min="259" max="259" width="14.125" style="240" customWidth="1"/>
    <col min="260" max="508" width="9" style="240"/>
    <col min="509" max="509" width="7.25" style="240" customWidth="1"/>
    <col min="510" max="510" width="7.125" style="240" customWidth="1"/>
    <col min="511" max="511" width="42.25" style="240" customWidth="1"/>
    <col min="512" max="512" width="13.875" style="240" customWidth="1"/>
    <col min="513" max="514" width="12.25" style="240" customWidth="1"/>
    <col min="515" max="515" width="14.125" style="240" customWidth="1"/>
    <col min="516" max="764" width="9" style="240"/>
    <col min="765" max="765" width="7.25" style="240" customWidth="1"/>
    <col min="766" max="766" width="7.125" style="240" customWidth="1"/>
    <col min="767" max="767" width="42.25" style="240" customWidth="1"/>
    <col min="768" max="768" width="13.875" style="240" customWidth="1"/>
    <col min="769" max="770" width="12.25" style="240" customWidth="1"/>
    <col min="771" max="771" width="14.125" style="240" customWidth="1"/>
    <col min="772" max="1020" width="9" style="240"/>
    <col min="1021" max="1021" width="7.25" style="240" customWidth="1"/>
    <col min="1022" max="1022" width="7.125" style="240" customWidth="1"/>
    <col min="1023" max="1023" width="42.25" style="240" customWidth="1"/>
    <col min="1024" max="1024" width="13.875" style="240" customWidth="1"/>
    <col min="1025" max="1026" width="12.25" style="240" customWidth="1"/>
    <col min="1027" max="1027" width="14.125" style="240" customWidth="1"/>
    <col min="1028" max="1276" width="9" style="240"/>
    <col min="1277" max="1277" width="7.25" style="240" customWidth="1"/>
    <col min="1278" max="1278" width="7.125" style="240" customWidth="1"/>
    <col min="1279" max="1279" width="42.25" style="240" customWidth="1"/>
    <col min="1280" max="1280" width="13.875" style="240" customWidth="1"/>
    <col min="1281" max="1282" width="12.25" style="240" customWidth="1"/>
    <col min="1283" max="1283" width="14.125" style="240" customWidth="1"/>
    <col min="1284" max="1532" width="9" style="240"/>
    <col min="1533" max="1533" width="7.25" style="240" customWidth="1"/>
    <col min="1534" max="1534" width="7.125" style="240" customWidth="1"/>
    <col min="1535" max="1535" width="42.25" style="240" customWidth="1"/>
    <col min="1536" max="1536" width="13.875" style="240" customWidth="1"/>
    <col min="1537" max="1538" width="12.25" style="240" customWidth="1"/>
    <col min="1539" max="1539" width="14.125" style="240" customWidth="1"/>
    <col min="1540" max="1788" width="9" style="240"/>
    <col min="1789" max="1789" width="7.25" style="240" customWidth="1"/>
    <col min="1790" max="1790" width="7.125" style="240" customWidth="1"/>
    <col min="1791" max="1791" width="42.25" style="240" customWidth="1"/>
    <col min="1792" max="1792" width="13.875" style="240" customWidth="1"/>
    <col min="1793" max="1794" width="12.25" style="240" customWidth="1"/>
    <col min="1795" max="1795" width="14.125" style="240" customWidth="1"/>
    <col min="1796" max="2044" width="9" style="240"/>
    <col min="2045" max="2045" width="7.25" style="240" customWidth="1"/>
    <col min="2046" max="2046" width="7.125" style="240" customWidth="1"/>
    <col min="2047" max="2047" width="42.25" style="240" customWidth="1"/>
    <col min="2048" max="2048" width="13.875" style="240" customWidth="1"/>
    <col min="2049" max="2050" width="12.25" style="240" customWidth="1"/>
    <col min="2051" max="2051" width="14.125" style="240" customWidth="1"/>
    <col min="2052" max="2300" width="9" style="240"/>
    <col min="2301" max="2301" width="7.25" style="240" customWidth="1"/>
    <col min="2302" max="2302" width="7.125" style="240" customWidth="1"/>
    <col min="2303" max="2303" width="42.25" style="240" customWidth="1"/>
    <col min="2304" max="2304" width="13.875" style="240" customWidth="1"/>
    <col min="2305" max="2306" width="12.25" style="240" customWidth="1"/>
    <col min="2307" max="2307" width="14.125" style="240" customWidth="1"/>
    <col min="2308" max="2556" width="9" style="240"/>
    <col min="2557" max="2557" width="7.25" style="240" customWidth="1"/>
    <col min="2558" max="2558" width="7.125" style="240" customWidth="1"/>
    <col min="2559" max="2559" width="42.25" style="240" customWidth="1"/>
    <col min="2560" max="2560" width="13.875" style="240" customWidth="1"/>
    <col min="2561" max="2562" width="12.25" style="240" customWidth="1"/>
    <col min="2563" max="2563" width="14.125" style="240" customWidth="1"/>
    <col min="2564" max="2812" width="9" style="240"/>
    <col min="2813" max="2813" width="7.25" style="240" customWidth="1"/>
    <col min="2814" max="2814" width="7.125" style="240" customWidth="1"/>
    <col min="2815" max="2815" width="42.25" style="240" customWidth="1"/>
    <col min="2816" max="2816" width="13.875" style="240" customWidth="1"/>
    <col min="2817" max="2818" width="12.25" style="240" customWidth="1"/>
    <col min="2819" max="2819" width="14.125" style="240" customWidth="1"/>
    <col min="2820" max="3068" width="9" style="240"/>
    <col min="3069" max="3069" width="7.25" style="240" customWidth="1"/>
    <col min="3070" max="3070" width="7.125" style="240" customWidth="1"/>
    <col min="3071" max="3071" width="42.25" style="240" customWidth="1"/>
    <col min="3072" max="3072" width="13.875" style="240" customWidth="1"/>
    <col min="3073" max="3074" width="12.25" style="240" customWidth="1"/>
    <col min="3075" max="3075" width="14.125" style="240" customWidth="1"/>
    <col min="3076" max="3324" width="9" style="240"/>
    <col min="3325" max="3325" width="7.25" style="240" customWidth="1"/>
    <col min="3326" max="3326" width="7.125" style="240" customWidth="1"/>
    <col min="3327" max="3327" width="42.25" style="240" customWidth="1"/>
    <col min="3328" max="3328" width="13.875" style="240" customWidth="1"/>
    <col min="3329" max="3330" width="12.25" style="240" customWidth="1"/>
    <col min="3331" max="3331" width="14.125" style="240" customWidth="1"/>
    <col min="3332" max="3580" width="9" style="240"/>
    <col min="3581" max="3581" width="7.25" style="240" customWidth="1"/>
    <col min="3582" max="3582" width="7.125" style="240" customWidth="1"/>
    <col min="3583" max="3583" width="42.25" style="240" customWidth="1"/>
    <col min="3584" max="3584" width="13.875" style="240" customWidth="1"/>
    <col min="3585" max="3586" width="12.25" style="240" customWidth="1"/>
    <col min="3587" max="3587" width="14.125" style="240" customWidth="1"/>
    <col min="3588" max="3836" width="9" style="240"/>
    <col min="3837" max="3837" width="7.25" style="240" customWidth="1"/>
    <col min="3838" max="3838" width="7.125" style="240" customWidth="1"/>
    <col min="3839" max="3839" width="42.25" style="240" customWidth="1"/>
    <col min="3840" max="3840" width="13.875" style="240" customWidth="1"/>
    <col min="3841" max="3842" width="12.25" style="240" customWidth="1"/>
    <col min="3843" max="3843" width="14.125" style="240" customWidth="1"/>
    <col min="3844" max="4092" width="9" style="240"/>
    <col min="4093" max="4093" width="7.25" style="240" customWidth="1"/>
    <col min="4094" max="4094" width="7.125" style="240" customWidth="1"/>
    <col min="4095" max="4095" width="42.25" style="240" customWidth="1"/>
    <col min="4096" max="4096" width="13.875" style="240" customWidth="1"/>
    <col min="4097" max="4098" width="12.25" style="240" customWidth="1"/>
    <col min="4099" max="4099" width="14.125" style="240" customWidth="1"/>
    <col min="4100" max="4348" width="9" style="240"/>
    <col min="4349" max="4349" width="7.25" style="240" customWidth="1"/>
    <col min="4350" max="4350" width="7.125" style="240" customWidth="1"/>
    <col min="4351" max="4351" width="42.25" style="240" customWidth="1"/>
    <col min="4352" max="4352" width="13.875" style="240" customWidth="1"/>
    <col min="4353" max="4354" width="12.25" style="240" customWidth="1"/>
    <col min="4355" max="4355" width="14.125" style="240" customWidth="1"/>
    <col min="4356" max="4604" width="9" style="240"/>
    <col min="4605" max="4605" width="7.25" style="240" customWidth="1"/>
    <col min="4606" max="4606" width="7.125" style="240" customWidth="1"/>
    <col min="4607" max="4607" width="42.25" style="240" customWidth="1"/>
    <col min="4608" max="4608" width="13.875" style="240" customWidth="1"/>
    <col min="4609" max="4610" width="12.25" style="240" customWidth="1"/>
    <col min="4611" max="4611" width="14.125" style="240" customWidth="1"/>
    <col min="4612" max="4860" width="9" style="240"/>
    <col min="4861" max="4861" width="7.25" style="240" customWidth="1"/>
    <col min="4862" max="4862" width="7.125" style="240" customWidth="1"/>
    <col min="4863" max="4863" width="42.25" style="240" customWidth="1"/>
    <col min="4864" max="4864" width="13.875" style="240" customWidth="1"/>
    <col min="4865" max="4866" width="12.25" style="240" customWidth="1"/>
    <col min="4867" max="4867" width="14.125" style="240" customWidth="1"/>
    <col min="4868" max="5116" width="9" style="240"/>
    <col min="5117" max="5117" width="7.25" style="240" customWidth="1"/>
    <col min="5118" max="5118" width="7.125" style="240" customWidth="1"/>
    <col min="5119" max="5119" width="42.25" style="240" customWidth="1"/>
    <col min="5120" max="5120" width="13.875" style="240" customWidth="1"/>
    <col min="5121" max="5122" width="12.25" style="240" customWidth="1"/>
    <col min="5123" max="5123" width="14.125" style="240" customWidth="1"/>
    <col min="5124" max="5372" width="9" style="240"/>
    <col min="5373" max="5373" width="7.25" style="240" customWidth="1"/>
    <col min="5374" max="5374" width="7.125" style="240" customWidth="1"/>
    <col min="5375" max="5375" width="42.25" style="240" customWidth="1"/>
    <col min="5376" max="5376" width="13.875" style="240" customWidth="1"/>
    <col min="5377" max="5378" width="12.25" style="240" customWidth="1"/>
    <col min="5379" max="5379" width="14.125" style="240" customWidth="1"/>
    <col min="5380" max="5628" width="9" style="240"/>
    <col min="5629" max="5629" width="7.25" style="240" customWidth="1"/>
    <col min="5630" max="5630" width="7.125" style="240" customWidth="1"/>
    <col min="5631" max="5631" width="42.25" style="240" customWidth="1"/>
    <col min="5632" max="5632" width="13.875" style="240" customWidth="1"/>
    <col min="5633" max="5634" width="12.25" style="240" customWidth="1"/>
    <col min="5635" max="5635" width="14.125" style="240" customWidth="1"/>
    <col min="5636" max="5884" width="9" style="240"/>
    <col min="5885" max="5885" width="7.25" style="240" customWidth="1"/>
    <col min="5886" max="5886" width="7.125" style="240" customWidth="1"/>
    <col min="5887" max="5887" width="42.25" style="240" customWidth="1"/>
    <col min="5888" max="5888" width="13.875" style="240" customWidth="1"/>
    <col min="5889" max="5890" width="12.25" style="240" customWidth="1"/>
    <col min="5891" max="5891" width="14.125" style="240" customWidth="1"/>
    <col min="5892" max="6140" width="9" style="240"/>
    <col min="6141" max="6141" width="7.25" style="240" customWidth="1"/>
    <col min="6142" max="6142" width="7.125" style="240" customWidth="1"/>
    <col min="6143" max="6143" width="42.25" style="240" customWidth="1"/>
    <col min="6144" max="6144" width="13.875" style="240" customWidth="1"/>
    <col min="6145" max="6146" width="12.25" style="240" customWidth="1"/>
    <col min="6147" max="6147" width="14.125" style="240" customWidth="1"/>
    <col min="6148" max="6396" width="9" style="240"/>
    <col min="6397" max="6397" width="7.25" style="240" customWidth="1"/>
    <col min="6398" max="6398" width="7.125" style="240" customWidth="1"/>
    <col min="6399" max="6399" width="42.25" style="240" customWidth="1"/>
    <col min="6400" max="6400" width="13.875" style="240" customWidth="1"/>
    <col min="6401" max="6402" width="12.25" style="240" customWidth="1"/>
    <col min="6403" max="6403" width="14.125" style="240" customWidth="1"/>
    <col min="6404" max="6652" width="9" style="240"/>
    <col min="6653" max="6653" width="7.25" style="240" customWidth="1"/>
    <col min="6654" max="6654" width="7.125" style="240" customWidth="1"/>
    <col min="6655" max="6655" width="42.25" style="240" customWidth="1"/>
    <col min="6656" max="6656" width="13.875" style="240" customWidth="1"/>
    <col min="6657" max="6658" width="12.25" style="240" customWidth="1"/>
    <col min="6659" max="6659" width="14.125" style="240" customWidth="1"/>
    <col min="6660" max="6908" width="9" style="240"/>
    <col min="6909" max="6909" width="7.25" style="240" customWidth="1"/>
    <col min="6910" max="6910" width="7.125" style="240" customWidth="1"/>
    <col min="6911" max="6911" width="42.25" style="240" customWidth="1"/>
    <col min="6912" max="6912" width="13.875" style="240" customWidth="1"/>
    <col min="6913" max="6914" width="12.25" style="240" customWidth="1"/>
    <col min="6915" max="6915" width="14.125" style="240" customWidth="1"/>
    <col min="6916" max="7164" width="9" style="240"/>
    <col min="7165" max="7165" width="7.25" style="240" customWidth="1"/>
    <col min="7166" max="7166" width="7.125" style="240" customWidth="1"/>
    <col min="7167" max="7167" width="42.25" style="240" customWidth="1"/>
    <col min="7168" max="7168" width="13.875" style="240" customWidth="1"/>
    <col min="7169" max="7170" width="12.25" style="240" customWidth="1"/>
    <col min="7171" max="7171" width="14.125" style="240" customWidth="1"/>
    <col min="7172" max="7420" width="9" style="240"/>
    <col min="7421" max="7421" width="7.25" style="240" customWidth="1"/>
    <col min="7422" max="7422" width="7.125" style="240" customWidth="1"/>
    <col min="7423" max="7423" width="42.25" style="240" customWidth="1"/>
    <col min="7424" max="7424" width="13.875" style="240" customWidth="1"/>
    <col min="7425" max="7426" width="12.25" style="240" customWidth="1"/>
    <col min="7427" max="7427" width="14.125" style="240" customWidth="1"/>
    <col min="7428" max="7676" width="9" style="240"/>
    <col min="7677" max="7677" width="7.25" style="240" customWidth="1"/>
    <col min="7678" max="7678" width="7.125" style="240" customWidth="1"/>
    <col min="7679" max="7679" width="42.25" style="240" customWidth="1"/>
    <col min="7680" max="7680" width="13.875" style="240" customWidth="1"/>
    <col min="7681" max="7682" width="12.25" style="240" customWidth="1"/>
    <col min="7683" max="7683" width="14.125" style="240" customWidth="1"/>
    <col min="7684" max="7932" width="9" style="240"/>
    <col min="7933" max="7933" width="7.25" style="240" customWidth="1"/>
    <col min="7934" max="7934" width="7.125" style="240" customWidth="1"/>
    <col min="7935" max="7935" width="42.25" style="240" customWidth="1"/>
    <col min="7936" max="7936" width="13.875" style="240" customWidth="1"/>
    <col min="7937" max="7938" width="12.25" style="240" customWidth="1"/>
    <col min="7939" max="7939" width="14.125" style="240" customWidth="1"/>
    <col min="7940" max="8188" width="9" style="240"/>
    <col min="8189" max="8189" width="7.25" style="240" customWidth="1"/>
    <col min="8190" max="8190" width="7.125" style="240" customWidth="1"/>
    <col min="8191" max="8191" width="42.25" style="240" customWidth="1"/>
    <col min="8192" max="8192" width="13.875" style="240" customWidth="1"/>
    <col min="8193" max="8194" width="12.25" style="240" customWidth="1"/>
    <col min="8195" max="8195" width="14.125" style="240" customWidth="1"/>
    <col min="8196" max="8444" width="9" style="240"/>
    <col min="8445" max="8445" width="7.25" style="240" customWidth="1"/>
    <col min="8446" max="8446" width="7.125" style="240" customWidth="1"/>
    <col min="8447" max="8447" width="42.25" style="240" customWidth="1"/>
    <col min="8448" max="8448" width="13.875" style="240" customWidth="1"/>
    <col min="8449" max="8450" width="12.25" style="240" customWidth="1"/>
    <col min="8451" max="8451" width="14.125" style="240" customWidth="1"/>
    <col min="8452" max="8700" width="9" style="240"/>
    <col min="8701" max="8701" width="7.25" style="240" customWidth="1"/>
    <col min="8702" max="8702" width="7.125" style="240" customWidth="1"/>
    <col min="8703" max="8703" width="42.25" style="240" customWidth="1"/>
    <col min="8704" max="8704" width="13.875" style="240" customWidth="1"/>
    <col min="8705" max="8706" width="12.25" style="240" customWidth="1"/>
    <col min="8707" max="8707" width="14.125" style="240" customWidth="1"/>
    <col min="8708" max="8956" width="9" style="240"/>
    <col min="8957" max="8957" width="7.25" style="240" customWidth="1"/>
    <col min="8958" max="8958" width="7.125" style="240" customWidth="1"/>
    <col min="8959" max="8959" width="42.25" style="240" customWidth="1"/>
    <col min="8960" max="8960" width="13.875" style="240" customWidth="1"/>
    <col min="8961" max="8962" width="12.25" style="240" customWidth="1"/>
    <col min="8963" max="8963" width="14.125" style="240" customWidth="1"/>
    <col min="8964" max="9212" width="9" style="240"/>
    <col min="9213" max="9213" width="7.25" style="240" customWidth="1"/>
    <col min="9214" max="9214" width="7.125" style="240" customWidth="1"/>
    <col min="9215" max="9215" width="42.25" style="240" customWidth="1"/>
    <col min="9216" max="9216" width="13.875" style="240" customWidth="1"/>
    <col min="9217" max="9218" width="12.25" style="240" customWidth="1"/>
    <col min="9219" max="9219" width="14.125" style="240" customWidth="1"/>
    <col min="9220" max="9468" width="9" style="240"/>
    <col min="9469" max="9469" width="7.25" style="240" customWidth="1"/>
    <col min="9470" max="9470" width="7.125" style="240" customWidth="1"/>
    <col min="9471" max="9471" width="42.25" style="240" customWidth="1"/>
    <col min="9472" max="9472" width="13.875" style="240" customWidth="1"/>
    <col min="9473" max="9474" width="12.25" style="240" customWidth="1"/>
    <col min="9475" max="9475" width="14.125" style="240" customWidth="1"/>
    <col min="9476" max="9724" width="9" style="240"/>
    <col min="9725" max="9725" width="7.25" style="240" customWidth="1"/>
    <col min="9726" max="9726" width="7.125" style="240" customWidth="1"/>
    <col min="9727" max="9727" width="42.25" style="240" customWidth="1"/>
    <col min="9728" max="9728" width="13.875" style="240" customWidth="1"/>
    <col min="9729" max="9730" width="12.25" style="240" customWidth="1"/>
    <col min="9731" max="9731" width="14.125" style="240" customWidth="1"/>
    <col min="9732" max="9980" width="9" style="240"/>
    <col min="9981" max="9981" width="7.25" style="240" customWidth="1"/>
    <col min="9982" max="9982" width="7.125" style="240" customWidth="1"/>
    <col min="9983" max="9983" width="42.25" style="240" customWidth="1"/>
    <col min="9984" max="9984" width="13.875" style="240" customWidth="1"/>
    <col min="9985" max="9986" width="12.25" style="240" customWidth="1"/>
    <col min="9987" max="9987" width="14.125" style="240" customWidth="1"/>
    <col min="9988" max="10236" width="9" style="240"/>
    <col min="10237" max="10237" width="7.25" style="240" customWidth="1"/>
    <col min="10238" max="10238" width="7.125" style="240" customWidth="1"/>
    <col min="10239" max="10239" width="42.25" style="240" customWidth="1"/>
    <col min="10240" max="10240" width="13.875" style="240" customWidth="1"/>
    <col min="10241" max="10242" width="12.25" style="240" customWidth="1"/>
    <col min="10243" max="10243" width="14.125" style="240" customWidth="1"/>
    <col min="10244" max="10492" width="9" style="240"/>
    <col min="10493" max="10493" width="7.25" style="240" customWidth="1"/>
    <col min="10494" max="10494" width="7.125" style="240" customWidth="1"/>
    <col min="10495" max="10495" width="42.25" style="240" customWidth="1"/>
    <col min="10496" max="10496" width="13.875" style="240" customWidth="1"/>
    <col min="10497" max="10498" width="12.25" style="240" customWidth="1"/>
    <col min="10499" max="10499" width="14.125" style="240" customWidth="1"/>
    <col min="10500" max="10748" width="9" style="240"/>
    <col min="10749" max="10749" width="7.25" style="240" customWidth="1"/>
    <col min="10750" max="10750" width="7.125" style="240" customWidth="1"/>
    <col min="10751" max="10751" width="42.25" style="240" customWidth="1"/>
    <col min="10752" max="10752" width="13.875" style="240" customWidth="1"/>
    <col min="10753" max="10754" width="12.25" style="240" customWidth="1"/>
    <col min="10755" max="10755" width="14.125" style="240" customWidth="1"/>
    <col min="10756" max="11004" width="9" style="240"/>
    <col min="11005" max="11005" width="7.25" style="240" customWidth="1"/>
    <col min="11006" max="11006" width="7.125" style="240" customWidth="1"/>
    <col min="11007" max="11007" width="42.25" style="240" customWidth="1"/>
    <col min="11008" max="11008" width="13.875" style="240" customWidth="1"/>
    <col min="11009" max="11010" width="12.25" style="240" customWidth="1"/>
    <col min="11011" max="11011" width="14.125" style="240" customWidth="1"/>
    <col min="11012" max="11260" width="9" style="240"/>
    <col min="11261" max="11261" width="7.25" style="240" customWidth="1"/>
    <col min="11262" max="11262" width="7.125" style="240" customWidth="1"/>
    <col min="11263" max="11263" width="42.25" style="240" customWidth="1"/>
    <col min="11264" max="11264" width="13.875" style="240" customWidth="1"/>
    <col min="11265" max="11266" width="12.25" style="240" customWidth="1"/>
    <col min="11267" max="11267" width="14.125" style="240" customWidth="1"/>
    <col min="11268" max="11516" width="9" style="240"/>
    <col min="11517" max="11517" width="7.25" style="240" customWidth="1"/>
    <col min="11518" max="11518" width="7.125" style="240" customWidth="1"/>
    <col min="11519" max="11519" width="42.25" style="240" customWidth="1"/>
    <col min="11520" max="11520" width="13.875" style="240" customWidth="1"/>
    <col min="11521" max="11522" width="12.25" style="240" customWidth="1"/>
    <col min="11523" max="11523" width="14.125" style="240" customWidth="1"/>
    <col min="11524" max="11772" width="9" style="240"/>
    <col min="11773" max="11773" width="7.25" style="240" customWidth="1"/>
    <col min="11774" max="11774" width="7.125" style="240" customWidth="1"/>
    <col min="11775" max="11775" width="42.25" style="240" customWidth="1"/>
    <col min="11776" max="11776" width="13.875" style="240" customWidth="1"/>
    <col min="11777" max="11778" width="12.25" style="240" customWidth="1"/>
    <col min="11779" max="11779" width="14.125" style="240" customWidth="1"/>
    <col min="11780" max="12028" width="9" style="240"/>
    <col min="12029" max="12029" width="7.25" style="240" customWidth="1"/>
    <col min="12030" max="12030" width="7.125" style="240" customWidth="1"/>
    <col min="12031" max="12031" width="42.25" style="240" customWidth="1"/>
    <col min="12032" max="12032" width="13.875" style="240" customWidth="1"/>
    <col min="12033" max="12034" width="12.25" style="240" customWidth="1"/>
    <col min="12035" max="12035" width="14.125" style="240" customWidth="1"/>
    <col min="12036" max="12284" width="9" style="240"/>
    <col min="12285" max="12285" width="7.25" style="240" customWidth="1"/>
    <col min="12286" max="12286" width="7.125" style="240" customWidth="1"/>
    <col min="12287" max="12287" width="42.25" style="240" customWidth="1"/>
    <col min="12288" max="12288" width="13.875" style="240" customWidth="1"/>
    <col min="12289" max="12290" width="12.25" style="240" customWidth="1"/>
    <col min="12291" max="12291" width="14.125" style="240" customWidth="1"/>
    <col min="12292" max="12540" width="9" style="240"/>
    <col min="12541" max="12541" width="7.25" style="240" customWidth="1"/>
    <col min="12542" max="12542" width="7.125" style="240" customWidth="1"/>
    <col min="12543" max="12543" width="42.25" style="240" customWidth="1"/>
    <col min="12544" max="12544" width="13.875" style="240" customWidth="1"/>
    <col min="12545" max="12546" width="12.25" style="240" customWidth="1"/>
    <col min="12547" max="12547" width="14.125" style="240" customWidth="1"/>
    <col min="12548" max="12796" width="9" style="240"/>
    <col min="12797" max="12797" width="7.25" style="240" customWidth="1"/>
    <col min="12798" max="12798" width="7.125" style="240" customWidth="1"/>
    <col min="12799" max="12799" width="42.25" style="240" customWidth="1"/>
    <col min="12800" max="12800" width="13.875" style="240" customWidth="1"/>
    <col min="12801" max="12802" width="12.25" style="240" customWidth="1"/>
    <col min="12803" max="12803" width="14.125" style="240" customWidth="1"/>
    <col min="12804" max="13052" width="9" style="240"/>
    <col min="13053" max="13053" width="7.25" style="240" customWidth="1"/>
    <col min="13054" max="13054" width="7.125" style="240" customWidth="1"/>
    <col min="13055" max="13055" width="42.25" style="240" customWidth="1"/>
    <col min="13056" max="13056" width="13.875" style="240" customWidth="1"/>
    <col min="13057" max="13058" width="12.25" style="240" customWidth="1"/>
    <col min="13059" max="13059" width="14.125" style="240" customWidth="1"/>
    <col min="13060" max="13308" width="9" style="240"/>
    <col min="13309" max="13309" width="7.25" style="240" customWidth="1"/>
    <col min="13310" max="13310" width="7.125" style="240" customWidth="1"/>
    <col min="13311" max="13311" width="42.25" style="240" customWidth="1"/>
    <col min="13312" max="13312" width="13.875" style="240" customWidth="1"/>
    <col min="13313" max="13314" width="12.25" style="240" customWidth="1"/>
    <col min="13315" max="13315" width="14.125" style="240" customWidth="1"/>
    <col min="13316" max="13564" width="9" style="240"/>
    <col min="13565" max="13565" width="7.25" style="240" customWidth="1"/>
    <col min="13566" max="13566" width="7.125" style="240" customWidth="1"/>
    <col min="13567" max="13567" width="42.25" style="240" customWidth="1"/>
    <col min="13568" max="13568" width="13.875" style="240" customWidth="1"/>
    <col min="13569" max="13570" width="12.25" style="240" customWidth="1"/>
    <col min="13571" max="13571" width="14.125" style="240" customWidth="1"/>
    <col min="13572" max="13820" width="9" style="240"/>
    <col min="13821" max="13821" width="7.25" style="240" customWidth="1"/>
    <col min="13822" max="13822" width="7.125" style="240" customWidth="1"/>
    <col min="13823" max="13823" width="42.25" style="240" customWidth="1"/>
    <col min="13824" max="13824" width="13.875" style="240" customWidth="1"/>
    <col min="13825" max="13826" width="12.25" style="240" customWidth="1"/>
    <col min="13827" max="13827" width="14.125" style="240" customWidth="1"/>
    <col min="13828" max="14076" width="9" style="240"/>
    <col min="14077" max="14077" width="7.25" style="240" customWidth="1"/>
    <col min="14078" max="14078" width="7.125" style="240" customWidth="1"/>
    <col min="14079" max="14079" width="42.25" style="240" customWidth="1"/>
    <col min="14080" max="14080" width="13.875" style="240" customWidth="1"/>
    <col min="14081" max="14082" width="12.25" style="240" customWidth="1"/>
    <col min="14083" max="14083" width="14.125" style="240" customWidth="1"/>
    <col min="14084" max="14332" width="9" style="240"/>
    <col min="14333" max="14333" width="7.25" style="240" customWidth="1"/>
    <col min="14334" max="14334" width="7.125" style="240" customWidth="1"/>
    <col min="14335" max="14335" width="42.25" style="240" customWidth="1"/>
    <col min="14336" max="14336" width="13.875" style="240" customWidth="1"/>
    <col min="14337" max="14338" width="12.25" style="240" customWidth="1"/>
    <col min="14339" max="14339" width="14.125" style="240" customWidth="1"/>
    <col min="14340" max="14588" width="9" style="240"/>
    <col min="14589" max="14589" width="7.25" style="240" customWidth="1"/>
    <col min="14590" max="14590" width="7.125" style="240" customWidth="1"/>
    <col min="14591" max="14591" width="42.25" style="240" customWidth="1"/>
    <col min="14592" max="14592" width="13.875" style="240" customWidth="1"/>
    <col min="14593" max="14594" width="12.25" style="240" customWidth="1"/>
    <col min="14595" max="14595" width="14.125" style="240" customWidth="1"/>
    <col min="14596" max="14844" width="9" style="240"/>
    <col min="14845" max="14845" width="7.25" style="240" customWidth="1"/>
    <col min="14846" max="14846" width="7.125" style="240" customWidth="1"/>
    <col min="14847" max="14847" width="42.25" style="240" customWidth="1"/>
    <col min="14848" max="14848" width="13.875" style="240" customWidth="1"/>
    <col min="14849" max="14850" width="12.25" style="240" customWidth="1"/>
    <col min="14851" max="14851" width="14.125" style="240" customWidth="1"/>
    <col min="14852" max="15100" width="9" style="240"/>
    <col min="15101" max="15101" width="7.25" style="240" customWidth="1"/>
    <col min="15102" max="15102" width="7.125" style="240" customWidth="1"/>
    <col min="15103" max="15103" width="42.25" style="240" customWidth="1"/>
    <col min="15104" max="15104" width="13.875" style="240" customWidth="1"/>
    <col min="15105" max="15106" width="12.25" style="240" customWidth="1"/>
    <col min="15107" max="15107" width="14.125" style="240" customWidth="1"/>
    <col min="15108" max="15356" width="9" style="240"/>
    <col min="15357" max="15357" width="7.25" style="240" customWidth="1"/>
    <col min="15358" max="15358" width="7.125" style="240" customWidth="1"/>
    <col min="15359" max="15359" width="42.25" style="240" customWidth="1"/>
    <col min="15360" max="15360" width="13.875" style="240" customWidth="1"/>
    <col min="15361" max="15362" width="12.25" style="240" customWidth="1"/>
    <col min="15363" max="15363" width="14.125" style="240" customWidth="1"/>
    <col min="15364" max="15612" width="9" style="240"/>
    <col min="15613" max="15613" width="7.25" style="240" customWidth="1"/>
    <col min="15614" max="15614" width="7.125" style="240" customWidth="1"/>
    <col min="15615" max="15615" width="42.25" style="240" customWidth="1"/>
    <col min="15616" max="15616" width="13.875" style="240" customWidth="1"/>
    <col min="15617" max="15618" width="12.25" style="240" customWidth="1"/>
    <col min="15619" max="15619" width="14.125" style="240" customWidth="1"/>
    <col min="15620" max="15868" width="9" style="240"/>
    <col min="15869" max="15869" width="7.25" style="240" customWidth="1"/>
    <col min="15870" max="15870" width="7.125" style="240" customWidth="1"/>
    <col min="15871" max="15871" width="42.25" style="240" customWidth="1"/>
    <col min="15872" max="15872" width="13.875" style="240" customWidth="1"/>
    <col min="15873" max="15874" width="12.25" style="240" customWidth="1"/>
    <col min="15875" max="15875" width="14.125" style="240" customWidth="1"/>
    <col min="15876" max="16124" width="9" style="240"/>
    <col min="16125" max="16125" width="7.25" style="240" customWidth="1"/>
    <col min="16126" max="16126" width="7.125" style="240" customWidth="1"/>
    <col min="16127" max="16127" width="42.25" style="240" customWidth="1"/>
    <col min="16128" max="16128" width="13.875" style="240" customWidth="1"/>
    <col min="16129" max="16130" width="12.25" style="240" customWidth="1"/>
    <col min="16131" max="16131" width="14.125" style="240" customWidth="1"/>
    <col min="16132" max="16384" width="9" style="240"/>
  </cols>
  <sheetData>
    <row r="1" spans="1:7" s="146" customFormat="1">
      <c r="A1" s="204"/>
      <c r="B1" s="206"/>
      <c r="D1" s="144"/>
      <c r="E1" s="144" t="s">
        <v>332</v>
      </c>
      <c r="F1" s="144"/>
      <c r="G1" s="144"/>
    </row>
    <row r="2" spans="1:7" s="146" customFormat="1" ht="13.15" customHeight="1">
      <c r="A2" s="204"/>
      <c r="B2" s="206"/>
      <c r="D2" s="144"/>
      <c r="E2" s="4" t="s">
        <v>155</v>
      </c>
      <c r="F2" s="144"/>
      <c r="G2" s="144"/>
    </row>
    <row r="3" spans="1:7" s="146" customFormat="1">
      <c r="A3" s="204"/>
      <c r="B3" s="206"/>
      <c r="D3" s="144"/>
      <c r="E3" s="4" t="s">
        <v>635</v>
      </c>
      <c r="F3" s="144"/>
      <c r="G3" s="144"/>
    </row>
    <row r="4" spans="1:7" s="146" customFormat="1">
      <c r="A4" s="204"/>
      <c r="B4" s="206"/>
    </row>
    <row r="5" spans="1:7" s="146" customFormat="1" ht="47.25" customHeight="1">
      <c r="A5" s="873" t="s">
        <v>333</v>
      </c>
      <c r="B5" s="873"/>
      <c r="C5" s="873"/>
      <c r="D5" s="873"/>
      <c r="E5" s="873"/>
      <c r="F5" s="873"/>
      <c r="G5" s="873"/>
    </row>
    <row r="6" spans="1:7" s="146" customFormat="1">
      <c r="A6" s="207"/>
      <c r="B6" s="207"/>
      <c r="C6" s="145"/>
      <c r="D6" s="145"/>
      <c r="E6" s="145"/>
      <c r="F6" s="145"/>
      <c r="G6" s="207" t="s">
        <v>35</v>
      </c>
    </row>
    <row r="7" spans="1:7" s="211" customFormat="1">
      <c r="A7" s="208" t="s">
        <v>36</v>
      </c>
      <c r="B7" s="880" t="s">
        <v>76</v>
      </c>
      <c r="C7" s="881" t="s">
        <v>37</v>
      </c>
      <c r="D7" s="209" t="s">
        <v>334</v>
      </c>
      <c r="E7" s="883" t="s">
        <v>335</v>
      </c>
      <c r="F7" s="885" t="s">
        <v>78</v>
      </c>
      <c r="G7" s="210" t="s">
        <v>336</v>
      </c>
    </row>
    <row r="8" spans="1:7" s="211" customFormat="1" ht="14.25" customHeight="1">
      <c r="A8" s="212" t="s">
        <v>337</v>
      </c>
      <c r="B8" s="880"/>
      <c r="C8" s="882"/>
      <c r="D8" s="213" t="s">
        <v>338</v>
      </c>
      <c r="E8" s="884"/>
      <c r="F8" s="886"/>
      <c r="G8" s="214" t="s">
        <v>339</v>
      </c>
    </row>
    <row r="9" spans="1:7" s="217" customFormat="1" ht="12">
      <c r="A9" s="215">
        <v>1</v>
      </c>
      <c r="B9" s="216">
        <v>2</v>
      </c>
      <c r="C9" s="215">
        <v>3</v>
      </c>
      <c r="D9" s="216">
        <v>4</v>
      </c>
      <c r="E9" s="215">
        <v>5</v>
      </c>
      <c r="F9" s="216">
        <v>6</v>
      </c>
      <c r="G9" s="215">
        <v>7</v>
      </c>
    </row>
    <row r="10" spans="1:7" s="223" customFormat="1" ht="18.600000000000001" customHeight="1">
      <c r="A10" s="218"/>
      <c r="B10" s="219"/>
      <c r="C10" s="220" t="s">
        <v>340</v>
      </c>
      <c r="D10" s="221">
        <v>2031778458.1099999</v>
      </c>
      <c r="E10" s="222">
        <f>E11+E27+E33+E49+E53+E56+E59+E105+E109+E142+E183+E221+E267+E274+E307+E332+E341</f>
        <v>89225313.799999997</v>
      </c>
      <c r="F10" s="221">
        <f>F11+F27+F33+F49+F53+F56+F59+F105+F109+F142+F183+F221+F267+F274+F307+F332+F341</f>
        <v>35060932</v>
      </c>
      <c r="G10" s="222">
        <f>D10+E10-F10</f>
        <v>2085942839.9099998</v>
      </c>
    </row>
    <row r="11" spans="1:7" s="229" customFormat="1" ht="15" customHeight="1">
      <c r="A11" s="224" t="s">
        <v>43</v>
      </c>
      <c r="B11" s="225" t="s">
        <v>107</v>
      </c>
      <c r="C11" s="226" t="s">
        <v>44</v>
      </c>
      <c r="D11" s="227">
        <v>155000</v>
      </c>
      <c r="E11" s="228">
        <f>E12</f>
        <v>75000</v>
      </c>
      <c r="F11" s="227">
        <f>F12</f>
        <v>0</v>
      </c>
      <c r="G11" s="228">
        <f>D11+E11-F11</f>
        <v>230000</v>
      </c>
    </row>
    <row r="12" spans="1:7" s="229" customFormat="1" ht="54" customHeight="1">
      <c r="A12" s="230" t="s">
        <v>187</v>
      </c>
      <c r="B12" s="231" t="s">
        <v>107</v>
      </c>
      <c r="C12" s="232" t="s">
        <v>188</v>
      </c>
      <c r="D12" s="233">
        <v>60000</v>
      </c>
      <c r="E12" s="234">
        <f>SUM(E13:E26)</f>
        <v>75000</v>
      </c>
      <c r="F12" s="233">
        <f>SUM(F13:F26)</f>
        <v>0</v>
      </c>
      <c r="G12" s="234">
        <f t="shared" ref="G12:G75" si="0">D12+E12-F12</f>
        <v>135000</v>
      </c>
    </row>
    <row r="13" spans="1:7" ht="15" customHeight="1">
      <c r="A13" s="235" t="s">
        <v>107</v>
      </c>
      <c r="B13" s="236">
        <v>4010</v>
      </c>
      <c r="C13" s="237" t="s">
        <v>341</v>
      </c>
      <c r="D13" s="238">
        <v>0</v>
      </c>
      <c r="E13" s="239">
        <v>49236</v>
      </c>
      <c r="F13" s="238">
        <v>0</v>
      </c>
      <c r="G13" s="239">
        <f t="shared" si="0"/>
        <v>49236</v>
      </c>
    </row>
    <row r="14" spans="1:7" ht="15" customHeight="1">
      <c r="A14" s="235" t="s">
        <v>107</v>
      </c>
      <c r="B14" s="236">
        <v>4110</v>
      </c>
      <c r="C14" s="237" t="s">
        <v>342</v>
      </c>
      <c r="D14" s="238">
        <v>0</v>
      </c>
      <c r="E14" s="239">
        <v>8403</v>
      </c>
      <c r="F14" s="238">
        <v>0</v>
      </c>
      <c r="G14" s="239">
        <f t="shared" si="0"/>
        <v>8403</v>
      </c>
    </row>
    <row r="15" spans="1:7" ht="15" customHeight="1">
      <c r="A15" s="235" t="s">
        <v>107</v>
      </c>
      <c r="B15" s="236">
        <v>4120</v>
      </c>
      <c r="C15" s="237" t="s">
        <v>343</v>
      </c>
      <c r="D15" s="238">
        <v>0</v>
      </c>
      <c r="E15" s="239">
        <v>1216</v>
      </c>
      <c r="F15" s="238">
        <v>0</v>
      </c>
      <c r="G15" s="239">
        <f t="shared" si="0"/>
        <v>1216</v>
      </c>
    </row>
    <row r="16" spans="1:7" ht="15" customHeight="1">
      <c r="A16" s="235" t="s">
        <v>107</v>
      </c>
      <c r="B16" s="236">
        <v>4170</v>
      </c>
      <c r="C16" s="237" t="s">
        <v>344</v>
      </c>
      <c r="D16" s="238">
        <v>0</v>
      </c>
      <c r="E16" s="239">
        <v>400</v>
      </c>
      <c r="F16" s="238">
        <v>0</v>
      </c>
      <c r="G16" s="239">
        <f t="shared" si="0"/>
        <v>400</v>
      </c>
    </row>
    <row r="17" spans="1:7" ht="15" customHeight="1">
      <c r="A17" s="235" t="s">
        <v>107</v>
      </c>
      <c r="B17" s="236">
        <v>4210</v>
      </c>
      <c r="C17" s="237" t="s">
        <v>345</v>
      </c>
      <c r="D17" s="238">
        <v>0</v>
      </c>
      <c r="E17" s="239">
        <v>3000</v>
      </c>
      <c r="F17" s="238">
        <v>0</v>
      </c>
      <c r="G17" s="239">
        <f t="shared" si="0"/>
        <v>3000</v>
      </c>
    </row>
    <row r="18" spans="1:7" ht="15" customHeight="1">
      <c r="A18" s="235" t="s">
        <v>107</v>
      </c>
      <c r="B18" s="236">
        <v>4220</v>
      </c>
      <c r="C18" s="237" t="s">
        <v>346</v>
      </c>
      <c r="D18" s="238">
        <v>0</v>
      </c>
      <c r="E18" s="239">
        <v>500</v>
      </c>
      <c r="F18" s="238">
        <v>0</v>
      </c>
      <c r="G18" s="239">
        <f t="shared" si="0"/>
        <v>500</v>
      </c>
    </row>
    <row r="19" spans="1:7" ht="15" customHeight="1">
      <c r="A19" s="235" t="s">
        <v>107</v>
      </c>
      <c r="B19" s="236">
        <v>4260</v>
      </c>
      <c r="C19" s="237" t="s">
        <v>347</v>
      </c>
      <c r="D19" s="238">
        <v>0</v>
      </c>
      <c r="E19" s="239">
        <v>2000</v>
      </c>
      <c r="F19" s="238">
        <v>0</v>
      </c>
      <c r="G19" s="239">
        <f t="shared" si="0"/>
        <v>2000</v>
      </c>
    </row>
    <row r="20" spans="1:7" ht="15" customHeight="1">
      <c r="A20" s="235" t="s">
        <v>107</v>
      </c>
      <c r="B20" s="236">
        <v>4270</v>
      </c>
      <c r="C20" s="237" t="s">
        <v>348</v>
      </c>
      <c r="D20" s="238">
        <v>0</v>
      </c>
      <c r="E20" s="239">
        <v>2000</v>
      </c>
      <c r="F20" s="238">
        <v>0</v>
      </c>
      <c r="G20" s="239">
        <f t="shared" si="0"/>
        <v>2000</v>
      </c>
    </row>
    <row r="21" spans="1:7" ht="15" customHeight="1">
      <c r="A21" s="235" t="s">
        <v>107</v>
      </c>
      <c r="B21" s="236">
        <v>4300</v>
      </c>
      <c r="C21" s="237" t="s">
        <v>349</v>
      </c>
      <c r="D21" s="238">
        <v>0</v>
      </c>
      <c r="E21" s="239">
        <v>3000</v>
      </c>
      <c r="F21" s="238">
        <v>0</v>
      </c>
      <c r="G21" s="239">
        <f t="shared" si="0"/>
        <v>3000</v>
      </c>
    </row>
    <row r="22" spans="1:7" ht="15" customHeight="1">
      <c r="A22" s="235" t="s">
        <v>107</v>
      </c>
      <c r="B22" s="236">
        <v>4360</v>
      </c>
      <c r="C22" s="237" t="s">
        <v>350</v>
      </c>
      <c r="D22" s="238">
        <v>0</v>
      </c>
      <c r="E22" s="239">
        <v>500</v>
      </c>
      <c r="F22" s="238">
        <v>0</v>
      </c>
      <c r="G22" s="239">
        <f t="shared" si="0"/>
        <v>500</v>
      </c>
    </row>
    <row r="23" spans="1:7" ht="27" customHeight="1">
      <c r="A23" s="235" t="s">
        <v>107</v>
      </c>
      <c r="B23" s="236">
        <v>4400</v>
      </c>
      <c r="C23" s="237" t="s">
        <v>351</v>
      </c>
      <c r="D23" s="238">
        <v>0</v>
      </c>
      <c r="E23" s="239">
        <v>3000</v>
      </c>
      <c r="F23" s="238">
        <v>0</v>
      </c>
      <c r="G23" s="239">
        <f t="shared" si="0"/>
        <v>3000</v>
      </c>
    </row>
    <row r="24" spans="1:7" ht="15" customHeight="1">
      <c r="A24" s="235" t="s">
        <v>107</v>
      </c>
      <c r="B24" s="236">
        <v>4410</v>
      </c>
      <c r="C24" s="237" t="s">
        <v>352</v>
      </c>
      <c r="D24" s="238">
        <v>0</v>
      </c>
      <c r="E24" s="239">
        <v>300</v>
      </c>
      <c r="F24" s="238">
        <v>0</v>
      </c>
      <c r="G24" s="239">
        <f t="shared" si="0"/>
        <v>300</v>
      </c>
    </row>
    <row r="25" spans="1:7" ht="27" customHeight="1">
      <c r="A25" s="235" t="s">
        <v>107</v>
      </c>
      <c r="B25" s="236">
        <v>4700</v>
      </c>
      <c r="C25" s="237" t="s">
        <v>353</v>
      </c>
      <c r="D25" s="238">
        <v>0</v>
      </c>
      <c r="E25" s="239">
        <v>700</v>
      </c>
      <c r="F25" s="238">
        <v>0</v>
      </c>
      <c r="G25" s="239">
        <f t="shared" si="0"/>
        <v>700</v>
      </c>
    </row>
    <row r="26" spans="1:7" ht="15" customHeight="1">
      <c r="A26" s="235" t="s">
        <v>107</v>
      </c>
      <c r="B26" s="236">
        <v>4710</v>
      </c>
      <c r="C26" s="237" t="s">
        <v>354</v>
      </c>
      <c r="D26" s="238">
        <v>0</v>
      </c>
      <c r="E26" s="239">
        <v>745</v>
      </c>
      <c r="F26" s="238">
        <v>0</v>
      </c>
      <c r="G26" s="239">
        <f t="shared" si="0"/>
        <v>745</v>
      </c>
    </row>
    <row r="27" spans="1:7" s="229" customFormat="1" ht="15" customHeight="1">
      <c r="A27" s="224" t="s">
        <v>87</v>
      </c>
      <c r="B27" s="225" t="s">
        <v>107</v>
      </c>
      <c r="C27" s="226" t="s">
        <v>88</v>
      </c>
      <c r="D27" s="227">
        <v>18424154</v>
      </c>
      <c r="E27" s="228">
        <f>E28</f>
        <v>37000</v>
      </c>
      <c r="F27" s="227">
        <f>F28</f>
        <v>37000</v>
      </c>
      <c r="G27" s="228">
        <f t="shared" si="0"/>
        <v>18424154</v>
      </c>
    </row>
    <row r="28" spans="1:7" s="229" customFormat="1" ht="15" customHeight="1">
      <c r="A28" s="230">
        <v>15013</v>
      </c>
      <c r="B28" s="231" t="s">
        <v>107</v>
      </c>
      <c r="C28" s="232" t="s">
        <v>193</v>
      </c>
      <c r="D28" s="233">
        <v>17644212</v>
      </c>
      <c r="E28" s="234">
        <f>SUM(E29:E32)</f>
        <v>37000</v>
      </c>
      <c r="F28" s="233">
        <f>SUM(F29:F32)</f>
        <v>37000</v>
      </c>
      <c r="G28" s="234">
        <f t="shared" si="0"/>
        <v>17644212</v>
      </c>
    </row>
    <row r="29" spans="1:7" ht="15" customHeight="1">
      <c r="A29" s="235" t="s">
        <v>107</v>
      </c>
      <c r="B29" s="236">
        <v>4307</v>
      </c>
      <c r="C29" s="237" t="s">
        <v>349</v>
      </c>
      <c r="D29" s="238">
        <v>10921963</v>
      </c>
      <c r="E29" s="239">
        <v>0</v>
      </c>
      <c r="F29" s="238">
        <v>33104</v>
      </c>
      <c r="G29" s="239">
        <f t="shared" si="0"/>
        <v>10888859</v>
      </c>
    </row>
    <row r="30" spans="1:7" ht="15" customHeight="1">
      <c r="A30" s="235" t="s">
        <v>107</v>
      </c>
      <c r="B30" s="236">
        <v>4309</v>
      </c>
      <c r="C30" s="237" t="s">
        <v>349</v>
      </c>
      <c r="D30" s="238">
        <v>1208458</v>
      </c>
      <c r="E30" s="239">
        <v>0</v>
      </c>
      <c r="F30" s="238">
        <v>3896</v>
      </c>
      <c r="G30" s="239">
        <f t="shared" si="0"/>
        <v>1204562</v>
      </c>
    </row>
    <row r="31" spans="1:7" ht="15" customHeight="1">
      <c r="A31" s="235" t="s">
        <v>107</v>
      </c>
      <c r="B31" s="236">
        <v>6067</v>
      </c>
      <c r="C31" s="237" t="s">
        <v>355</v>
      </c>
      <c r="D31" s="238">
        <v>0</v>
      </c>
      <c r="E31" s="239">
        <v>33104</v>
      </c>
      <c r="F31" s="238">
        <v>0</v>
      </c>
      <c r="G31" s="239">
        <f t="shared" si="0"/>
        <v>33104</v>
      </c>
    </row>
    <row r="32" spans="1:7" ht="15" customHeight="1">
      <c r="A32" s="235" t="s">
        <v>107</v>
      </c>
      <c r="B32" s="236">
        <v>6069</v>
      </c>
      <c r="C32" s="237" t="s">
        <v>355</v>
      </c>
      <c r="D32" s="238">
        <v>0</v>
      </c>
      <c r="E32" s="239">
        <v>3896</v>
      </c>
      <c r="F32" s="238">
        <v>0</v>
      </c>
      <c r="G32" s="239">
        <f t="shared" si="0"/>
        <v>3896</v>
      </c>
    </row>
    <row r="33" spans="1:7" s="229" customFormat="1" ht="15" customHeight="1">
      <c r="A33" s="224" t="s">
        <v>45</v>
      </c>
      <c r="B33" s="225" t="s">
        <v>107</v>
      </c>
      <c r="C33" s="226" t="s">
        <v>46</v>
      </c>
      <c r="D33" s="227">
        <v>817607698</v>
      </c>
      <c r="E33" s="228">
        <f>E34+E37+E45+E47</f>
        <v>20421764</v>
      </c>
      <c r="F33" s="227">
        <f>F34+F37+F45+F47</f>
        <v>6924410</v>
      </c>
      <c r="G33" s="228">
        <f t="shared" si="0"/>
        <v>831105052</v>
      </c>
    </row>
    <row r="34" spans="1:7" s="229" customFormat="1" ht="15" customHeight="1">
      <c r="A34" s="230">
        <v>60003</v>
      </c>
      <c r="B34" s="231" t="s">
        <v>107</v>
      </c>
      <c r="C34" s="232" t="s">
        <v>120</v>
      </c>
      <c r="D34" s="233">
        <v>43421900</v>
      </c>
      <c r="E34" s="234">
        <f>SUM(E35:E36)</f>
        <v>206440</v>
      </c>
      <c r="F34" s="233">
        <f>SUM(F35:F36)</f>
        <v>0</v>
      </c>
      <c r="G34" s="234">
        <f t="shared" si="0"/>
        <v>43628340</v>
      </c>
    </row>
    <row r="35" spans="1:7" ht="57.75" customHeight="1">
      <c r="A35" s="235" t="s">
        <v>107</v>
      </c>
      <c r="B35" s="236">
        <v>2910</v>
      </c>
      <c r="C35" s="237" t="s">
        <v>356</v>
      </c>
      <c r="D35" s="238">
        <v>168000</v>
      </c>
      <c r="E35" s="239">
        <v>148987</v>
      </c>
      <c r="F35" s="238">
        <v>0</v>
      </c>
      <c r="G35" s="239">
        <f t="shared" si="0"/>
        <v>316987</v>
      </c>
    </row>
    <row r="36" spans="1:7" ht="57.75" customHeight="1">
      <c r="A36" s="235" t="s">
        <v>107</v>
      </c>
      <c r="B36" s="236">
        <v>4560</v>
      </c>
      <c r="C36" s="237" t="s">
        <v>357</v>
      </c>
      <c r="D36" s="238">
        <v>22038</v>
      </c>
      <c r="E36" s="239">
        <v>57453</v>
      </c>
      <c r="F36" s="238">
        <v>0</v>
      </c>
      <c r="G36" s="239">
        <f t="shared" si="0"/>
        <v>79491</v>
      </c>
    </row>
    <row r="37" spans="1:7" s="229" customFormat="1" ht="15" customHeight="1">
      <c r="A37" s="230">
        <v>60013</v>
      </c>
      <c r="B37" s="231" t="s">
        <v>107</v>
      </c>
      <c r="C37" s="232" t="s">
        <v>117</v>
      </c>
      <c r="D37" s="233">
        <v>475270380</v>
      </c>
      <c r="E37" s="234">
        <f>SUM(E38:E44)</f>
        <v>19715324</v>
      </c>
      <c r="F37" s="233">
        <f>SUM(F38:F44)</f>
        <v>6848087</v>
      </c>
      <c r="G37" s="234">
        <f t="shared" si="0"/>
        <v>488137617</v>
      </c>
    </row>
    <row r="38" spans="1:7" ht="15" customHeight="1">
      <c r="A38" s="235" t="s">
        <v>107</v>
      </c>
      <c r="B38" s="236">
        <v>4170</v>
      </c>
      <c r="C38" s="237" t="s">
        <v>344</v>
      </c>
      <c r="D38" s="238">
        <v>170000</v>
      </c>
      <c r="E38" s="239">
        <v>511400</v>
      </c>
      <c r="F38" s="238">
        <v>0</v>
      </c>
      <c r="G38" s="239">
        <f t="shared" si="0"/>
        <v>681400</v>
      </c>
    </row>
    <row r="39" spans="1:7" ht="15" customHeight="1">
      <c r="A39" s="235" t="s">
        <v>107</v>
      </c>
      <c r="B39" s="236">
        <v>4270</v>
      </c>
      <c r="C39" s="237" t="s">
        <v>348</v>
      </c>
      <c r="D39" s="238">
        <v>35981084</v>
      </c>
      <c r="E39" s="239">
        <v>3958250</v>
      </c>
      <c r="F39" s="238">
        <v>0</v>
      </c>
      <c r="G39" s="239">
        <f t="shared" si="0"/>
        <v>39939334</v>
      </c>
    </row>
    <row r="40" spans="1:7" ht="15" customHeight="1">
      <c r="A40" s="235" t="s">
        <v>107</v>
      </c>
      <c r="B40" s="236">
        <v>4300</v>
      </c>
      <c r="C40" s="237" t="s">
        <v>349</v>
      </c>
      <c r="D40" s="238">
        <v>20000000</v>
      </c>
      <c r="E40" s="239">
        <v>10271150</v>
      </c>
      <c r="F40" s="238">
        <v>0</v>
      </c>
      <c r="G40" s="239">
        <f t="shared" si="0"/>
        <v>30271150</v>
      </c>
    </row>
    <row r="41" spans="1:7" ht="15" customHeight="1">
      <c r="A41" s="235" t="s">
        <v>107</v>
      </c>
      <c r="B41" s="236">
        <v>4590</v>
      </c>
      <c r="C41" s="237" t="s">
        <v>358</v>
      </c>
      <c r="D41" s="238">
        <v>0</v>
      </c>
      <c r="E41" s="239">
        <v>24700</v>
      </c>
      <c r="F41" s="238">
        <v>0</v>
      </c>
      <c r="G41" s="239">
        <f t="shared" si="0"/>
        <v>24700</v>
      </c>
    </row>
    <row r="42" spans="1:7" ht="15" customHeight="1">
      <c r="A42" s="235" t="s">
        <v>107</v>
      </c>
      <c r="B42" s="236">
        <v>6050</v>
      </c>
      <c r="C42" s="237" t="s">
        <v>359</v>
      </c>
      <c r="D42" s="238">
        <v>302517342</v>
      </c>
      <c r="E42" s="239">
        <v>0</v>
      </c>
      <c r="F42" s="238">
        <v>6848087</v>
      </c>
      <c r="G42" s="239">
        <f t="shared" si="0"/>
        <v>295669255</v>
      </c>
    </row>
    <row r="43" spans="1:7" ht="15" customHeight="1">
      <c r="A43" s="235" t="s">
        <v>107</v>
      </c>
      <c r="B43" s="236">
        <v>6060</v>
      </c>
      <c r="C43" s="237" t="s">
        <v>355</v>
      </c>
      <c r="D43" s="238">
        <v>6086419</v>
      </c>
      <c r="E43" s="239">
        <v>199824</v>
      </c>
      <c r="F43" s="238">
        <v>0</v>
      </c>
      <c r="G43" s="239">
        <f t="shared" si="0"/>
        <v>6286243</v>
      </c>
    </row>
    <row r="44" spans="1:7" ht="41.1" customHeight="1">
      <c r="A44" s="235" t="s">
        <v>107</v>
      </c>
      <c r="B44" s="236">
        <v>6370</v>
      </c>
      <c r="C44" s="237" t="s">
        <v>360</v>
      </c>
      <c r="D44" s="238">
        <v>12825000</v>
      </c>
      <c r="E44" s="239">
        <v>4750000</v>
      </c>
      <c r="F44" s="238">
        <v>0</v>
      </c>
      <c r="G44" s="239">
        <f t="shared" si="0"/>
        <v>17575000</v>
      </c>
    </row>
    <row r="45" spans="1:7" s="229" customFormat="1" ht="15" customHeight="1">
      <c r="A45" s="230">
        <v>60014</v>
      </c>
      <c r="B45" s="231" t="s">
        <v>107</v>
      </c>
      <c r="C45" s="232" t="s">
        <v>202</v>
      </c>
      <c r="D45" s="233">
        <v>3864000</v>
      </c>
      <c r="E45" s="234">
        <f>E46</f>
        <v>500000</v>
      </c>
      <c r="F45" s="233">
        <f>F46</f>
        <v>0</v>
      </c>
      <c r="G45" s="234">
        <f t="shared" si="0"/>
        <v>4364000</v>
      </c>
    </row>
    <row r="46" spans="1:7" ht="41.1" customHeight="1">
      <c r="A46" s="235" t="s">
        <v>107</v>
      </c>
      <c r="B46" s="236">
        <v>2710</v>
      </c>
      <c r="C46" s="237" t="s">
        <v>361</v>
      </c>
      <c r="D46" s="238">
        <v>0</v>
      </c>
      <c r="E46" s="239">
        <v>500000</v>
      </c>
      <c r="F46" s="238">
        <v>0</v>
      </c>
      <c r="G46" s="239">
        <f t="shared" si="0"/>
        <v>500000</v>
      </c>
    </row>
    <row r="47" spans="1:7" s="229" customFormat="1" ht="15" customHeight="1">
      <c r="A47" s="230">
        <v>60016</v>
      </c>
      <c r="B47" s="231" t="s">
        <v>107</v>
      </c>
      <c r="C47" s="232" t="s">
        <v>203</v>
      </c>
      <c r="D47" s="233">
        <v>150000</v>
      </c>
      <c r="E47" s="234">
        <f>E48</f>
        <v>0</v>
      </c>
      <c r="F47" s="233">
        <f>F48</f>
        <v>76323</v>
      </c>
      <c r="G47" s="234">
        <f t="shared" si="0"/>
        <v>73677</v>
      </c>
    </row>
    <row r="48" spans="1:7" ht="42.75" customHeight="1">
      <c r="A48" s="235" t="s">
        <v>107</v>
      </c>
      <c r="B48" s="236">
        <v>6300</v>
      </c>
      <c r="C48" s="237" t="s">
        <v>362</v>
      </c>
      <c r="D48" s="238">
        <v>150000</v>
      </c>
      <c r="E48" s="239">
        <v>0</v>
      </c>
      <c r="F48" s="238">
        <v>76323</v>
      </c>
      <c r="G48" s="239">
        <f t="shared" si="0"/>
        <v>73677</v>
      </c>
    </row>
    <row r="49" spans="1:7" s="229" customFormat="1" ht="15" customHeight="1">
      <c r="A49" s="224" t="s">
        <v>91</v>
      </c>
      <c r="B49" s="225" t="s">
        <v>107</v>
      </c>
      <c r="C49" s="226" t="s">
        <v>92</v>
      </c>
      <c r="D49" s="227">
        <v>2146900</v>
      </c>
      <c r="E49" s="228">
        <f>E50</f>
        <v>450000</v>
      </c>
      <c r="F49" s="227">
        <f>F50</f>
        <v>0</v>
      </c>
      <c r="G49" s="228">
        <f t="shared" si="0"/>
        <v>2596900</v>
      </c>
    </row>
    <row r="50" spans="1:7" s="229" customFormat="1" ht="15" customHeight="1">
      <c r="A50" s="230">
        <v>63095</v>
      </c>
      <c r="B50" s="231" t="s">
        <v>107</v>
      </c>
      <c r="C50" s="232" t="s">
        <v>108</v>
      </c>
      <c r="D50" s="233">
        <v>2146900</v>
      </c>
      <c r="E50" s="234">
        <f>SUM(E51:E52)</f>
        <v>450000</v>
      </c>
      <c r="F50" s="233">
        <f>SUM(F51:F52)</f>
        <v>0</v>
      </c>
      <c r="G50" s="234">
        <f t="shared" si="0"/>
        <v>2596900</v>
      </c>
    </row>
    <row r="51" spans="1:7" ht="15" customHeight="1">
      <c r="A51" s="241" t="s">
        <v>107</v>
      </c>
      <c r="B51" s="242">
        <v>4300</v>
      </c>
      <c r="C51" s="243" t="s">
        <v>349</v>
      </c>
      <c r="D51" s="244">
        <v>744000</v>
      </c>
      <c r="E51" s="245">
        <v>150000</v>
      </c>
      <c r="F51" s="244">
        <v>0</v>
      </c>
      <c r="G51" s="245">
        <f t="shared" si="0"/>
        <v>894000</v>
      </c>
    </row>
    <row r="52" spans="1:7" ht="15" customHeight="1">
      <c r="A52" s="241" t="s">
        <v>107</v>
      </c>
      <c r="B52" s="242">
        <v>4430</v>
      </c>
      <c r="C52" s="243" t="s">
        <v>363</v>
      </c>
      <c r="D52" s="244">
        <v>900000</v>
      </c>
      <c r="E52" s="245">
        <v>300000</v>
      </c>
      <c r="F52" s="244">
        <v>0</v>
      </c>
      <c r="G52" s="245">
        <f t="shared" si="0"/>
        <v>1200000</v>
      </c>
    </row>
    <row r="53" spans="1:7" s="229" customFormat="1" ht="15" customHeight="1">
      <c r="A53" s="224" t="s">
        <v>47</v>
      </c>
      <c r="B53" s="225" t="s">
        <v>107</v>
      </c>
      <c r="C53" s="226" t="s">
        <v>48</v>
      </c>
      <c r="D53" s="227">
        <v>1472099</v>
      </c>
      <c r="E53" s="228">
        <f>E54</f>
        <v>17000</v>
      </c>
      <c r="F53" s="227">
        <f>F54</f>
        <v>0</v>
      </c>
      <c r="G53" s="228">
        <f t="shared" si="0"/>
        <v>1489099</v>
      </c>
    </row>
    <row r="54" spans="1:7" s="229" customFormat="1" ht="15" customHeight="1">
      <c r="A54" s="230">
        <v>70005</v>
      </c>
      <c r="B54" s="231" t="s">
        <v>107</v>
      </c>
      <c r="C54" s="232" t="s">
        <v>210</v>
      </c>
      <c r="D54" s="233">
        <v>1472099</v>
      </c>
      <c r="E54" s="234">
        <f>E55</f>
        <v>17000</v>
      </c>
      <c r="F54" s="233">
        <f>F55</f>
        <v>0</v>
      </c>
      <c r="G54" s="234">
        <f t="shared" si="0"/>
        <v>1489099</v>
      </c>
    </row>
    <row r="55" spans="1:7" ht="15" customHeight="1">
      <c r="A55" s="235" t="s">
        <v>107</v>
      </c>
      <c r="B55" s="236">
        <v>6050</v>
      </c>
      <c r="C55" s="237" t="s">
        <v>359</v>
      </c>
      <c r="D55" s="238">
        <v>599599</v>
      </c>
      <c r="E55" s="239">
        <v>17000</v>
      </c>
      <c r="F55" s="238">
        <v>0</v>
      </c>
      <c r="G55" s="239">
        <f t="shared" si="0"/>
        <v>616599</v>
      </c>
    </row>
    <row r="56" spans="1:7" s="229" customFormat="1" ht="15" customHeight="1">
      <c r="A56" s="224" t="s">
        <v>49</v>
      </c>
      <c r="B56" s="225" t="s">
        <v>107</v>
      </c>
      <c r="C56" s="226" t="s">
        <v>50</v>
      </c>
      <c r="D56" s="227">
        <v>9273499</v>
      </c>
      <c r="E56" s="228">
        <f>E57</f>
        <v>2250000</v>
      </c>
      <c r="F56" s="227">
        <f>F57</f>
        <v>0</v>
      </c>
      <c r="G56" s="228">
        <f t="shared" si="0"/>
        <v>11523499</v>
      </c>
    </row>
    <row r="57" spans="1:7" s="229" customFormat="1" ht="15" customHeight="1">
      <c r="A57" s="230">
        <v>71095</v>
      </c>
      <c r="B57" s="231" t="s">
        <v>107</v>
      </c>
      <c r="C57" s="232" t="s">
        <v>108</v>
      </c>
      <c r="D57" s="233">
        <v>2298000</v>
      </c>
      <c r="E57" s="234">
        <f>E58</f>
        <v>2250000</v>
      </c>
      <c r="F57" s="233">
        <f>F58</f>
        <v>0</v>
      </c>
      <c r="G57" s="234">
        <f t="shared" si="0"/>
        <v>4548000</v>
      </c>
    </row>
    <row r="58" spans="1:7" ht="15" customHeight="1">
      <c r="A58" s="235" t="s">
        <v>107</v>
      </c>
      <c r="B58" s="236">
        <v>6010</v>
      </c>
      <c r="C58" s="237" t="s">
        <v>364</v>
      </c>
      <c r="D58" s="238">
        <v>2298000</v>
      </c>
      <c r="E58" s="239">
        <v>2250000</v>
      </c>
      <c r="F58" s="238">
        <v>0</v>
      </c>
      <c r="G58" s="239">
        <f t="shared" si="0"/>
        <v>4548000</v>
      </c>
    </row>
    <row r="59" spans="1:7" s="229" customFormat="1" ht="15" customHeight="1">
      <c r="A59" s="224" t="s">
        <v>53</v>
      </c>
      <c r="B59" s="225" t="s">
        <v>107</v>
      </c>
      <c r="C59" s="226" t="s">
        <v>54</v>
      </c>
      <c r="D59" s="227">
        <v>238871808</v>
      </c>
      <c r="E59" s="228">
        <f>E60+E72+E75</f>
        <v>10625869</v>
      </c>
      <c r="F59" s="227">
        <f>F60+F72+F75</f>
        <v>29906</v>
      </c>
      <c r="G59" s="228">
        <f t="shared" si="0"/>
        <v>249467771</v>
      </c>
    </row>
    <row r="60" spans="1:7" s="229" customFormat="1" ht="15" customHeight="1">
      <c r="A60" s="230">
        <v>75018</v>
      </c>
      <c r="B60" s="231" t="s">
        <v>107</v>
      </c>
      <c r="C60" s="232" t="s">
        <v>229</v>
      </c>
      <c r="D60" s="233">
        <v>172295311</v>
      </c>
      <c r="E60" s="234">
        <f>SUM(E61:E71)</f>
        <v>2407818</v>
      </c>
      <c r="F60" s="233">
        <f>SUM(F61:F71)</f>
        <v>0</v>
      </c>
      <c r="G60" s="234">
        <f t="shared" si="0"/>
        <v>174703129</v>
      </c>
    </row>
    <row r="61" spans="1:7" ht="57" customHeight="1">
      <c r="A61" s="235" t="s">
        <v>107</v>
      </c>
      <c r="B61" s="236">
        <v>2918</v>
      </c>
      <c r="C61" s="237" t="s">
        <v>356</v>
      </c>
      <c r="D61" s="238">
        <v>0</v>
      </c>
      <c r="E61" s="239">
        <v>4229</v>
      </c>
      <c r="F61" s="238">
        <v>0</v>
      </c>
      <c r="G61" s="239">
        <f t="shared" si="0"/>
        <v>4229</v>
      </c>
    </row>
    <row r="62" spans="1:7" ht="15" customHeight="1">
      <c r="A62" s="235" t="s">
        <v>107</v>
      </c>
      <c r="B62" s="236">
        <v>4210</v>
      </c>
      <c r="C62" s="237" t="s">
        <v>345</v>
      </c>
      <c r="D62" s="238">
        <v>3805500</v>
      </c>
      <c r="E62" s="239">
        <v>250000</v>
      </c>
      <c r="F62" s="238">
        <v>0</v>
      </c>
      <c r="G62" s="239">
        <f t="shared" si="0"/>
        <v>4055500</v>
      </c>
    </row>
    <row r="63" spans="1:7" ht="15" customHeight="1">
      <c r="A63" s="235" t="s">
        <v>107</v>
      </c>
      <c r="B63" s="236">
        <v>4220</v>
      </c>
      <c r="C63" s="237" t="s">
        <v>346</v>
      </c>
      <c r="D63" s="238">
        <v>116600</v>
      </c>
      <c r="E63" s="239">
        <v>1000</v>
      </c>
      <c r="F63" s="238">
        <v>0</v>
      </c>
      <c r="G63" s="239">
        <f t="shared" si="0"/>
        <v>117600</v>
      </c>
    </row>
    <row r="64" spans="1:7" ht="15" customHeight="1">
      <c r="A64" s="235" t="s">
        <v>107</v>
      </c>
      <c r="B64" s="236">
        <v>4260</v>
      </c>
      <c r="C64" s="237" t="s">
        <v>347</v>
      </c>
      <c r="D64" s="238">
        <v>3300000</v>
      </c>
      <c r="E64" s="239">
        <v>300000</v>
      </c>
      <c r="F64" s="238">
        <v>0</v>
      </c>
      <c r="G64" s="239">
        <f t="shared" si="0"/>
        <v>3600000</v>
      </c>
    </row>
    <row r="65" spans="1:7" ht="15" customHeight="1">
      <c r="A65" s="235" t="s">
        <v>107</v>
      </c>
      <c r="B65" s="236">
        <v>4270</v>
      </c>
      <c r="C65" s="237" t="s">
        <v>348</v>
      </c>
      <c r="D65" s="238">
        <v>1074600</v>
      </c>
      <c r="E65" s="239">
        <v>161750</v>
      </c>
      <c r="F65" s="238">
        <v>0</v>
      </c>
      <c r="G65" s="239">
        <f t="shared" si="0"/>
        <v>1236350</v>
      </c>
    </row>
    <row r="66" spans="1:7" ht="15" customHeight="1">
      <c r="A66" s="235" t="s">
        <v>107</v>
      </c>
      <c r="B66" s="236">
        <v>4280</v>
      </c>
      <c r="C66" s="237" t="s">
        <v>365</v>
      </c>
      <c r="D66" s="238">
        <v>84000</v>
      </c>
      <c r="E66" s="239">
        <v>5000</v>
      </c>
      <c r="F66" s="238">
        <v>0</v>
      </c>
      <c r="G66" s="239">
        <f t="shared" si="0"/>
        <v>89000</v>
      </c>
    </row>
    <row r="67" spans="1:7" ht="15" customHeight="1">
      <c r="A67" s="235" t="s">
        <v>107</v>
      </c>
      <c r="B67" s="236">
        <v>4300</v>
      </c>
      <c r="C67" s="237" t="s">
        <v>349</v>
      </c>
      <c r="D67" s="238">
        <v>7420500</v>
      </c>
      <c r="E67" s="239">
        <v>820000</v>
      </c>
      <c r="F67" s="238">
        <v>0</v>
      </c>
      <c r="G67" s="239">
        <f t="shared" si="0"/>
        <v>8240500</v>
      </c>
    </row>
    <row r="68" spans="1:7" ht="15" customHeight="1">
      <c r="A68" s="235" t="s">
        <v>107</v>
      </c>
      <c r="B68" s="236">
        <v>4420</v>
      </c>
      <c r="C68" s="237" t="s">
        <v>366</v>
      </c>
      <c r="D68" s="238">
        <v>300000</v>
      </c>
      <c r="E68" s="239">
        <v>100000</v>
      </c>
      <c r="F68" s="238">
        <v>0</v>
      </c>
      <c r="G68" s="239">
        <f t="shared" si="0"/>
        <v>400000</v>
      </c>
    </row>
    <row r="69" spans="1:7" ht="15" customHeight="1">
      <c r="A69" s="235" t="s">
        <v>107</v>
      </c>
      <c r="B69" s="236">
        <v>4440</v>
      </c>
      <c r="C69" s="237" t="s">
        <v>367</v>
      </c>
      <c r="D69" s="238">
        <v>2868595</v>
      </c>
      <c r="E69" s="239">
        <v>355150</v>
      </c>
      <c r="F69" s="238">
        <v>0</v>
      </c>
      <c r="G69" s="239">
        <f t="shared" si="0"/>
        <v>3223745</v>
      </c>
    </row>
    <row r="70" spans="1:7" ht="15" customHeight="1">
      <c r="A70" s="235" t="s">
        <v>107</v>
      </c>
      <c r="B70" s="236">
        <v>6050</v>
      </c>
      <c r="C70" s="237" t="s">
        <v>359</v>
      </c>
      <c r="D70" s="238">
        <v>7623000</v>
      </c>
      <c r="E70" s="239">
        <v>380000</v>
      </c>
      <c r="F70" s="238">
        <v>0</v>
      </c>
      <c r="G70" s="239">
        <f t="shared" si="0"/>
        <v>8003000</v>
      </c>
    </row>
    <row r="71" spans="1:7" ht="15" customHeight="1">
      <c r="A71" s="235" t="s">
        <v>107</v>
      </c>
      <c r="B71" s="236">
        <v>6060</v>
      </c>
      <c r="C71" s="237" t="s">
        <v>355</v>
      </c>
      <c r="D71" s="238">
        <v>920000</v>
      </c>
      <c r="E71" s="239">
        <v>30689</v>
      </c>
      <c r="F71" s="238">
        <v>0</v>
      </c>
      <c r="G71" s="239">
        <f t="shared" si="0"/>
        <v>950689</v>
      </c>
    </row>
    <row r="72" spans="1:7" s="229" customFormat="1" ht="15" customHeight="1">
      <c r="A72" s="230">
        <v>75075</v>
      </c>
      <c r="B72" s="231" t="s">
        <v>107</v>
      </c>
      <c r="C72" s="232" t="s">
        <v>233</v>
      </c>
      <c r="D72" s="233">
        <v>49925028</v>
      </c>
      <c r="E72" s="234">
        <f>SUM(E73:E74)</f>
        <v>3240000</v>
      </c>
      <c r="F72" s="233">
        <f>SUM(F73:F74)</f>
        <v>0</v>
      </c>
      <c r="G72" s="234">
        <f t="shared" si="0"/>
        <v>53165028</v>
      </c>
    </row>
    <row r="73" spans="1:7" ht="15" customHeight="1">
      <c r="A73" s="235" t="s">
        <v>107</v>
      </c>
      <c r="B73" s="236">
        <v>4170</v>
      </c>
      <c r="C73" s="237" t="s">
        <v>344</v>
      </c>
      <c r="D73" s="238">
        <v>661300</v>
      </c>
      <c r="E73" s="239">
        <v>90000</v>
      </c>
      <c r="F73" s="238">
        <v>0</v>
      </c>
      <c r="G73" s="239">
        <f t="shared" si="0"/>
        <v>751300</v>
      </c>
    </row>
    <row r="74" spans="1:7" ht="15" customHeight="1">
      <c r="A74" s="235" t="s">
        <v>107</v>
      </c>
      <c r="B74" s="236">
        <v>4300</v>
      </c>
      <c r="C74" s="237" t="s">
        <v>349</v>
      </c>
      <c r="D74" s="238">
        <v>30209670</v>
      </c>
      <c r="E74" s="239">
        <v>3150000</v>
      </c>
      <c r="F74" s="238">
        <v>0</v>
      </c>
      <c r="G74" s="239">
        <f t="shared" si="0"/>
        <v>33359670</v>
      </c>
    </row>
    <row r="75" spans="1:7" s="229" customFormat="1" ht="15" customHeight="1">
      <c r="A75" s="230">
        <v>75095</v>
      </c>
      <c r="B75" s="231" t="s">
        <v>107</v>
      </c>
      <c r="C75" s="232" t="s">
        <v>108</v>
      </c>
      <c r="D75" s="233">
        <v>13307469</v>
      </c>
      <c r="E75" s="234">
        <f>SUM(E76:E104)</f>
        <v>4978051</v>
      </c>
      <c r="F75" s="233">
        <f>SUM(F76:F104)</f>
        <v>29906</v>
      </c>
      <c r="G75" s="234">
        <f t="shared" si="0"/>
        <v>18255614</v>
      </c>
    </row>
    <row r="76" spans="1:7" ht="15" customHeight="1">
      <c r="A76" s="235" t="s">
        <v>107</v>
      </c>
      <c r="B76" s="236">
        <v>3028</v>
      </c>
      <c r="C76" s="237" t="s">
        <v>368</v>
      </c>
      <c r="D76" s="238">
        <v>957</v>
      </c>
      <c r="E76" s="239">
        <v>0</v>
      </c>
      <c r="F76" s="238">
        <v>239</v>
      </c>
      <c r="G76" s="239">
        <f t="shared" ref="G76:G139" si="1">D76+E76-F76</f>
        <v>718</v>
      </c>
    </row>
    <row r="77" spans="1:7" ht="15" customHeight="1">
      <c r="A77" s="235" t="s">
        <v>107</v>
      </c>
      <c r="B77" s="236">
        <v>3029</v>
      </c>
      <c r="C77" s="237" t="s">
        <v>368</v>
      </c>
      <c r="D77" s="238">
        <v>243</v>
      </c>
      <c r="E77" s="239">
        <v>0</v>
      </c>
      <c r="F77" s="238">
        <v>61</v>
      </c>
      <c r="G77" s="239">
        <f t="shared" si="1"/>
        <v>182</v>
      </c>
    </row>
    <row r="78" spans="1:7" ht="15" customHeight="1">
      <c r="A78" s="235" t="s">
        <v>107</v>
      </c>
      <c r="B78" s="236">
        <v>4018</v>
      </c>
      <c r="C78" s="237" t="s">
        <v>341</v>
      </c>
      <c r="D78" s="238">
        <v>868839</v>
      </c>
      <c r="E78" s="239">
        <v>95779</v>
      </c>
      <c r="F78" s="238">
        <v>0</v>
      </c>
      <c r="G78" s="239">
        <f t="shared" si="1"/>
        <v>964618</v>
      </c>
    </row>
    <row r="79" spans="1:7" ht="15" customHeight="1">
      <c r="A79" s="235" t="s">
        <v>107</v>
      </c>
      <c r="B79" s="236">
        <v>4019</v>
      </c>
      <c r="C79" s="237" t="s">
        <v>341</v>
      </c>
      <c r="D79" s="238">
        <v>221161</v>
      </c>
      <c r="E79" s="239">
        <v>24381</v>
      </c>
      <c r="F79" s="238">
        <v>0</v>
      </c>
      <c r="G79" s="239">
        <f t="shared" si="1"/>
        <v>245542</v>
      </c>
    </row>
    <row r="80" spans="1:7" ht="15" customHeight="1">
      <c r="A80" s="235" t="s">
        <v>107</v>
      </c>
      <c r="B80" s="236">
        <v>4048</v>
      </c>
      <c r="C80" s="237" t="s">
        <v>369</v>
      </c>
      <c r="D80" s="238">
        <v>71739</v>
      </c>
      <c r="E80" s="239">
        <v>0</v>
      </c>
      <c r="F80" s="238">
        <v>7971</v>
      </c>
      <c r="G80" s="239">
        <f t="shared" si="1"/>
        <v>63768</v>
      </c>
    </row>
    <row r="81" spans="1:7" ht="15" customHeight="1">
      <c r="A81" s="235" t="s">
        <v>107</v>
      </c>
      <c r="B81" s="236">
        <v>4049</v>
      </c>
      <c r="C81" s="237" t="s">
        <v>369</v>
      </c>
      <c r="D81" s="238">
        <v>18261</v>
      </c>
      <c r="E81" s="239">
        <v>0</v>
      </c>
      <c r="F81" s="238">
        <v>2029</v>
      </c>
      <c r="G81" s="239">
        <f t="shared" si="1"/>
        <v>16232</v>
      </c>
    </row>
    <row r="82" spans="1:7" ht="15" customHeight="1">
      <c r="A82" s="235" t="s">
        <v>107</v>
      </c>
      <c r="B82" s="236">
        <v>4118</v>
      </c>
      <c r="C82" s="237" t="s">
        <v>342</v>
      </c>
      <c r="D82" s="238">
        <v>159818</v>
      </c>
      <c r="E82" s="239">
        <v>18187</v>
      </c>
      <c r="F82" s="238">
        <v>0</v>
      </c>
      <c r="G82" s="239">
        <f t="shared" si="1"/>
        <v>178005</v>
      </c>
    </row>
    <row r="83" spans="1:7" ht="15" customHeight="1">
      <c r="A83" s="235" t="s">
        <v>107</v>
      </c>
      <c r="B83" s="236">
        <v>4119</v>
      </c>
      <c r="C83" s="237" t="s">
        <v>342</v>
      </c>
      <c r="D83" s="238">
        <v>40682</v>
      </c>
      <c r="E83" s="239">
        <v>4628</v>
      </c>
      <c r="F83" s="238">
        <v>0</v>
      </c>
      <c r="G83" s="239">
        <f t="shared" si="1"/>
        <v>45310</v>
      </c>
    </row>
    <row r="84" spans="1:7" ht="15" customHeight="1">
      <c r="A84" s="235" t="s">
        <v>107</v>
      </c>
      <c r="B84" s="236">
        <v>4128</v>
      </c>
      <c r="C84" s="237" t="s">
        <v>343</v>
      </c>
      <c r="D84" s="238">
        <v>17217</v>
      </c>
      <c r="E84" s="239">
        <v>2497</v>
      </c>
      <c r="F84" s="238">
        <v>0</v>
      </c>
      <c r="G84" s="239">
        <f t="shared" si="1"/>
        <v>19714</v>
      </c>
    </row>
    <row r="85" spans="1:7" ht="15" customHeight="1">
      <c r="A85" s="235" t="s">
        <v>107</v>
      </c>
      <c r="B85" s="236">
        <v>4129</v>
      </c>
      <c r="C85" s="237" t="s">
        <v>343</v>
      </c>
      <c r="D85" s="238">
        <v>4383</v>
      </c>
      <c r="E85" s="239">
        <v>636</v>
      </c>
      <c r="F85" s="238">
        <v>0</v>
      </c>
      <c r="G85" s="239">
        <f t="shared" si="1"/>
        <v>5019</v>
      </c>
    </row>
    <row r="86" spans="1:7" ht="15" customHeight="1">
      <c r="A86" s="235" t="s">
        <v>107</v>
      </c>
      <c r="B86" s="236">
        <v>4218</v>
      </c>
      <c r="C86" s="237" t="s">
        <v>345</v>
      </c>
      <c r="D86" s="238">
        <v>12355</v>
      </c>
      <c r="E86" s="239">
        <v>0</v>
      </c>
      <c r="F86" s="238">
        <v>5266</v>
      </c>
      <c r="G86" s="239">
        <f t="shared" si="1"/>
        <v>7089</v>
      </c>
    </row>
    <row r="87" spans="1:7" ht="15" customHeight="1">
      <c r="A87" s="235" t="s">
        <v>107</v>
      </c>
      <c r="B87" s="236">
        <v>4219</v>
      </c>
      <c r="C87" s="237" t="s">
        <v>345</v>
      </c>
      <c r="D87" s="238">
        <v>3145</v>
      </c>
      <c r="E87" s="239">
        <v>0</v>
      </c>
      <c r="F87" s="238">
        <v>1340</v>
      </c>
      <c r="G87" s="239">
        <f t="shared" si="1"/>
        <v>1805</v>
      </c>
    </row>
    <row r="88" spans="1:7" ht="15" customHeight="1">
      <c r="A88" s="235" t="s">
        <v>107</v>
      </c>
      <c r="B88" s="236">
        <v>4228</v>
      </c>
      <c r="C88" s="237" t="s">
        <v>346</v>
      </c>
      <c r="D88" s="238">
        <v>3985</v>
      </c>
      <c r="E88" s="239">
        <v>0</v>
      </c>
      <c r="F88" s="238">
        <v>797</v>
      </c>
      <c r="G88" s="239">
        <f t="shared" si="1"/>
        <v>3188</v>
      </c>
    </row>
    <row r="89" spans="1:7" ht="15" customHeight="1">
      <c r="A89" s="235" t="s">
        <v>107</v>
      </c>
      <c r="B89" s="236">
        <v>4229</v>
      </c>
      <c r="C89" s="237" t="s">
        <v>346</v>
      </c>
      <c r="D89" s="238">
        <v>1015</v>
      </c>
      <c r="E89" s="239">
        <v>0</v>
      </c>
      <c r="F89" s="238">
        <v>203</v>
      </c>
      <c r="G89" s="239">
        <f t="shared" si="1"/>
        <v>812</v>
      </c>
    </row>
    <row r="90" spans="1:7" ht="15" customHeight="1">
      <c r="A90" s="235" t="s">
        <v>107</v>
      </c>
      <c r="B90" s="236">
        <v>4268</v>
      </c>
      <c r="C90" s="237" t="s">
        <v>347</v>
      </c>
      <c r="D90" s="238">
        <v>32681</v>
      </c>
      <c r="E90" s="239">
        <v>7174</v>
      </c>
      <c r="F90" s="238">
        <v>0</v>
      </c>
      <c r="G90" s="239">
        <f t="shared" si="1"/>
        <v>39855</v>
      </c>
    </row>
    <row r="91" spans="1:7" ht="15" customHeight="1">
      <c r="A91" s="235" t="s">
        <v>107</v>
      </c>
      <c r="B91" s="236">
        <v>4269</v>
      </c>
      <c r="C91" s="237" t="s">
        <v>347</v>
      </c>
      <c r="D91" s="238">
        <v>8319</v>
      </c>
      <c r="E91" s="239">
        <v>1826</v>
      </c>
      <c r="F91" s="238">
        <v>0</v>
      </c>
      <c r="G91" s="239">
        <f t="shared" si="1"/>
        <v>10145</v>
      </c>
    </row>
    <row r="92" spans="1:7" ht="15" customHeight="1">
      <c r="A92" s="235" t="s">
        <v>107</v>
      </c>
      <c r="B92" s="236">
        <v>4278</v>
      </c>
      <c r="C92" s="237" t="s">
        <v>348</v>
      </c>
      <c r="D92" s="238">
        <v>2391</v>
      </c>
      <c r="E92" s="239">
        <v>0</v>
      </c>
      <c r="F92" s="238">
        <v>797</v>
      </c>
      <c r="G92" s="239">
        <f t="shared" si="1"/>
        <v>1594</v>
      </c>
    </row>
    <row r="93" spans="1:7" ht="15" customHeight="1">
      <c r="A93" s="235" t="s">
        <v>107</v>
      </c>
      <c r="B93" s="236">
        <v>4279</v>
      </c>
      <c r="C93" s="237" t="s">
        <v>348</v>
      </c>
      <c r="D93" s="238">
        <v>609</v>
      </c>
      <c r="E93" s="239">
        <v>0</v>
      </c>
      <c r="F93" s="238">
        <v>203</v>
      </c>
      <c r="G93" s="239">
        <f t="shared" si="1"/>
        <v>406</v>
      </c>
    </row>
    <row r="94" spans="1:7" ht="15" customHeight="1">
      <c r="A94" s="235" t="s">
        <v>107</v>
      </c>
      <c r="B94" s="236">
        <v>4300</v>
      </c>
      <c r="C94" s="237" t="s">
        <v>349</v>
      </c>
      <c r="D94" s="238">
        <v>7740270</v>
      </c>
      <c r="E94" s="239">
        <v>4538250</v>
      </c>
      <c r="F94" s="238">
        <v>0</v>
      </c>
      <c r="G94" s="239">
        <f t="shared" si="1"/>
        <v>12278520</v>
      </c>
    </row>
    <row r="95" spans="1:7" ht="15" customHeight="1">
      <c r="A95" s="235" t="s">
        <v>107</v>
      </c>
      <c r="B95" s="236">
        <v>4308</v>
      </c>
      <c r="C95" s="237" t="s">
        <v>349</v>
      </c>
      <c r="D95" s="238">
        <v>27739</v>
      </c>
      <c r="E95" s="239">
        <v>213184</v>
      </c>
      <c r="F95" s="238">
        <v>0</v>
      </c>
      <c r="G95" s="239">
        <f t="shared" si="1"/>
        <v>240923</v>
      </c>
    </row>
    <row r="96" spans="1:7" ht="15" customHeight="1">
      <c r="A96" s="235" t="s">
        <v>107</v>
      </c>
      <c r="B96" s="236">
        <v>4309</v>
      </c>
      <c r="C96" s="237" t="s">
        <v>349</v>
      </c>
      <c r="D96" s="238">
        <v>7061</v>
      </c>
      <c r="E96" s="239">
        <v>54266</v>
      </c>
      <c r="F96" s="238">
        <v>0</v>
      </c>
      <c r="G96" s="239">
        <f t="shared" si="1"/>
        <v>61327</v>
      </c>
    </row>
    <row r="97" spans="1:7" ht="15" customHeight="1">
      <c r="A97" s="235" t="s">
        <v>107</v>
      </c>
      <c r="B97" s="236">
        <v>4368</v>
      </c>
      <c r="C97" s="237" t="s">
        <v>350</v>
      </c>
      <c r="D97" s="238">
        <v>11558</v>
      </c>
      <c r="E97" s="239">
        <v>0</v>
      </c>
      <c r="F97" s="238">
        <v>8768</v>
      </c>
      <c r="G97" s="239">
        <f t="shared" si="1"/>
        <v>2790</v>
      </c>
    </row>
    <row r="98" spans="1:7" ht="15" customHeight="1">
      <c r="A98" s="235" t="s">
        <v>107</v>
      </c>
      <c r="B98" s="236">
        <v>4369</v>
      </c>
      <c r="C98" s="237" t="s">
        <v>350</v>
      </c>
      <c r="D98" s="238">
        <v>2942</v>
      </c>
      <c r="E98" s="239">
        <v>0</v>
      </c>
      <c r="F98" s="238">
        <v>2232</v>
      </c>
      <c r="G98" s="239">
        <f t="shared" si="1"/>
        <v>710</v>
      </c>
    </row>
    <row r="99" spans="1:7" ht="27" customHeight="1">
      <c r="A99" s="235" t="s">
        <v>107</v>
      </c>
      <c r="B99" s="236">
        <v>4408</v>
      </c>
      <c r="C99" s="237" t="s">
        <v>351</v>
      </c>
      <c r="D99" s="238">
        <v>23913</v>
      </c>
      <c r="E99" s="239">
        <v>7015</v>
      </c>
      <c r="F99" s="238">
        <v>0</v>
      </c>
      <c r="G99" s="239">
        <f t="shared" si="1"/>
        <v>30928</v>
      </c>
    </row>
    <row r="100" spans="1:7" ht="27" customHeight="1">
      <c r="A100" s="235" t="s">
        <v>107</v>
      </c>
      <c r="B100" s="236">
        <v>4409</v>
      </c>
      <c r="C100" s="237" t="s">
        <v>351</v>
      </c>
      <c r="D100" s="238">
        <v>6087</v>
      </c>
      <c r="E100" s="239">
        <v>1786</v>
      </c>
      <c r="F100" s="238">
        <v>0</v>
      </c>
      <c r="G100" s="239">
        <f t="shared" si="1"/>
        <v>7873</v>
      </c>
    </row>
    <row r="101" spans="1:7" ht="15" customHeight="1">
      <c r="A101" s="235" t="s">
        <v>107</v>
      </c>
      <c r="B101" s="236">
        <v>4418</v>
      </c>
      <c r="C101" s="237" t="s">
        <v>352</v>
      </c>
      <c r="D101" s="238">
        <v>4783</v>
      </c>
      <c r="E101" s="239">
        <v>5380</v>
      </c>
      <c r="F101" s="238">
        <v>0</v>
      </c>
      <c r="G101" s="239">
        <f t="shared" si="1"/>
        <v>10163</v>
      </c>
    </row>
    <row r="102" spans="1:7" ht="15" customHeight="1">
      <c r="A102" s="235" t="s">
        <v>107</v>
      </c>
      <c r="B102" s="236">
        <v>4419</v>
      </c>
      <c r="C102" s="237" t="s">
        <v>352</v>
      </c>
      <c r="D102" s="238">
        <v>1217</v>
      </c>
      <c r="E102" s="239">
        <v>1370</v>
      </c>
      <c r="F102" s="238">
        <v>0</v>
      </c>
      <c r="G102" s="239">
        <f t="shared" si="1"/>
        <v>2587</v>
      </c>
    </row>
    <row r="103" spans="1:7" ht="15" customHeight="1">
      <c r="A103" s="235" t="s">
        <v>107</v>
      </c>
      <c r="B103" s="236">
        <v>4718</v>
      </c>
      <c r="C103" s="237" t="s">
        <v>354</v>
      </c>
      <c r="D103" s="238">
        <v>2312</v>
      </c>
      <c r="E103" s="239">
        <v>1349</v>
      </c>
      <c r="F103" s="238">
        <v>0</v>
      </c>
      <c r="G103" s="239">
        <f t="shared" si="1"/>
        <v>3661</v>
      </c>
    </row>
    <row r="104" spans="1:7" ht="15" customHeight="1">
      <c r="A104" s="235" t="s">
        <v>107</v>
      </c>
      <c r="B104" s="236">
        <v>4719</v>
      </c>
      <c r="C104" s="237" t="s">
        <v>354</v>
      </c>
      <c r="D104" s="238">
        <v>588</v>
      </c>
      <c r="E104" s="239">
        <v>343</v>
      </c>
      <c r="F104" s="238">
        <v>0</v>
      </c>
      <c r="G104" s="239">
        <f t="shared" si="1"/>
        <v>931</v>
      </c>
    </row>
    <row r="105" spans="1:7" s="229" customFormat="1" ht="27" customHeight="1">
      <c r="A105" s="224" t="s">
        <v>102</v>
      </c>
      <c r="B105" s="225" t="s">
        <v>107</v>
      </c>
      <c r="C105" s="226" t="s">
        <v>103</v>
      </c>
      <c r="D105" s="227">
        <v>879581</v>
      </c>
      <c r="E105" s="228">
        <f>E106</f>
        <v>293670</v>
      </c>
      <c r="F105" s="227">
        <f>F106</f>
        <v>0</v>
      </c>
      <c r="G105" s="228">
        <f t="shared" si="1"/>
        <v>1173251</v>
      </c>
    </row>
    <row r="106" spans="1:7" s="229" customFormat="1" ht="15" customHeight="1">
      <c r="A106" s="230">
        <v>75495</v>
      </c>
      <c r="B106" s="231" t="s">
        <v>107</v>
      </c>
      <c r="C106" s="232" t="s">
        <v>108</v>
      </c>
      <c r="D106" s="233">
        <v>856700</v>
      </c>
      <c r="E106" s="234">
        <f>SUM(E107:E108)</f>
        <v>293670</v>
      </c>
      <c r="F106" s="233">
        <f>SUM(F107:F108)</f>
        <v>0</v>
      </c>
      <c r="G106" s="234">
        <f t="shared" si="1"/>
        <v>1150370</v>
      </c>
    </row>
    <row r="107" spans="1:7" ht="15" customHeight="1">
      <c r="A107" s="235" t="s">
        <v>107</v>
      </c>
      <c r="B107" s="236">
        <v>4370</v>
      </c>
      <c r="C107" s="237" t="s">
        <v>370</v>
      </c>
      <c r="D107" s="238">
        <v>605844</v>
      </c>
      <c r="E107" s="239">
        <v>173670</v>
      </c>
      <c r="F107" s="238">
        <v>0</v>
      </c>
      <c r="G107" s="239">
        <f t="shared" si="1"/>
        <v>779514</v>
      </c>
    </row>
    <row r="108" spans="1:7" ht="15" customHeight="1">
      <c r="A108" s="235" t="s">
        <v>107</v>
      </c>
      <c r="B108" s="236">
        <v>4430</v>
      </c>
      <c r="C108" s="237" t="s">
        <v>363</v>
      </c>
      <c r="D108" s="238">
        <v>60000</v>
      </c>
      <c r="E108" s="239">
        <v>120000</v>
      </c>
      <c r="F108" s="238">
        <v>0</v>
      </c>
      <c r="G108" s="239">
        <f t="shared" si="1"/>
        <v>180000</v>
      </c>
    </row>
    <row r="109" spans="1:7" s="229" customFormat="1" ht="15" customHeight="1">
      <c r="A109" s="224" t="s">
        <v>59</v>
      </c>
      <c r="B109" s="225" t="s">
        <v>107</v>
      </c>
      <c r="C109" s="226" t="s">
        <v>60</v>
      </c>
      <c r="D109" s="227">
        <v>145010503</v>
      </c>
      <c r="E109" s="228">
        <f>E110+E112+E114+E118+E123+E125</f>
        <v>4272396</v>
      </c>
      <c r="F109" s="227">
        <f>F110+F112+F114+F118+F123+F125</f>
        <v>6896504</v>
      </c>
      <c r="G109" s="228">
        <f t="shared" si="1"/>
        <v>142386395</v>
      </c>
    </row>
    <row r="110" spans="1:7" s="229" customFormat="1" ht="15" customHeight="1">
      <c r="A110" s="224">
        <v>80104</v>
      </c>
      <c r="B110" s="225" t="s">
        <v>107</v>
      </c>
      <c r="C110" s="226" t="s">
        <v>371</v>
      </c>
      <c r="D110" s="227">
        <v>4078456</v>
      </c>
      <c r="E110" s="228">
        <f>E111</f>
        <v>0</v>
      </c>
      <c r="F110" s="227">
        <f>F111</f>
        <v>52074</v>
      </c>
      <c r="G110" s="228">
        <f t="shared" si="1"/>
        <v>4026382</v>
      </c>
    </row>
    <row r="111" spans="1:7" ht="73.5" customHeight="1">
      <c r="A111" s="235" t="s">
        <v>107</v>
      </c>
      <c r="B111" s="236">
        <v>6259</v>
      </c>
      <c r="C111" s="237" t="s">
        <v>112</v>
      </c>
      <c r="D111" s="238">
        <v>169424</v>
      </c>
      <c r="E111" s="239">
        <v>0</v>
      </c>
      <c r="F111" s="238">
        <v>52074</v>
      </c>
      <c r="G111" s="239">
        <f t="shared" si="1"/>
        <v>117350</v>
      </c>
    </row>
    <row r="112" spans="1:7" s="229" customFormat="1" ht="15" customHeight="1">
      <c r="A112" s="230">
        <v>80116</v>
      </c>
      <c r="B112" s="231" t="s">
        <v>107</v>
      </c>
      <c r="C112" s="232" t="s">
        <v>262</v>
      </c>
      <c r="D112" s="233">
        <v>11172089</v>
      </c>
      <c r="E112" s="234">
        <f>E113</f>
        <v>8627</v>
      </c>
      <c r="F112" s="233">
        <f>F113</f>
        <v>0</v>
      </c>
      <c r="G112" s="234">
        <f t="shared" si="1"/>
        <v>11180716</v>
      </c>
    </row>
    <row r="113" spans="1:7" ht="42.75" customHeight="1">
      <c r="A113" s="235" t="s">
        <v>107</v>
      </c>
      <c r="B113" s="236">
        <v>4340</v>
      </c>
      <c r="C113" s="237" t="s">
        <v>372</v>
      </c>
      <c r="D113" s="238">
        <v>120000</v>
      </c>
      <c r="E113" s="239">
        <v>8627</v>
      </c>
      <c r="F113" s="238">
        <v>0</v>
      </c>
      <c r="G113" s="239">
        <f t="shared" si="1"/>
        <v>128627</v>
      </c>
    </row>
    <row r="114" spans="1:7" s="229" customFormat="1" ht="15" customHeight="1">
      <c r="A114" s="230">
        <v>80134</v>
      </c>
      <c r="B114" s="231" t="s">
        <v>107</v>
      </c>
      <c r="C114" s="232" t="s">
        <v>266</v>
      </c>
      <c r="D114" s="233">
        <v>27660164</v>
      </c>
      <c r="E114" s="234">
        <f>SUM(E115:E117)</f>
        <v>225445</v>
      </c>
      <c r="F114" s="233">
        <f>SUM(F115:F117)</f>
        <v>0</v>
      </c>
      <c r="G114" s="234">
        <f t="shared" si="1"/>
        <v>27885609</v>
      </c>
    </row>
    <row r="115" spans="1:7" ht="57" customHeight="1">
      <c r="A115" s="235" t="s">
        <v>107</v>
      </c>
      <c r="B115" s="236">
        <v>2917</v>
      </c>
      <c r="C115" s="237" t="s">
        <v>356</v>
      </c>
      <c r="D115" s="238">
        <v>0</v>
      </c>
      <c r="E115" s="239">
        <v>113753</v>
      </c>
      <c r="F115" s="238">
        <v>0</v>
      </c>
      <c r="G115" s="239">
        <f t="shared" si="1"/>
        <v>113753</v>
      </c>
    </row>
    <row r="116" spans="1:7" ht="57" customHeight="1">
      <c r="A116" s="235" t="s">
        <v>107</v>
      </c>
      <c r="B116" s="236">
        <v>2919</v>
      </c>
      <c r="C116" s="237" t="s">
        <v>356</v>
      </c>
      <c r="D116" s="238">
        <v>0</v>
      </c>
      <c r="E116" s="239">
        <v>6692</v>
      </c>
      <c r="F116" s="238">
        <v>0</v>
      </c>
      <c r="G116" s="239">
        <f t="shared" si="1"/>
        <v>6692</v>
      </c>
    </row>
    <row r="117" spans="1:7" ht="15" customHeight="1">
      <c r="A117" s="235" t="s">
        <v>107</v>
      </c>
      <c r="B117" s="236">
        <v>6050</v>
      </c>
      <c r="C117" s="237" t="s">
        <v>359</v>
      </c>
      <c r="D117" s="238">
        <v>0</v>
      </c>
      <c r="E117" s="239">
        <v>105000</v>
      </c>
      <c r="F117" s="238">
        <v>0</v>
      </c>
      <c r="G117" s="239">
        <f t="shared" si="1"/>
        <v>105000</v>
      </c>
    </row>
    <row r="118" spans="1:7" s="229" customFormat="1" ht="15" customHeight="1">
      <c r="A118" s="230">
        <v>80146</v>
      </c>
      <c r="B118" s="231" t="s">
        <v>107</v>
      </c>
      <c r="C118" s="232" t="s">
        <v>270</v>
      </c>
      <c r="D118" s="233">
        <v>17235665</v>
      </c>
      <c r="E118" s="234">
        <f>SUM(E119:E122)</f>
        <v>122046</v>
      </c>
      <c r="F118" s="233">
        <f>SUM(F119:F122)</f>
        <v>0</v>
      </c>
      <c r="G118" s="234">
        <f t="shared" si="1"/>
        <v>17357711</v>
      </c>
    </row>
    <row r="119" spans="1:7" ht="15" customHeight="1">
      <c r="A119" s="235" t="s">
        <v>107</v>
      </c>
      <c r="B119" s="236">
        <v>4210</v>
      </c>
      <c r="C119" s="237" t="s">
        <v>345</v>
      </c>
      <c r="D119" s="238">
        <v>73000</v>
      </c>
      <c r="E119" s="239">
        <v>38124</v>
      </c>
      <c r="F119" s="238">
        <v>0</v>
      </c>
      <c r="G119" s="239">
        <f t="shared" si="1"/>
        <v>111124</v>
      </c>
    </row>
    <row r="120" spans="1:7" ht="15" customHeight="1">
      <c r="A120" s="235" t="s">
        <v>107</v>
      </c>
      <c r="B120" s="236">
        <v>4300</v>
      </c>
      <c r="C120" s="237" t="s">
        <v>349</v>
      </c>
      <c r="D120" s="238">
        <v>315411</v>
      </c>
      <c r="E120" s="239">
        <v>28922</v>
      </c>
      <c r="F120" s="238">
        <v>0</v>
      </c>
      <c r="G120" s="239">
        <f t="shared" si="1"/>
        <v>344333</v>
      </c>
    </row>
    <row r="121" spans="1:7" ht="27" customHeight="1">
      <c r="A121" s="235" t="s">
        <v>107</v>
      </c>
      <c r="B121" s="236">
        <v>4700</v>
      </c>
      <c r="C121" s="237" t="s">
        <v>353</v>
      </c>
      <c r="D121" s="238">
        <v>260340</v>
      </c>
      <c r="E121" s="239">
        <v>30000</v>
      </c>
      <c r="F121" s="238">
        <v>0</v>
      </c>
      <c r="G121" s="239">
        <f t="shared" si="1"/>
        <v>290340</v>
      </c>
    </row>
    <row r="122" spans="1:7" ht="15" customHeight="1">
      <c r="A122" s="235" t="s">
        <v>107</v>
      </c>
      <c r="B122" s="236">
        <v>6050</v>
      </c>
      <c r="C122" s="237" t="s">
        <v>359</v>
      </c>
      <c r="D122" s="238">
        <v>2000000</v>
      </c>
      <c r="E122" s="239">
        <v>25000</v>
      </c>
      <c r="F122" s="238">
        <v>0</v>
      </c>
      <c r="G122" s="239">
        <f t="shared" si="1"/>
        <v>2025000</v>
      </c>
    </row>
    <row r="123" spans="1:7" s="229" customFormat="1" ht="57.75" customHeight="1">
      <c r="A123" s="230">
        <v>80149</v>
      </c>
      <c r="B123" s="231" t="s">
        <v>107</v>
      </c>
      <c r="C123" s="232" t="s">
        <v>274</v>
      </c>
      <c r="D123" s="233">
        <v>4678305</v>
      </c>
      <c r="E123" s="234">
        <f>E124</f>
        <v>30000</v>
      </c>
      <c r="F123" s="233">
        <f>F124</f>
        <v>0</v>
      </c>
      <c r="G123" s="234">
        <f t="shared" si="1"/>
        <v>4708305</v>
      </c>
    </row>
    <row r="124" spans="1:7" ht="15" customHeight="1">
      <c r="A124" s="235" t="s">
        <v>107</v>
      </c>
      <c r="B124" s="236">
        <v>4270</v>
      </c>
      <c r="C124" s="237" t="s">
        <v>348</v>
      </c>
      <c r="D124" s="238">
        <v>3000</v>
      </c>
      <c r="E124" s="239">
        <v>30000</v>
      </c>
      <c r="F124" s="238">
        <v>0</v>
      </c>
      <c r="G124" s="239">
        <f t="shared" si="1"/>
        <v>33000</v>
      </c>
    </row>
    <row r="125" spans="1:7" s="229" customFormat="1" ht="15" customHeight="1">
      <c r="A125" s="230">
        <v>80195</v>
      </c>
      <c r="B125" s="231" t="s">
        <v>107</v>
      </c>
      <c r="C125" s="232" t="s">
        <v>108</v>
      </c>
      <c r="D125" s="233">
        <v>13655491</v>
      </c>
      <c r="E125" s="234">
        <f>SUM(E126:E141)</f>
        <v>3886278</v>
      </c>
      <c r="F125" s="233">
        <f>SUM(F126:F141)</f>
        <v>6844430</v>
      </c>
      <c r="G125" s="234">
        <f t="shared" si="1"/>
        <v>10697339</v>
      </c>
    </row>
    <row r="126" spans="1:7" ht="69" customHeight="1">
      <c r="A126" s="235" t="s">
        <v>107</v>
      </c>
      <c r="B126" s="236">
        <v>2009</v>
      </c>
      <c r="C126" s="237" t="s">
        <v>373</v>
      </c>
      <c r="D126" s="238">
        <v>78406</v>
      </c>
      <c r="E126" s="239">
        <v>921594</v>
      </c>
      <c r="F126" s="238">
        <v>0</v>
      </c>
      <c r="G126" s="239">
        <f t="shared" si="1"/>
        <v>1000000</v>
      </c>
    </row>
    <row r="127" spans="1:7" ht="69.75" customHeight="1">
      <c r="A127" s="235" t="s">
        <v>107</v>
      </c>
      <c r="B127" s="236">
        <v>2059</v>
      </c>
      <c r="C127" s="237" t="s">
        <v>143</v>
      </c>
      <c r="D127" s="238">
        <v>315835</v>
      </c>
      <c r="E127" s="239">
        <v>0</v>
      </c>
      <c r="F127" s="238">
        <v>30733</v>
      </c>
      <c r="G127" s="239">
        <f t="shared" si="1"/>
        <v>285102</v>
      </c>
    </row>
    <row r="128" spans="1:7" ht="15" customHeight="1">
      <c r="A128" s="235" t="s">
        <v>107</v>
      </c>
      <c r="B128" s="236">
        <v>4010</v>
      </c>
      <c r="C128" s="237" t="s">
        <v>341</v>
      </c>
      <c r="D128" s="238">
        <v>708271</v>
      </c>
      <c r="E128" s="239">
        <v>0</v>
      </c>
      <c r="F128" s="238">
        <v>376440</v>
      </c>
      <c r="G128" s="239">
        <f t="shared" si="1"/>
        <v>331831</v>
      </c>
    </row>
    <row r="129" spans="1:7" ht="15" customHeight="1">
      <c r="A129" s="235" t="s">
        <v>107</v>
      </c>
      <c r="B129" s="236">
        <v>4110</v>
      </c>
      <c r="C129" s="237" t="s">
        <v>342</v>
      </c>
      <c r="D129" s="238">
        <v>151597</v>
      </c>
      <c r="E129" s="239">
        <v>0</v>
      </c>
      <c r="F129" s="238">
        <v>65573</v>
      </c>
      <c r="G129" s="239">
        <f t="shared" si="1"/>
        <v>86024</v>
      </c>
    </row>
    <row r="130" spans="1:7" ht="15" customHeight="1">
      <c r="A130" s="235" t="s">
        <v>107</v>
      </c>
      <c r="B130" s="236">
        <v>4120</v>
      </c>
      <c r="C130" s="237" t="s">
        <v>343</v>
      </c>
      <c r="D130" s="238">
        <v>21584</v>
      </c>
      <c r="E130" s="239">
        <v>0</v>
      </c>
      <c r="F130" s="238">
        <v>9224</v>
      </c>
      <c r="G130" s="239">
        <f t="shared" si="1"/>
        <v>12360</v>
      </c>
    </row>
    <row r="131" spans="1:7" ht="15" customHeight="1">
      <c r="A131" s="235" t="s">
        <v>107</v>
      </c>
      <c r="B131" s="236">
        <v>4170</v>
      </c>
      <c r="C131" s="237" t="s">
        <v>344</v>
      </c>
      <c r="D131" s="238">
        <v>15400</v>
      </c>
      <c r="E131" s="239">
        <v>27000</v>
      </c>
      <c r="F131" s="238">
        <v>0</v>
      </c>
      <c r="G131" s="239">
        <f t="shared" si="1"/>
        <v>42400</v>
      </c>
    </row>
    <row r="132" spans="1:7" ht="15" customHeight="1">
      <c r="A132" s="235" t="s">
        <v>107</v>
      </c>
      <c r="B132" s="236">
        <v>4190</v>
      </c>
      <c r="C132" s="237" t="s">
        <v>374</v>
      </c>
      <c r="D132" s="238">
        <v>137460</v>
      </c>
      <c r="E132" s="239">
        <v>10000</v>
      </c>
      <c r="F132" s="238">
        <v>0</v>
      </c>
      <c r="G132" s="239">
        <f t="shared" si="1"/>
        <v>147460</v>
      </c>
    </row>
    <row r="133" spans="1:7" ht="15" customHeight="1">
      <c r="A133" s="235" t="s">
        <v>107</v>
      </c>
      <c r="B133" s="236">
        <v>4210</v>
      </c>
      <c r="C133" s="237" t="s">
        <v>345</v>
      </c>
      <c r="D133" s="238">
        <v>37990</v>
      </c>
      <c r="E133" s="239">
        <v>36809</v>
      </c>
      <c r="F133" s="238">
        <v>0</v>
      </c>
      <c r="G133" s="239">
        <f t="shared" si="1"/>
        <v>74799</v>
      </c>
    </row>
    <row r="134" spans="1:7" ht="15" customHeight="1">
      <c r="A134" s="235" t="s">
        <v>107</v>
      </c>
      <c r="B134" s="236">
        <v>4240</v>
      </c>
      <c r="C134" s="237" t="s">
        <v>375</v>
      </c>
      <c r="D134" s="238">
        <v>0</v>
      </c>
      <c r="E134" s="239">
        <v>2699853</v>
      </c>
      <c r="F134" s="238">
        <v>0</v>
      </c>
      <c r="G134" s="239">
        <f t="shared" si="1"/>
        <v>2699853</v>
      </c>
    </row>
    <row r="135" spans="1:7" ht="15" customHeight="1">
      <c r="A135" s="235" t="s">
        <v>107</v>
      </c>
      <c r="B135" s="236">
        <v>4300</v>
      </c>
      <c r="C135" s="237" t="s">
        <v>349</v>
      </c>
      <c r="D135" s="238">
        <v>10112318</v>
      </c>
      <c r="E135" s="239">
        <v>0</v>
      </c>
      <c r="F135" s="238">
        <v>6198739</v>
      </c>
      <c r="G135" s="239">
        <f t="shared" si="1"/>
        <v>3913579</v>
      </c>
    </row>
    <row r="136" spans="1:7" ht="15" customHeight="1">
      <c r="A136" s="235" t="s">
        <v>107</v>
      </c>
      <c r="B136" s="236">
        <v>4410</v>
      </c>
      <c r="C136" s="237" t="s">
        <v>352</v>
      </c>
      <c r="D136" s="238">
        <v>46202</v>
      </c>
      <c r="E136" s="239">
        <v>30000</v>
      </c>
      <c r="F136" s="238">
        <v>0</v>
      </c>
      <c r="G136" s="239">
        <f t="shared" si="1"/>
        <v>76202</v>
      </c>
    </row>
    <row r="137" spans="1:7" ht="15" customHeight="1">
      <c r="A137" s="235" t="s">
        <v>107</v>
      </c>
      <c r="B137" s="236">
        <v>4420</v>
      </c>
      <c r="C137" s="237" t="s">
        <v>366</v>
      </c>
      <c r="D137" s="238">
        <v>60000</v>
      </c>
      <c r="E137" s="239">
        <v>0</v>
      </c>
      <c r="F137" s="238">
        <v>60000</v>
      </c>
      <c r="G137" s="239">
        <f t="shared" si="1"/>
        <v>0</v>
      </c>
    </row>
    <row r="138" spans="1:7" ht="15" customHeight="1">
      <c r="A138" s="235" t="s">
        <v>107</v>
      </c>
      <c r="B138" s="236">
        <v>4710</v>
      </c>
      <c r="C138" s="237" t="s">
        <v>354</v>
      </c>
      <c r="D138" s="238">
        <v>12982</v>
      </c>
      <c r="E138" s="239">
        <v>0</v>
      </c>
      <c r="F138" s="238">
        <v>5647</v>
      </c>
      <c r="G138" s="239">
        <f t="shared" si="1"/>
        <v>7335</v>
      </c>
    </row>
    <row r="139" spans="1:7" ht="15" customHeight="1">
      <c r="A139" s="235" t="s">
        <v>107</v>
      </c>
      <c r="B139" s="236">
        <v>6060</v>
      </c>
      <c r="C139" s="237" t="s">
        <v>355</v>
      </c>
      <c r="D139" s="238">
        <v>73617</v>
      </c>
      <c r="E139" s="239">
        <v>0</v>
      </c>
      <c r="F139" s="238">
        <v>36808</v>
      </c>
      <c r="G139" s="239">
        <f t="shared" si="1"/>
        <v>36809</v>
      </c>
    </row>
    <row r="140" spans="1:7" ht="70.5" customHeight="1">
      <c r="A140" s="235" t="s">
        <v>107</v>
      </c>
      <c r="B140" s="236">
        <v>6209</v>
      </c>
      <c r="C140" s="237" t="s">
        <v>376</v>
      </c>
      <c r="D140" s="238">
        <v>330436</v>
      </c>
      <c r="E140" s="239">
        <v>161022</v>
      </c>
      <c r="F140" s="238">
        <v>0</v>
      </c>
      <c r="G140" s="239">
        <f t="shared" ref="G140:G203" si="2">D140+E140-F140</f>
        <v>491458</v>
      </c>
    </row>
    <row r="141" spans="1:7" ht="69.75" customHeight="1">
      <c r="A141" s="235" t="s">
        <v>107</v>
      </c>
      <c r="B141" s="236">
        <v>6259</v>
      </c>
      <c r="C141" s="237" t="s">
        <v>112</v>
      </c>
      <c r="D141" s="238">
        <v>278395</v>
      </c>
      <c r="E141" s="239">
        <v>0</v>
      </c>
      <c r="F141" s="238">
        <v>61266</v>
      </c>
      <c r="G141" s="239">
        <f t="shared" si="2"/>
        <v>217129</v>
      </c>
    </row>
    <row r="142" spans="1:7" s="229" customFormat="1" ht="15" customHeight="1">
      <c r="A142" s="224" t="s">
        <v>61</v>
      </c>
      <c r="B142" s="225" t="s">
        <v>107</v>
      </c>
      <c r="C142" s="226" t="s">
        <v>62</v>
      </c>
      <c r="D142" s="227">
        <v>109779919</v>
      </c>
      <c r="E142" s="228">
        <f>E143+E148+E150+E164+E166+E168</f>
        <v>12739345</v>
      </c>
      <c r="F142" s="227">
        <f>F143+F148+F150+F164+F166+F168</f>
        <v>4978586</v>
      </c>
      <c r="G142" s="228">
        <f t="shared" si="2"/>
        <v>117540678</v>
      </c>
    </row>
    <row r="143" spans="1:7" s="229" customFormat="1" ht="15" customHeight="1">
      <c r="A143" s="246">
        <v>85111</v>
      </c>
      <c r="B143" s="247" t="s">
        <v>107</v>
      </c>
      <c r="C143" s="248" t="s">
        <v>278</v>
      </c>
      <c r="D143" s="249">
        <v>33201856</v>
      </c>
      <c r="E143" s="250">
        <f>SUM(E144:E147)</f>
        <v>5171695</v>
      </c>
      <c r="F143" s="249">
        <f>SUM(F144:F147)</f>
        <v>4249854</v>
      </c>
      <c r="G143" s="250">
        <f t="shared" si="2"/>
        <v>34123697</v>
      </c>
    </row>
    <row r="144" spans="1:7" ht="71.25" customHeight="1">
      <c r="A144" s="235" t="s">
        <v>107</v>
      </c>
      <c r="B144" s="236">
        <v>2009</v>
      </c>
      <c r="C144" s="237" t="s">
        <v>373</v>
      </c>
      <c r="D144" s="238">
        <v>352737</v>
      </c>
      <c r="E144" s="239">
        <v>0</v>
      </c>
      <c r="F144" s="238">
        <v>249854</v>
      </c>
      <c r="G144" s="239">
        <f t="shared" si="2"/>
        <v>102883</v>
      </c>
    </row>
    <row r="145" spans="1:7" ht="70.5" customHeight="1">
      <c r="A145" s="235" t="s">
        <v>107</v>
      </c>
      <c r="B145" s="236">
        <v>6209</v>
      </c>
      <c r="C145" s="237" t="s">
        <v>376</v>
      </c>
      <c r="D145" s="238">
        <v>2227596</v>
      </c>
      <c r="E145" s="239">
        <v>4720695</v>
      </c>
      <c r="F145" s="238">
        <v>0</v>
      </c>
      <c r="G145" s="239">
        <f t="shared" si="2"/>
        <v>6948291</v>
      </c>
    </row>
    <row r="146" spans="1:7" ht="60.75" customHeight="1">
      <c r="A146" s="235" t="s">
        <v>107</v>
      </c>
      <c r="B146" s="236">
        <v>6220</v>
      </c>
      <c r="C146" s="237" t="s">
        <v>377</v>
      </c>
      <c r="D146" s="238">
        <v>20621263</v>
      </c>
      <c r="E146" s="239">
        <v>451000</v>
      </c>
      <c r="F146" s="238">
        <v>0</v>
      </c>
      <c r="G146" s="239">
        <f t="shared" si="2"/>
        <v>21072263</v>
      </c>
    </row>
    <row r="147" spans="1:7" ht="45" customHeight="1">
      <c r="A147" s="235" t="s">
        <v>107</v>
      </c>
      <c r="B147" s="236">
        <v>6300</v>
      </c>
      <c r="C147" s="237" t="s">
        <v>362</v>
      </c>
      <c r="D147" s="238">
        <v>4000000</v>
      </c>
      <c r="E147" s="239">
        <v>0</v>
      </c>
      <c r="F147" s="238">
        <v>4000000</v>
      </c>
      <c r="G147" s="239">
        <f t="shared" si="2"/>
        <v>0</v>
      </c>
    </row>
    <row r="148" spans="1:7" s="229" customFormat="1" ht="15" customHeight="1">
      <c r="A148" s="230">
        <v>85120</v>
      </c>
      <c r="B148" s="231" t="s">
        <v>107</v>
      </c>
      <c r="C148" s="232" t="s">
        <v>284</v>
      </c>
      <c r="D148" s="233">
        <v>0</v>
      </c>
      <c r="E148" s="234">
        <f>E149</f>
        <v>542000</v>
      </c>
      <c r="F148" s="233">
        <f>F149</f>
        <v>0</v>
      </c>
      <c r="G148" s="234">
        <f t="shared" si="2"/>
        <v>542000</v>
      </c>
    </row>
    <row r="149" spans="1:7" ht="55.5" customHeight="1">
      <c r="A149" s="235" t="s">
        <v>107</v>
      </c>
      <c r="B149" s="236">
        <v>6220</v>
      </c>
      <c r="C149" s="237" t="s">
        <v>377</v>
      </c>
      <c r="D149" s="238">
        <v>0</v>
      </c>
      <c r="E149" s="239">
        <v>542000</v>
      </c>
      <c r="F149" s="238">
        <v>0</v>
      </c>
      <c r="G149" s="239">
        <f t="shared" si="2"/>
        <v>542000</v>
      </c>
    </row>
    <row r="150" spans="1:7" s="229" customFormat="1" ht="15" customHeight="1">
      <c r="A150" s="230">
        <v>85149</v>
      </c>
      <c r="B150" s="231" t="s">
        <v>107</v>
      </c>
      <c r="C150" s="232" t="s">
        <v>286</v>
      </c>
      <c r="D150" s="233">
        <v>2457066</v>
      </c>
      <c r="E150" s="234">
        <f>SUM(E151:E163)</f>
        <v>175400</v>
      </c>
      <c r="F150" s="233">
        <f>SUM(F151:F163)</f>
        <v>204491</v>
      </c>
      <c r="G150" s="234">
        <f t="shared" si="2"/>
        <v>2427975</v>
      </c>
    </row>
    <row r="151" spans="1:7" ht="70.5" customHeight="1">
      <c r="A151" s="235" t="s">
        <v>107</v>
      </c>
      <c r="B151" s="236">
        <v>2009</v>
      </c>
      <c r="C151" s="237" t="s">
        <v>373</v>
      </c>
      <c r="D151" s="238">
        <v>204491</v>
      </c>
      <c r="E151" s="239">
        <v>0</v>
      </c>
      <c r="F151" s="238">
        <v>204491</v>
      </c>
      <c r="G151" s="239">
        <f t="shared" si="2"/>
        <v>0</v>
      </c>
    </row>
    <row r="152" spans="1:7" ht="15" customHeight="1">
      <c r="A152" s="235" t="s">
        <v>107</v>
      </c>
      <c r="B152" s="236">
        <v>4017</v>
      </c>
      <c r="C152" s="237" t="s">
        <v>341</v>
      </c>
      <c r="D152" s="238">
        <v>36815</v>
      </c>
      <c r="E152" s="239">
        <v>18032</v>
      </c>
      <c r="F152" s="238">
        <v>0</v>
      </c>
      <c r="G152" s="239">
        <f t="shared" si="2"/>
        <v>54847</v>
      </c>
    </row>
    <row r="153" spans="1:7" ht="15" customHeight="1">
      <c r="A153" s="235" t="s">
        <v>107</v>
      </c>
      <c r="B153" s="236">
        <v>4019</v>
      </c>
      <c r="C153" s="237" t="s">
        <v>341</v>
      </c>
      <c r="D153" s="238">
        <v>6495</v>
      </c>
      <c r="E153" s="239">
        <v>3184</v>
      </c>
      <c r="F153" s="238">
        <v>0</v>
      </c>
      <c r="G153" s="239">
        <f t="shared" si="2"/>
        <v>9679</v>
      </c>
    </row>
    <row r="154" spans="1:7" ht="15" customHeight="1">
      <c r="A154" s="235" t="s">
        <v>107</v>
      </c>
      <c r="B154" s="236">
        <v>4117</v>
      </c>
      <c r="C154" s="237" t="s">
        <v>342</v>
      </c>
      <c r="D154" s="238">
        <v>8024</v>
      </c>
      <c r="E154" s="239">
        <v>1261</v>
      </c>
      <c r="F154" s="238">
        <v>0</v>
      </c>
      <c r="G154" s="239">
        <f t="shared" si="2"/>
        <v>9285</v>
      </c>
    </row>
    <row r="155" spans="1:7" ht="15" customHeight="1">
      <c r="A155" s="235" t="s">
        <v>107</v>
      </c>
      <c r="B155" s="236">
        <v>4119</v>
      </c>
      <c r="C155" s="237" t="s">
        <v>342</v>
      </c>
      <c r="D155" s="238">
        <v>1417</v>
      </c>
      <c r="E155" s="239">
        <v>222</v>
      </c>
      <c r="F155" s="238">
        <v>0</v>
      </c>
      <c r="G155" s="239">
        <f t="shared" si="2"/>
        <v>1639</v>
      </c>
    </row>
    <row r="156" spans="1:7" ht="15" customHeight="1">
      <c r="A156" s="235" t="s">
        <v>107</v>
      </c>
      <c r="B156" s="236">
        <v>4127</v>
      </c>
      <c r="C156" s="237" t="s">
        <v>343</v>
      </c>
      <c r="D156" s="238">
        <v>1143</v>
      </c>
      <c r="E156" s="239">
        <v>201</v>
      </c>
      <c r="F156" s="238">
        <v>0</v>
      </c>
      <c r="G156" s="239">
        <f t="shared" si="2"/>
        <v>1344</v>
      </c>
    </row>
    <row r="157" spans="1:7" ht="15" customHeight="1">
      <c r="A157" s="235" t="s">
        <v>107</v>
      </c>
      <c r="B157" s="236">
        <v>4129</v>
      </c>
      <c r="C157" s="237" t="s">
        <v>343</v>
      </c>
      <c r="D157" s="238">
        <v>202</v>
      </c>
      <c r="E157" s="239">
        <v>35</v>
      </c>
      <c r="F157" s="238">
        <v>0</v>
      </c>
      <c r="G157" s="239">
        <f t="shared" si="2"/>
        <v>237</v>
      </c>
    </row>
    <row r="158" spans="1:7" ht="15" customHeight="1">
      <c r="A158" s="235" t="s">
        <v>107</v>
      </c>
      <c r="B158" s="236">
        <v>4217</v>
      </c>
      <c r="C158" s="237" t="s">
        <v>345</v>
      </c>
      <c r="D158" s="238">
        <v>11050</v>
      </c>
      <c r="E158" s="239">
        <v>3400</v>
      </c>
      <c r="F158" s="238">
        <v>0</v>
      </c>
      <c r="G158" s="239">
        <f t="shared" si="2"/>
        <v>14450</v>
      </c>
    </row>
    <row r="159" spans="1:7" ht="15" customHeight="1">
      <c r="A159" s="235" t="s">
        <v>107</v>
      </c>
      <c r="B159" s="236">
        <v>4219</v>
      </c>
      <c r="C159" s="237" t="s">
        <v>345</v>
      </c>
      <c r="D159" s="238">
        <v>1950</v>
      </c>
      <c r="E159" s="239">
        <v>600</v>
      </c>
      <c r="F159" s="238">
        <v>0</v>
      </c>
      <c r="G159" s="239">
        <f t="shared" si="2"/>
        <v>2550</v>
      </c>
    </row>
    <row r="160" spans="1:7" ht="15" customHeight="1">
      <c r="A160" s="235" t="s">
        <v>107</v>
      </c>
      <c r="B160" s="236">
        <v>4307</v>
      </c>
      <c r="C160" s="237" t="s">
        <v>349</v>
      </c>
      <c r="D160" s="238">
        <v>345678</v>
      </c>
      <c r="E160" s="239">
        <v>126072</v>
      </c>
      <c r="F160" s="238">
        <v>0</v>
      </c>
      <c r="G160" s="239">
        <f t="shared" si="2"/>
        <v>471750</v>
      </c>
    </row>
    <row r="161" spans="1:7" ht="15" customHeight="1">
      <c r="A161" s="235" t="s">
        <v>107</v>
      </c>
      <c r="B161" s="236">
        <v>4309</v>
      </c>
      <c r="C161" s="237" t="s">
        <v>349</v>
      </c>
      <c r="D161" s="238">
        <v>61002</v>
      </c>
      <c r="E161" s="239">
        <v>22248</v>
      </c>
      <c r="F161" s="238">
        <v>0</v>
      </c>
      <c r="G161" s="239">
        <f t="shared" si="2"/>
        <v>83250</v>
      </c>
    </row>
    <row r="162" spans="1:7" ht="15" customHeight="1">
      <c r="A162" s="235" t="s">
        <v>107</v>
      </c>
      <c r="B162" s="236">
        <v>4717</v>
      </c>
      <c r="C162" s="237" t="s">
        <v>354</v>
      </c>
      <c r="D162" s="238">
        <v>700</v>
      </c>
      <c r="E162" s="239">
        <v>124</v>
      </c>
      <c r="F162" s="238">
        <v>0</v>
      </c>
      <c r="G162" s="239">
        <f t="shared" si="2"/>
        <v>824</v>
      </c>
    </row>
    <row r="163" spans="1:7" ht="15" customHeight="1">
      <c r="A163" s="235" t="s">
        <v>107</v>
      </c>
      <c r="B163" s="236">
        <v>4719</v>
      </c>
      <c r="C163" s="237" t="s">
        <v>354</v>
      </c>
      <c r="D163" s="238">
        <v>124</v>
      </c>
      <c r="E163" s="239">
        <v>21</v>
      </c>
      <c r="F163" s="238">
        <v>0</v>
      </c>
      <c r="G163" s="239">
        <f t="shared" si="2"/>
        <v>145</v>
      </c>
    </row>
    <row r="164" spans="1:7" s="229" customFormat="1" ht="15" customHeight="1">
      <c r="A164" s="230">
        <v>85154</v>
      </c>
      <c r="B164" s="231" t="s">
        <v>107</v>
      </c>
      <c r="C164" s="232" t="s">
        <v>288</v>
      </c>
      <c r="D164" s="233">
        <v>2225000</v>
      </c>
      <c r="E164" s="234">
        <f>E165</f>
        <v>320000</v>
      </c>
      <c r="F164" s="233">
        <f>F165</f>
        <v>0</v>
      </c>
      <c r="G164" s="234">
        <f t="shared" si="2"/>
        <v>2545000</v>
      </c>
    </row>
    <row r="165" spans="1:7" ht="60" customHeight="1">
      <c r="A165" s="235" t="s">
        <v>107</v>
      </c>
      <c r="B165" s="236">
        <v>6220</v>
      </c>
      <c r="C165" s="237" t="s">
        <v>377</v>
      </c>
      <c r="D165" s="238">
        <v>345000</v>
      </c>
      <c r="E165" s="239">
        <v>320000</v>
      </c>
      <c r="F165" s="238">
        <v>0</v>
      </c>
      <c r="G165" s="239">
        <f t="shared" si="2"/>
        <v>665000</v>
      </c>
    </row>
    <row r="166" spans="1:7" s="229" customFormat="1" ht="15" customHeight="1">
      <c r="A166" s="230">
        <v>85157</v>
      </c>
      <c r="B166" s="231" t="s">
        <v>107</v>
      </c>
      <c r="C166" s="232" t="s">
        <v>289</v>
      </c>
      <c r="D166" s="233">
        <v>24591000</v>
      </c>
      <c r="E166" s="234">
        <f>E167</f>
        <v>27060</v>
      </c>
      <c r="F166" s="233">
        <f>F167</f>
        <v>0</v>
      </c>
      <c r="G166" s="234">
        <f t="shared" si="2"/>
        <v>24618060</v>
      </c>
    </row>
    <row r="167" spans="1:7" ht="58.5" customHeight="1">
      <c r="A167" s="235" t="s">
        <v>107</v>
      </c>
      <c r="B167" s="236">
        <v>2910</v>
      </c>
      <c r="C167" s="237" t="s">
        <v>356</v>
      </c>
      <c r="D167" s="238">
        <v>0</v>
      </c>
      <c r="E167" s="239">
        <v>27060</v>
      </c>
      <c r="F167" s="238">
        <v>0</v>
      </c>
      <c r="G167" s="239">
        <f t="shared" si="2"/>
        <v>27060</v>
      </c>
    </row>
    <row r="168" spans="1:7" s="229" customFormat="1" ht="15" customHeight="1">
      <c r="A168" s="230">
        <v>85195</v>
      </c>
      <c r="B168" s="231" t="s">
        <v>107</v>
      </c>
      <c r="C168" s="232" t="s">
        <v>108</v>
      </c>
      <c r="D168" s="233">
        <v>36806589</v>
      </c>
      <c r="E168" s="234">
        <f>SUM(E169:E182)</f>
        <v>6503190</v>
      </c>
      <c r="F168" s="233">
        <f>SUM(F169:F182)</f>
        <v>524241</v>
      </c>
      <c r="G168" s="234">
        <f t="shared" si="2"/>
        <v>42785538</v>
      </c>
    </row>
    <row r="169" spans="1:7" ht="71.25" customHeight="1">
      <c r="A169" s="235" t="s">
        <v>107</v>
      </c>
      <c r="B169" s="236">
        <v>2009</v>
      </c>
      <c r="C169" s="237" t="s">
        <v>373</v>
      </c>
      <c r="D169" s="238">
        <v>237121</v>
      </c>
      <c r="E169" s="239">
        <v>0</v>
      </c>
      <c r="F169" s="238">
        <v>95786</v>
      </c>
      <c r="G169" s="239">
        <f t="shared" si="2"/>
        <v>141335</v>
      </c>
    </row>
    <row r="170" spans="1:7" ht="71.25" customHeight="1">
      <c r="A170" s="235" t="s">
        <v>107</v>
      </c>
      <c r="B170" s="236">
        <v>2059</v>
      </c>
      <c r="C170" s="237" t="s">
        <v>143</v>
      </c>
      <c r="D170" s="238">
        <v>83754</v>
      </c>
      <c r="E170" s="239">
        <v>90802</v>
      </c>
      <c r="F170" s="238">
        <v>0</v>
      </c>
      <c r="G170" s="239">
        <f t="shared" si="2"/>
        <v>174556</v>
      </c>
    </row>
    <row r="171" spans="1:7" ht="15" customHeight="1">
      <c r="A171" s="235" t="s">
        <v>107</v>
      </c>
      <c r="B171" s="236">
        <v>4017</v>
      </c>
      <c r="C171" s="237" t="s">
        <v>341</v>
      </c>
      <c r="D171" s="238">
        <v>257650</v>
      </c>
      <c r="E171" s="239">
        <v>0</v>
      </c>
      <c r="F171" s="238">
        <v>23340</v>
      </c>
      <c r="G171" s="239">
        <f t="shared" si="2"/>
        <v>234310</v>
      </c>
    </row>
    <row r="172" spans="1:7" ht="15" customHeight="1">
      <c r="A172" s="235" t="s">
        <v>107</v>
      </c>
      <c r="B172" s="236">
        <v>4019</v>
      </c>
      <c r="C172" s="237" t="s">
        <v>341</v>
      </c>
      <c r="D172" s="238">
        <v>96025</v>
      </c>
      <c r="E172" s="239">
        <v>0</v>
      </c>
      <c r="F172" s="238">
        <v>4119</v>
      </c>
      <c r="G172" s="239">
        <f t="shared" si="2"/>
        <v>91906</v>
      </c>
    </row>
    <row r="173" spans="1:7" ht="15" customHeight="1">
      <c r="A173" s="235" t="s">
        <v>107</v>
      </c>
      <c r="B173" s="236">
        <v>4117</v>
      </c>
      <c r="C173" s="237" t="s">
        <v>342</v>
      </c>
      <c r="D173" s="238">
        <v>93795</v>
      </c>
      <c r="E173" s="239">
        <v>3081</v>
      </c>
      <c r="F173" s="238">
        <v>0</v>
      </c>
      <c r="G173" s="239">
        <f t="shared" si="2"/>
        <v>96876</v>
      </c>
    </row>
    <row r="174" spans="1:7" ht="15" customHeight="1">
      <c r="A174" s="235" t="s">
        <v>107</v>
      </c>
      <c r="B174" s="236">
        <v>4119</v>
      </c>
      <c r="C174" s="237" t="s">
        <v>342</v>
      </c>
      <c r="D174" s="238">
        <v>26007</v>
      </c>
      <c r="E174" s="239">
        <v>546</v>
      </c>
      <c r="F174" s="238">
        <v>0</v>
      </c>
      <c r="G174" s="239">
        <f t="shared" si="2"/>
        <v>26553</v>
      </c>
    </row>
    <row r="175" spans="1:7" ht="15" customHeight="1">
      <c r="A175" s="235" t="s">
        <v>107</v>
      </c>
      <c r="B175" s="236">
        <v>4127</v>
      </c>
      <c r="C175" s="237" t="s">
        <v>343</v>
      </c>
      <c r="D175" s="238">
        <v>13368</v>
      </c>
      <c r="E175" s="239">
        <v>651</v>
      </c>
      <c r="F175" s="238">
        <v>0</v>
      </c>
      <c r="G175" s="239">
        <f t="shared" si="2"/>
        <v>14019</v>
      </c>
    </row>
    <row r="176" spans="1:7" ht="15" customHeight="1">
      <c r="A176" s="241" t="s">
        <v>107</v>
      </c>
      <c r="B176" s="242">
        <v>4129</v>
      </c>
      <c r="C176" s="243" t="s">
        <v>343</v>
      </c>
      <c r="D176" s="244">
        <v>3708</v>
      </c>
      <c r="E176" s="245">
        <v>116</v>
      </c>
      <c r="F176" s="244">
        <v>0</v>
      </c>
      <c r="G176" s="245">
        <f t="shared" si="2"/>
        <v>3824</v>
      </c>
    </row>
    <row r="177" spans="1:7" ht="15" customHeight="1">
      <c r="A177" s="235" t="s">
        <v>107</v>
      </c>
      <c r="B177" s="236">
        <v>4307</v>
      </c>
      <c r="C177" s="237" t="s">
        <v>349</v>
      </c>
      <c r="D177" s="238">
        <v>1156829</v>
      </c>
      <c r="E177" s="239">
        <v>0</v>
      </c>
      <c r="F177" s="238">
        <v>340846</v>
      </c>
      <c r="G177" s="239">
        <f t="shared" si="2"/>
        <v>815983</v>
      </c>
    </row>
    <row r="178" spans="1:7" ht="15" customHeight="1">
      <c r="A178" s="235" t="s">
        <v>107</v>
      </c>
      <c r="B178" s="236">
        <v>4309</v>
      </c>
      <c r="C178" s="237" t="s">
        <v>349</v>
      </c>
      <c r="D178" s="238">
        <v>223980</v>
      </c>
      <c r="E178" s="239">
        <v>0</v>
      </c>
      <c r="F178" s="238">
        <v>60150</v>
      </c>
      <c r="G178" s="239">
        <f t="shared" si="2"/>
        <v>163830</v>
      </c>
    </row>
    <row r="179" spans="1:7" ht="15" customHeight="1">
      <c r="A179" s="235" t="s">
        <v>107</v>
      </c>
      <c r="B179" s="236">
        <v>4717</v>
      </c>
      <c r="C179" s="237" t="s">
        <v>354</v>
      </c>
      <c r="D179" s="238">
        <v>8184</v>
      </c>
      <c r="E179" s="239">
        <v>399</v>
      </c>
      <c r="F179" s="238">
        <v>0</v>
      </c>
      <c r="G179" s="239">
        <f t="shared" si="2"/>
        <v>8583</v>
      </c>
    </row>
    <row r="180" spans="1:7" ht="15" customHeight="1">
      <c r="A180" s="235" t="s">
        <v>107</v>
      </c>
      <c r="B180" s="236">
        <v>4719</v>
      </c>
      <c r="C180" s="237" t="s">
        <v>354</v>
      </c>
      <c r="D180" s="238">
        <v>2246</v>
      </c>
      <c r="E180" s="239">
        <v>70</v>
      </c>
      <c r="F180" s="238">
        <v>0</v>
      </c>
      <c r="G180" s="239">
        <f t="shared" si="2"/>
        <v>2316</v>
      </c>
    </row>
    <row r="181" spans="1:7" ht="15" customHeight="1">
      <c r="A181" s="235" t="s">
        <v>107</v>
      </c>
      <c r="B181" s="236">
        <v>6010</v>
      </c>
      <c r="C181" s="237" t="s">
        <v>364</v>
      </c>
      <c r="D181" s="238">
        <v>32500000</v>
      </c>
      <c r="E181" s="239">
        <v>6248000</v>
      </c>
      <c r="F181" s="238">
        <v>0</v>
      </c>
      <c r="G181" s="239">
        <f t="shared" si="2"/>
        <v>38748000</v>
      </c>
    </row>
    <row r="182" spans="1:7" ht="15" customHeight="1">
      <c r="A182" s="235" t="s">
        <v>107</v>
      </c>
      <c r="B182" s="236">
        <v>6050</v>
      </c>
      <c r="C182" s="237" t="s">
        <v>359</v>
      </c>
      <c r="D182" s="238">
        <v>0</v>
      </c>
      <c r="E182" s="239">
        <v>159525</v>
      </c>
      <c r="F182" s="238">
        <v>0</v>
      </c>
      <c r="G182" s="239">
        <f t="shared" si="2"/>
        <v>159525</v>
      </c>
    </row>
    <row r="183" spans="1:7" s="229" customFormat="1" ht="15" customHeight="1">
      <c r="A183" s="224" t="s">
        <v>25</v>
      </c>
      <c r="B183" s="225" t="s">
        <v>107</v>
      </c>
      <c r="C183" s="226" t="s">
        <v>63</v>
      </c>
      <c r="D183" s="227">
        <v>55692181</v>
      </c>
      <c r="E183" s="228">
        <f>E184+E186+E188+E201+E206+E209</f>
        <v>4042178</v>
      </c>
      <c r="F183" s="227">
        <f>F184+F186+F188+F201+F206+F209</f>
        <v>1563976</v>
      </c>
      <c r="G183" s="228">
        <f t="shared" si="2"/>
        <v>58170383</v>
      </c>
    </row>
    <row r="184" spans="1:7" s="229" customFormat="1" ht="15" customHeight="1">
      <c r="A184" s="246">
        <v>85203</v>
      </c>
      <c r="B184" s="247" t="s">
        <v>107</v>
      </c>
      <c r="C184" s="248" t="s">
        <v>292</v>
      </c>
      <c r="D184" s="249">
        <v>1888479</v>
      </c>
      <c r="E184" s="250">
        <f>E185</f>
        <v>425000</v>
      </c>
      <c r="F184" s="249">
        <f>F185</f>
        <v>0</v>
      </c>
      <c r="G184" s="250">
        <f t="shared" si="2"/>
        <v>2313479</v>
      </c>
    </row>
    <row r="185" spans="1:7" ht="70.5" customHeight="1">
      <c r="A185" s="235" t="s">
        <v>107</v>
      </c>
      <c r="B185" s="236">
        <v>2009</v>
      </c>
      <c r="C185" s="237" t="s">
        <v>373</v>
      </c>
      <c r="D185" s="238">
        <v>1888479</v>
      </c>
      <c r="E185" s="239">
        <v>425000</v>
      </c>
      <c r="F185" s="238">
        <v>0</v>
      </c>
      <c r="G185" s="239">
        <f t="shared" si="2"/>
        <v>2313479</v>
      </c>
    </row>
    <row r="186" spans="1:7" s="229" customFormat="1" ht="15" customHeight="1">
      <c r="A186" s="230">
        <v>85205</v>
      </c>
      <c r="B186" s="231" t="s">
        <v>107</v>
      </c>
      <c r="C186" s="232" t="s">
        <v>147</v>
      </c>
      <c r="D186" s="233">
        <v>745000</v>
      </c>
      <c r="E186" s="234">
        <f>E187</f>
        <v>100000</v>
      </c>
      <c r="F186" s="233">
        <f>F187</f>
        <v>0</v>
      </c>
      <c r="G186" s="234">
        <f t="shared" si="2"/>
        <v>845000</v>
      </c>
    </row>
    <row r="187" spans="1:7" ht="15" customHeight="1">
      <c r="A187" s="235" t="s">
        <v>107</v>
      </c>
      <c r="B187" s="236">
        <v>4300</v>
      </c>
      <c r="C187" s="237" t="s">
        <v>349</v>
      </c>
      <c r="D187" s="238">
        <v>446500</v>
      </c>
      <c r="E187" s="239">
        <v>100000</v>
      </c>
      <c r="F187" s="238">
        <v>0</v>
      </c>
      <c r="G187" s="239">
        <f t="shared" si="2"/>
        <v>546500</v>
      </c>
    </row>
    <row r="188" spans="1:7" s="229" customFormat="1" ht="15" customHeight="1">
      <c r="A188" s="230">
        <v>85217</v>
      </c>
      <c r="B188" s="231" t="s">
        <v>107</v>
      </c>
      <c r="C188" s="232" t="s">
        <v>293</v>
      </c>
      <c r="D188" s="233">
        <v>6671496</v>
      </c>
      <c r="E188" s="234">
        <f>SUM(E189:E200)</f>
        <v>246711</v>
      </c>
      <c r="F188" s="233">
        <f>SUM(F189:F200)</f>
        <v>0</v>
      </c>
      <c r="G188" s="234">
        <f t="shared" si="2"/>
        <v>6918207</v>
      </c>
    </row>
    <row r="189" spans="1:7" ht="15" customHeight="1">
      <c r="A189" s="235" t="s">
        <v>107</v>
      </c>
      <c r="B189" s="236">
        <v>4017</v>
      </c>
      <c r="C189" s="237" t="s">
        <v>341</v>
      </c>
      <c r="D189" s="238">
        <v>0</v>
      </c>
      <c r="E189" s="239">
        <v>18730</v>
      </c>
      <c r="F189" s="238">
        <v>0</v>
      </c>
      <c r="G189" s="239">
        <f t="shared" si="2"/>
        <v>18730</v>
      </c>
    </row>
    <row r="190" spans="1:7" ht="15" customHeight="1">
      <c r="A190" s="235" t="s">
        <v>107</v>
      </c>
      <c r="B190" s="236">
        <v>4019</v>
      </c>
      <c r="C190" s="237" t="s">
        <v>341</v>
      </c>
      <c r="D190" s="238">
        <v>0</v>
      </c>
      <c r="E190" s="239">
        <v>1102</v>
      </c>
      <c r="F190" s="238">
        <v>0</v>
      </c>
      <c r="G190" s="239">
        <f t="shared" si="2"/>
        <v>1102</v>
      </c>
    </row>
    <row r="191" spans="1:7" ht="15" customHeight="1">
      <c r="A191" s="235" t="s">
        <v>107</v>
      </c>
      <c r="B191" s="236">
        <v>4117</v>
      </c>
      <c r="C191" s="237" t="s">
        <v>342</v>
      </c>
      <c r="D191" s="238">
        <v>0</v>
      </c>
      <c r="E191" s="239">
        <v>3195</v>
      </c>
      <c r="F191" s="238">
        <v>0</v>
      </c>
      <c r="G191" s="239">
        <f t="shared" si="2"/>
        <v>3195</v>
      </c>
    </row>
    <row r="192" spans="1:7" ht="15" customHeight="1">
      <c r="A192" s="235" t="s">
        <v>107</v>
      </c>
      <c r="B192" s="236">
        <v>4119</v>
      </c>
      <c r="C192" s="237" t="s">
        <v>342</v>
      </c>
      <c r="D192" s="238">
        <v>0</v>
      </c>
      <c r="E192" s="239">
        <v>188</v>
      </c>
      <c r="F192" s="238">
        <v>0</v>
      </c>
      <c r="G192" s="239">
        <f t="shared" si="2"/>
        <v>188</v>
      </c>
    </row>
    <row r="193" spans="1:7" ht="15" customHeight="1">
      <c r="A193" s="235" t="s">
        <v>107</v>
      </c>
      <c r="B193" s="236">
        <v>4127</v>
      </c>
      <c r="C193" s="237" t="s">
        <v>343</v>
      </c>
      <c r="D193" s="238">
        <v>0</v>
      </c>
      <c r="E193" s="239">
        <v>459</v>
      </c>
      <c r="F193" s="238">
        <v>0</v>
      </c>
      <c r="G193" s="239">
        <f t="shared" si="2"/>
        <v>459</v>
      </c>
    </row>
    <row r="194" spans="1:7" ht="15" customHeight="1">
      <c r="A194" s="235" t="s">
        <v>107</v>
      </c>
      <c r="B194" s="236">
        <v>4129</v>
      </c>
      <c r="C194" s="237" t="s">
        <v>343</v>
      </c>
      <c r="D194" s="238">
        <v>0</v>
      </c>
      <c r="E194" s="239">
        <v>27</v>
      </c>
      <c r="F194" s="238">
        <v>0</v>
      </c>
      <c r="G194" s="239">
        <f t="shared" si="2"/>
        <v>27</v>
      </c>
    </row>
    <row r="195" spans="1:7" ht="15" customHeight="1">
      <c r="A195" s="235" t="s">
        <v>107</v>
      </c>
      <c r="B195" s="236">
        <v>4217</v>
      </c>
      <c r="C195" s="237" t="s">
        <v>345</v>
      </c>
      <c r="D195" s="238">
        <v>0</v>
      </c>
      <c r="E195" s="239">
        <v>134772</v>
      </c>
      <c r="F195" s="238">
        <v>0</v>
      </c>
      <c r="G195" s="239">
        <f t="shared" si="2"/>
        <v>134772</v>
      </c>
    </row>
    <row r="196" spans="1:7" ht="15" customHeight="1">
      <c r="A196" s="235" t="s">
        <v>107</v>
      </c>
      <c r="B196" s="236">
        <v>4219</v>
      </c>
      <c r="C196" s="237" t="s">
        <v>345</v>
      </c>
      <c r="D196" s="238">
        <v>0</v>
      </c>
      <c r="E196" s="239">
        <v>7928</v>
      </c>
      <c r="F196" s="238">
        <v>0</v>
      </c>
      <c r="G196" s="239">
        <f t="shared" si="2"/>
        <v>7928</v>
      </c>
    </row>
    <row r="197" spans="1:7" ht="15" customHeight="1">
      <c r="A197" s="235" t="s">
        <v>107</v>
      </c>
      <c r="B197" s="236">
        <v>4307</v>
      </c>
      <c r="C197" s="237" t="s">
        <v>349</v>
      </c>
      <c r="D197" s="238">
        <v>0</v>
      </c>
      <c r="E197" s="239">
        <v>75567</v>
      </c>
      <c r="F197" s="238">
        <v>0</v>
      </c>
      <c r="G197" s="239">
        <f t="shared" si="2"/>
        <v>75567</v>
      </c>
    </row>
    <row r="198" spans="1:7" ht="15" customHeight="1">
      <c r="A198" s="235" t="s">
        <v>107</v>
      </c>
      <c r="B198" s="236">
        <v>4309</v>
      </c>
      <c r="C198" s="237" t="s">
        <v>349</v>
      </c>
      <c r="D198" s="238">
        <v>0</v>
      </c>
      <c r="E198" s="239">
        <v>4446</v>
      </c>
      <c r="F198" s="238">
        <v>0</v>
      </c>
      <c r="G198" s="239">
        <f t="shared" si="2"/>
        <v>4446</v>
      </c>
    </row>
    <row r="199" spans="1:7" ht="15" customHeight="1">
      <c r="A199" s="235" t="s">
        <v>107</v>
      </c>
      <c r="B199" s="236">
        <v>4717</v>
      </c>
      <c r="C199" s="237" t="s">
        <v>354</v>
      </c>
      <c r="D199" s="238">
        <v>0</v>
      </c>
      <c r="E199" s="239">
        <v>281</v>
      </c>
      <c r="F199" s="238">
        <v>0</v>
      </c>
      <c r="G199" s="239">
        <f t="shared" si="2"/>
        <v>281</v>
      </c>
    </row>
    <row r="200" spans="1:7" ht="15" customHeight="1">
      <c r="A200" s="235" t="s">
        <v>107</v>
      </c>
      <c r="B200" s="236">
        <v>4719</v>
      </c>
      <c r="C200" s="237" t="s">
        <v>354</v>
      </c>
      <c r="D200" s="238">
        <v>0</v>
      </c>
      <c r="E200" s="239">
        <v>16</v>
      </c>
      <c r="F200" s="238">
        <v>0</v>
      </c>
      <c r="G200" s="239">
        <f t="shared" si="2"/>
        <v>16</v>
      </c>
    </row>
    <row r="201" spans="1:7" s="229" customFormat="1" ht="15" customHeight="1">
      <c r="A201" s="230">
        <v>85219</v>
      </c>
      <c r="B201" s="231" t="s">
        <v>107</v>
      </c>
      <c r="C201" s="232" t="s">
        <v>295</v>
      </c>
      <c r="D201" s="233">
        <v>0</v>
      </c>
      <c r="E201" s="234">
        <f>SUM(E202:E205)</f>
        <v>406350</v>
      </c>
      <c r="F201" s="233">
        <f>SUM(F202:F205)</f>
        <v>0</v>
      </c>
      <c r="G201" s="234">
        <f t="shared" si="2"/>
        <v>406350</v>
      </c>
    </row>
    <row r="202" spans="1:7" ht="70.5" customHeight="1">
      <c r="A202" s="235" t="s">
        <v>107</v>
      </c>
      <c r="B202" s="236">
        <v>2009</v>
      </c>
      <c r="C202" s="237" t="s">
        <v>373</v>
      </c>
      <c r="D202" s="238">
        <v>0</v>
      </c>
      <c r="E202" s="239">
        <v>145000</v>
      </c>
      <c r="F202" s="238">
        <v>0</v>
      </c>
      <c r="G202" s="239">
        <f t="shared" si="2"/>
        <v>145000</v>
      </c>
    </row>
    <row r="203" spans="1:7" ht="70.5" customHeight="1">
      <c r="A203" s="235" t="s">
        <v>107</v>
      </c>
      <c r="B203" s="236">
        <v>2059</v>
      </c>
      <c r="C203" s="237" t="s">
        <v>143</v>
      </c>
      <c r="D203" s="238">
        <v>0</v>
      </c>
      <c r="E203" s="239">
        <v>165000</v>
      </c>
      <c r="F203" s="238">
        <v>0</v>
      </c>
      <c r="G203" s="239">
        <f t="shared" si="2"/>
        <v>165000</v>
      </c>
    </row>
    <row r="204" spans="1:7" ht="70.5" customHeight="1">
      <c r="A204" s="235" t="s">
        <v>107</v>
      </c>
      <c r="B204" s="236">
        <v>6209</v>
      </c>
      <c r="C204" s="237" t="s">
        <v>376</v>
      </c>
      <c r="D204" s="238">
        <v>0</v>
      </c>
      <c r="E204" s="239">
        <v>1350</v>
      </c>
      <c r="F204" s="238">
        <v>0</v>
      </c>
      <c r="G204" s="239">
        <f t="shared" ref="G204:G267" si="3">D204+E204-F204</f>
        <v>1350</v>
      </c>
    </row>
    <row r="205" spans="1:7" ht="70.5" customHeight="1">
      <c r="A205" s="235" t="s">
        <v>107</v>
      </c>
      <c r="B205" s="236">
        <v>6259</v>
      </c>
      <c r="C205" s="237" t="s">
        <v>112</v>
      </c>
      <c r="D205" s="238">
        <v>0</v>
      </c>
      <c r="E205" s="239">
        <v>95000</v>
      </c>
      <c r="F205" s="238">
        <v>0</v>
      </c>
      <c r="G205" s="239">
        <f t="shared" si="3"/>
        <v>95000</v>
      </c>
    </row>
    <row r="206" spans="1:7" s="229" customFormat="1" ht="15" customHeight="1">
      <c r="A206" s="230">
        <v>85231</v>
      </c>
      <c r="B206" s="231" t="s">
        <v>107</v>
      </c>
      <c r="C206" s="232" t="s">
        <v>296</v>
      </c>
      <c r="D206" s="233">
        <v>800000</v>
      </c>
      <c r="E206" s="234">
        <f>SUM(E207:E208)</f>
        <v>700000</v>
      </c>
      <c r="F206" s="233">
        <f>SUM(F207:F208)</f>
        <v>0</v>
      </c>
      <c r="G206" s="234">
        <f t="shared" si="3"/>
        <v>1500000</v>
      </c>
    </row>
    <row r="207" spans="1:7" ht="27" customHeight="1">
      <c r="A207" s="235" t="s">
        <v>107</v>
      </c>
      <c r="B207" s="236">
        <v>4350</v>
      </c>
      <c r="C207" s="237" t="s">
        <v>378</v>
      </c>
      <c r="D207" s="238">
        <v>0</v>
      </c>
      <c r="E207" s="239">
        <v>100000</v>
      </c>
      <c r="F207" s="238">
        <v>0</v>
      </c>
      <c r="G207" s="239">
        <f t="shared" si="3"/>
        <v>100000</v>
      </c>
    </row>
    <row r="208" spans="1:7" ht="15" customHeight="1">
      <c r="A208" s="235" t="s">
        <v>107</v>
      </c>
      <c r="B208" s="236">
        <v>4370</v>
      </c>
      <c r="C208" s="237" t="s">
        <v>370</v>
      </c>
      <c r="D208" s="238">
        <v>800000</v>
      </c>
      <c r="E208" s="239">
        <v>600000</v>
      </c>
      <c r="F208" s="238">
        <v>0</v>
      </c>
      <c r="G208" s="239">
        <f t="shared" si="3"/>
        <v>1400000</v>
      </c>
    </row>
    <row r="209" spans="1:7" s="229" customFormat="1" ht="15" customHeight="1">
      <c r="A209" s="230">
        <v>85295</v>
      </c>
      <c r="B209" s="231" t="s">
        <v>107</v>
      </c>
      <c r="C209" s="232" t="s">
        <v>108</v>
      </c>
      <c r="D209" s="233">
        <v>45587206</v>
      </c>
      <c r="E209" s="234">
        <f>SUM(E210:E220)</f>
        <v>2164117</v>
      </c>
      <c r="F209" s="233">
        <f>SUM(F210:F220)</f>
        <v>1563976</v>
      </c>
      <c r="G209" s="234">
        <f t="shared" si="3"/>
        <v>46187347</v>
      </c>
    </row>
    <row r="210" spans="1:7" ht="73.5" customHeight="1">
      <c r="A210" s="235" t="s">
        <v>107</v>
      </c>
      <c r="B210" s="236">
        <v>2007</v>
      </c>
      <c r="C210" s="237" t="s">
        <v>373</v>
      </c>
      <c r="D210" s="238">
        <v>7465632</v>
      </c>
      <c r="E210" s="239">
        <v>85254</v>
      </c>
      <c r="F210" s="238">
        <v>0</v>
      </c>
      <c r="G210" s="239">
        <f t="shared" si="3"/>
        <v>7550886</v>
      </c>
    </row>
    <row r="211" spans="1:7" ht="73.5" customHeight="1">
      <c r="A211" s="241" t="s">
        <v>107</v>
      </c>
      <c r="B211" s="242">
        <v>2009</v>
      </c>
      <c r="C211" s="243" t="s">
        <v>373</v>
      </c>
      <c r="D211" s="244">
        <v>2757530</v>
      </c>
      <c r="E211" s="245">
        <v>0</v>
      </c>
      <c r="F211" s="244">
        <v>1519859</v>
      </c>
      <c r="G211" s="245">
        <f t="shared" si="3"/>
        <v>1237671</v>
      </c>
    </row>
    <row r="212" spans="1:7" ht="73.5" customHeight="1">
      <c r="A212" s="235" t="s">
        <v>107</v>
      </c>
      <c r="B212" s="236">
        <v>2057</v>
      </c>
      <c r="C212" s="237" t="s">
        <v>143</v>
      </c>
      <c r="D212" s="238">
        <v>3372035</v>
      </c>
      <c r="E212" s="239">
        <v>79091</v>
      </c>
      <c r="F212" s="238">
        <v>0</v>
      </c>
      <c r="G212" s="239">
        <f t="shared" si="3"/>
        <v>3451126</v>
      </c>
    </row>
    <row r="213" spans="1:7" ht="73.5" customHeight="1">
      <c r="A213" s="235" t="s">
        <v>107</v>
      </c>
      <c r="B213" s="236">
        <v>2059</v>
      </c>
      <c r="C213" s="237" t="s">
        <v>143</v>
      </c>
      <c r="D213" s="238">
        <v>620850</v>
      </c>
      <c r="E213" s="239">
        <v>299495</v>
      </c>
      <c r="F213" s="238">
        <v>0</v>
      </c>
      <c r="G213" s="239">
        <f t="shared" si="3"/>
        <v>920345</v>
      </c>
    </row>
    <row r="214" spans="1:7" ht="15" customHeight="1">
      <c r="A214" s="235" t="s">
        <v>107</v>
      </c>
      <c r="B214" s="236">
        <v>4217</v>
      </c>
      <c r="C214" s="237" t="s">
        <v>345</v>
      </c>
      <c r="D214" s="238">
        <v>2375973</v>
      </c>
      <c r="E214" s="239">
        <v>1342</v>
      </c>
      <c r="F214" s="238">
        <v>0</v>
      </c>
      <c r="G214" s="239">
        <f t="shared" si="3"/>
        <v>2377315</v>
      </c>
    </row>
    <row r="215" spans="1:7" ht="15" customHeight="1">
      <c r="A215" s="235" t="s">
        <v>107</v>
      </c>
      <c r="B215" s="236">
        <v>4219</v>
      </c>
      <c r="C215" s="237" t="s">
        <v>345</v>
      </c>
      <c r="D215" s="238">
        <v>279527</v>
      </c>
      <c r="E215" s="239">
        <v>158</v>
      </c>
      <c r="F215" s="238">
        <v>0</v>
      </c>
      <c r="G215" s="239">
        <f t="shared" si="3"/>
        <v>279685</v>
      </c>
    </row>
    <row r="216" spans="1:7" ht="15" customHeight="1">
      <c r="A216" s="235" t="s">
        <v>107</v>
      </c>
      <c r="B216" s="236">
        <v>4307</v>
      </c>
      <c r="C216" s="237" t="s">
        <v>349</v>
      </c>
      <c r="D216" s="238">
        <v>2413217</v>
      </c>
      <c r="E216" s="239">
        <v>34211</v>
      </c>
      <c r="F216" s="238">
        <v>0</v>
      </c>
      <c r="G216" s="239">
        <f t="shared" si="3"/>
        <v>2447428</v>
      </c>
    </row>
    <row r="217" spans="1:7" ht="15" customHeight="1">
      <c r="A217" s="235" t="s">
        <v>107</v>
      </c>
      <c r="B217" s="236">
        <v>4309</v>
      </c>
      <c r="C217" s="237" t="s">
        <v>349</v>
      </c>
      <c r="D217" s="238">
        <v>283908</v>
      </c>
      <c r="E217" s="239">
        <v>4024</v>
      </c>
      <c r="F217" s="238">
        <v>0</v>
      </c>
      <c r="G217" s="239">
        <f t="shared" si="3"/>
        <v>287932</v>
      </c>
    </row>
    <row r="218" spans="1:7" ht="15" customHeight="1">
      <c r="A218" s="235" t="s">
        <v>107</v>
      </c>
      <c r="B218" s="236">
        <v>6050</v>
      </c>
      <c r="C218" s="237" t="s">
        <v>359</v>
      </c>
      <c r="D218" s="238">
        <v>0</v>
      </c>
      <c r="E218" s="239">
        <v>913646</v>
      </c>
      <c r="F218" s="238">
        <v>0</v>
      </c>
      <c r="G218" s="239">
        <f t="shared" si="3"/>
        <v>913646</v>
      </c>
    </row>
    <row r="219" spans="1:7" ht="70.5" customHeight="1">
      <c r="A219" s="235" t="s">
        <v>107</v>
      </c>
      <c r="B219" s="236">
        <v>6209</v>
      </c>
      <c r="C219" s="237" t="s">
        <v>376</v>
      </c>
      <c r="D219" s="238">
        <v>113968</v>
      </c>
      <c r="E219" s="239">
        <v>0</v>
      </c>
      <c r="F219" s="238">
        <v>44117</v>
      </c>
      <c r="G219" s="239">
        <f t="shared" si="3"/>
        <v>69851</v>
      </c>
    </row>
    <row r="220" spans="1:7" ht="70.5" customHeight="1">
      <c r="A220" s="235" t="s">
        <v>107</v>
      </c>
      <c r="B220" s="236">
        <v>6259</v>
      </c>
      <c r="C220" s="237" t="s">
        <v>112</v>
      </c>
      <c r="D220" s="238">
        <v>851877</v>
      </c>
      <c r="E220" s="239">
        <v>746896</v>
      </c>
      <c r="F220" s="238">
        <v>0</v>
      </c>
      <c r="G220" s="239">
        <f t="shared" si="3"/>
        <v>1598773</v>
      </c>
    </row>
    <row r="221" spans="1:7" s="229" customFormat="1" ht="15" customHeight="1">
      <c r="A221" s="224" t="s">
        <v>64</v>
      </c>
      <c r="B221" s="225" t="s">
        <v>107</v>
      </c>
      <c r="C221" s="226" t="s">
        <v>297</v>
      </c>
      <c r="D221" s="227">
        <v>37175874</v>
      </c>
      <c r="E221" s="228">
        <f>E222+E224+E232+E238</f>
        <v>3752313</v>
      </c>
      <c r="F221" s="227">
        <f>F222+F224+F232+F238</f>
        <v>107309</v>
      </c>
      <c r="G221" s="228">
        <f t="shared" si="3"/>
        <v>40820878</v>
      </c>
    </row>
    <row r="222" spans="1:7" s="229" customFormat="1" ht="27" customHeight="1">
      <c r="A222" s="230">
        <v>85311</v>
      </c>
      <c r="B222" s="231" t="s">
        <v>107</v>
      </c>
      <c r="C222" s="232" t="s">
        <v>298</v>
      </c>
      <c r="D222" s="233">
        <v>600000</v>
      </c>
      <c r="E222" s="234">
        <f>E223</f>
        <v>180000</v>
      </c>
      <c r="F222" s="233">
        <f>F223</f>
        <v>0</v>
      </c>
      <c r="G222" s="234">
        <f t="shared" si="3"/>
        <v>780000</v>
      </c>
    </row>
    <row r="223" spans="1:7" ht="46.5" customHeight="1">
      <c r="A223" s="235" t="s">
        <v>107</v>
      </c>
      <c r="B223" s="236">
        <v>2310</v>
      </c>
      <c r="C223" s="237" t="s">
        <v>379</v>
      </c>
      <c r="D223" s="238">
        <v>215167</v>
      </c>
      <c r="E223" s="239">
        <v>180000</v>
      </c>
      <c r="F223" s="238">
        <v>0</v>
      </c>
      <c r="G223" s="239">
        <f t="shared" si="3"/>
        <v>395167</v>
      </c>
    </row>
    <row r="224" spans="1:7" s="229" customFormat="1" ht="15" customHeight="1">
      <c r="A224" s="230">
        <v>85324</v>
      </c>
      <c r="B224" s="231" t="s">
        <v>107</v>
      </c>
      <c r="C224" s="232" t="s">
        <v>149</v>
      </c>
      <c r="D224" s="233">
        <v>440550</v>
      </c>
      <c r="E224" s="234">
        <f>SUM(E225:E231)</f>
        <v>321474</v>
      </c>
      <c r="F224" s="233">
        <f>SUM(F225:F231)</f>
        <v>45000</v>
      </c>
      <c r="G224" s="234">
        <f t="shared" si="3"/>
        <v>717024</v>
      </c>
    </row>
    <row r="225" spans="1:7" ht="15" customHeight="1">
      <c r="A225" s="235" t="s">
        <v>107</v>
      </c>
      <c r="B225" s="236">
        <v>4010</v>
      </c>
      <c r="C225" s="237" t="s">
        <v>341</v>
      </c>
      <c r="D225" s="238">
        <v>277123</v>
      </c>
      <c r="E225" s="239">
        <v>219387</v>
      </c>
      <c r="F225" s="238">
        <v>0</v>
      </c>
      <c r="G225" s="239">
        <f t="shared" si="3"/>
        <v>496510</v>
      </c>
    </row>
    <row r="226" spans="1:7" ht="15" customHeight="1">
      <c r="A226" s="235" t="s">
        <v>107</v>
      </c>
      <c r="B226" s="236">
        <v>4040</v>
      </c>
      <c r="C226" s="237" t="s">
        <v>369</v>
      </c>
      <c r="D226" s="238">
        <v>45000</v>
      </c>
      <c r="E226" s="239">
        <v>0</v>
      </c>
      <c r="F226" s="238">
        <v>45000</v>
      </c>
      <c r="G226" s="239">
        <f t="shared" si="3"/>
        <v>0</v>
      </c>
    </row>
    <row r="227" spans="1:7" ht="15" customHeight="1">
      <c r="A227" s="235" t="s">
        <v>107</v>
      </c>
      <c r="B227" s="236">
        <v>4110</v>
      </c>
      <c r="C227" s="237" t="s">
        <v>342</v>
      </c>
      <c r="D227" s="238">
        <v>47637</v>
      </c>
      <c r="E227" s="239">
        <v>37713</v>
      </c>
      <c r="F227" s="238">
        <v>0</v>
      </c>
      <c r="G227" s="239">
        <f t="shared" si="3"/>
        <v>85350</v>
      </c>
    </row>
    <row r="228" spans="1:7" ht="15" customHeight="1">
      <c r="A228" s="235" t="s">
        <v>107</v>
      </c>
      <c r="B228" s="236">
        <v>4120</v>
      </c>
      <c r="C228" s="237" t="s">
        <v>343</v>
      </c>
      <c r="D228" s="238">
        <v>6790</v>
      </c>
      <c r="E228" s="239">
        <v>5374</v>
      </c>
      <c r="F228" s="238">
        <v>0</v>
      </c>
      <c r="G228" s="239">
        <f t="shared" si="3"/>
        <v>12164</v>
      </c>
    </row>
    <row r="229" spans="1:7" ht="15" customHeight="1">
      <c r="A229" s="235" t="s">
        <v>107</v>
      </c>
      <c r="B229" s="236">
        <v>4210</v>
      </c>
      <c r="C229" s="237" t="s">
        <v>345</v>
      </c>
      <c r="D229" s="238">
        <v>50000</v>
      </c>
      <c r="E229" s="239">
        <v>10000</v>
      </c>
      <c r="F229" s="238">
        <v>0</v>
      </c>
      <c r="G229" s="239">
        <f t="shared" si="3"/>
        <v>60000</v>
      </c>
    </row>
    <row r="230" spans="1:7" ht="15" customHeight="1">
      <c r="A230" s="235" t="s">
        <v>107</v>
      </c>
      <c r="B230" s="236">
        <v>4220</v>
      </c>
      <c r="C230" s="237" t="s">
        <v>346</v>
      </c>
      <c r="D230" s="238">
        <v>2000</v>
      </c>
      <c r="E230" s="239">
        <v>4000</v>
      </c>
      <c r="F230" s="238">
        <v>0</v>
      </c>
      <c r="G230" s="239">
        <f t="shared" si="3"/>
        <v>6000</v>
      </c>
    </row>
    <row r="231" spans="1:7" ht="27" customHeight="1">
      <c r="A231" s="235" t="s">
        <v>107</v>
      </c>
      <c r="B231" s="236">
        <v>4700</v>
      </c>
      <c r="C231" s="237" t="s">
        <v>353</v>
      </c>
      <c r="D231" s="238">
        <v>5000</v>
      </c>
      <c r="E231" s="239">
        <v>45000</v>
      </c>
      <c r="F231" s="238">
        <v>0</v>
      </c>
      <c r="G231" s="239">
        <f t="shared" si="3"/>
        <v>50000</v>
      </c>
    </row>
    <row r="232" spans="1:7" s="229" customFormat="1" ht="15" customHeight="1">
      <c r="A232" s="230">
        <v>85332</v>
      </c>
      <c r="B232" s="231" t="s">
        <v>107</v>
      </c>
      <c r="C232" s="232" t="s">
        <v>300</v>
      </c>
      <c r="D232" s="233">
        <v>18139137</v>
      </c>
      <c r="E232" s="234">
        <f>SUM(E233:E237)</f>
        <v>153500</v>
      </c>
      <c r="F232" s="233">
        <f>SUM(F233:F237)</f>
        <v>23500</v>
      </c>
      <c r="G232" s="234">
        <f t="shared" si="3"/>
        <v>18269137</v>
      </c>
    </row>
    <row r="233" spans="1:7" ht="15" customHeight="1">
      <c r="A233" s="235" t="s">
        <v>107</v>
      </c>
      <c r="B233" s="236">
        <v>4260</v>
      </c>
      <c r="C233" s="237" t="s">
        <v>347</v>
      </c>
      <c r="D233" s="238">
        <v>256000</v>
      </c>
      <c r="E233" s="239">
        <v>130000</v>
      </c>
      <c r="F233" s="238">
        <v>0</v>
      </c>
      <c r="G233" s="239">
        <f t="shared" si="3"/>
        <v>386000</v>
      </c>
    </row>
    <row r="234" spans="1:7" ht="15" customHeight="1">
      <c r="A234" s="235" t="s">
        <v>107</v>
      </c>
      <c r="B234" s="236">
        <v>4308</v>
      </c>
      <c r="C234" s="237" t="s">
        <v>349</v>
      </c>
      <c r="D234" s="238">
        <v>121250</v>
      </c>
      <c r="E234" s="239">
        <v>0</v>
      </c>
      <c r="F234" s="238">
        <v>19975</v>
      </c>
      <c r="G234" s="239">
        <f t="shared" si="3"/>
        <v>101275</v>
      </c>
    </row>
    <row r="235" spans="1:7" ht="15" customHeight="1">
      <c r="A235" s="235" t="s">
        <v>107</v>
      </c>
      <c r="B235" s="236">
        <v>4309</v>
      </c>
      <c r="C235" s="237" t="s">
        <v>349</v>
      </c>
      <c r="D235" s="238">
        <v>36664</v>
      </c>
      <c r="E235" s="239">
        <v>0</v>
      </c>
      <c r="F235" s="238">
        <v>3525</v>
      </c>
      <c r="G235" s="239">
        <f t="shared" si="3"/>
        <v>33139</v>
      </c>
    </row>
    <row r="236" spans="1:7" ht="27" customHeight="1">
      <c r="A236" s="235" t="s">
        <v>107</v>
      </c>
      <c r="B236" s="236">
        <v>4408</v>
      </c>
      <c r="C236" s="237" t="s">
        <v>351</v>
      </c>
      <c r="D236" s="238">
        <v>78770</v>
      </c>
      <c r="E236" s="239">
        <v>19975</v>
      </c>
      <c r="F236" s="238">
        <v>0</v>
      </c>
      <c r="G236" s="239">
        <f t="shared" si="3"/>
        <v>98745</v>
      </c>
    </row>
    <row r="237" spans="1:7" ht="27" customHeight="1">
      <c r="A237" s="235" t="s">
        <v>107</v>
      </c>
      <c r="B237" s="236">
        <v>4409</v>
      </c>
      <c r="C237" s="237" t="s">
        <v>351</v>
      </c>
      <c r="D237" s="238">
        <v>13900</v>
      </c>
      <c r="E237" s="239">
        <v>3525</v>
      </c>
      <c r="F237" s="238">
        <v>0</v>
      </c>
      <c r="G237" s="239">
        <f t="shared" si="3"/>
        <v>17425</v>
      </c>
    </row>
    <row r="238" spans="1:7" s="229" customFormat="1" ht="15" customHeight="1">
      <c r="A238" s="230">
        <v>85395</v>
      </c>
      <c r="B238" s="231" t="s">
        <v>107</v>
      </c>
      <c r="C238" s="232" t="s">
        <v>108</v>
      </c>
      <c r="D238" s="233">
        <v>16376187</v>
      </c>
      <c r="E238" s="234">
        <f>SUM(E239:E266)</f>
        <v>3097339</v>
      </c>
      <c r="F238" s="233">
        <f>SUM(F239:F266)</f>
        <v>38809</v>
      </c>
      <c r="G238" s="234">
        <f t="shared" si="3"/>
        <v>19434717</v>
      </c>
    </row>
    <row r="239" spans="1:7" ht="69.75" customHeight="1">
      <c r="A239" s="235" t="s">
        <v>107</v>
      </c>
      <c r="B239" s="236">
        <v>2007</v>
      </c>
      <c r="C239" s="237" t="s">
        <v>373</v>
      </c>
      <c r="D239" s="238">
        <v>1046535</v>
      </c>
      <c r="E239" s="239">
        <v>2873</v>
      </c>
      <c r="F239" s="238">
        <v>0</v>
      </c>
      <c r="G239" s="239">
        <f t="shared" si="3"/>
        <v>1049408</v>
      </c>
    </row>
    <row r="240" spans="1:7" ht="69.75" customHeight="1">
      <c r="A240" s="235" t="s">
        <v>107</v>
      </c>
      <c r="B240" s="236">
        <v>2009</v>
      </c>
      <c r="C240" s="237" t="s">
        <v>373</v>
      </c>
      <c r="D240" s="238">
        <v>248497</v>
      </c>
      <c r="E240" s="239">
        <v>5891</v>
      </c>
      <c r="F240" s="238">
        <v>0</v>
      </c>
      <c r="G240" s="239">
        <f t="shared" si="3"/>
        <v>254388</v>
      </c>
    </row>
    <row r="241" spans="1:7" ht="69.75" customHeight="1">
      <c r="A241" s="235" t="s">
        <v>107</v>
      </c>
      <c r="B241" s="236">
        <v>2059</v>
      </c>
      <c r="C241" s="237" t="s">
        <v>143</v>
      </c>
      <c r="D241" s="238">
        <v>0</v>
      </c>
      <c r="E241" s="239">
        <v>125000</v>
      </c>
      <c r="F241" s="238">
        <v>0</v>
      </c>
      <c r="G241" s="239">
        <f t="shared" si="3"/>
        <v>125000</v>
      </c>
    </row>
    <row r="242" spans="1:7" ht="15" customHeight="1">
      <c r="A242" s="235" t="s">
        <v>107</v>
      </c>
      <c r="B242" s="236">
        <v>3030</v>
      </c>
      <c r="C242" s="237" t="s">
        <v>380</v>
      </c>
      <c r="D242" s="238">
        <v>0</v>
      </c>
      <c r="E242" s="239">
        <v>1000</v>
      </c>
      <c r="F242" s="238">
        <v>0</v>
      </c>
      <c r="G242" s="239">
        <f t="shared" si="3"/>
        <v>1000</v>
      </c>
    </row>
    <row r="243" spans="1:7" ht="15" customHeight="1">
      <c r="A243" s="235" t="s">
        <v>107</v>
      </c>
      <c r="B243" s="236">
        <v>4017</v>
      </c>
      <c r="C243" s="237" t="s">
        <v>341</v>
      </c>
      <c r="D243" s="238">
        <v>1416949</v>
      </c>
      <c r="E243" s="239">
        <v>0</v>
      </c>
      <c r="F243" s="238">
        <v>15768</v>
      </c>
      <c r="G243" s="239">
        <f t="shared" si="3"/>
        <v>1401181</v>
      </c>
    </row>
    <row r="244" spans="1:7" ht="15" customHeight="1">
      <c r="A244" s="241" t="s">
        <v>107</v>
      </c>
      <c r="B244" s="242">
        <v>4019</v>
      </c>
      <c r="C244" s="243" t="s">
        <v>341</v>
      </c>
      <c r="D244" s="244">
        <v>259185</v>
      </c>
      <c r="E244" s="245">
        <v>0</v>
      </c>
      <c r="F244" s="244">
        <v>4844</v>
      </c>
      <c r="G244" s="245">
        <f t="shared" si="3"/>
        <v>254341</v>
      </c>
    </row>
    <row r="245" spans="1:7" ht="15" customHeight="1">
      <c r="A245" s="235" t="s">
        <v>107</v>
      </c>
      <c r="B245" s="236">
        <v>4117</v>
      </c>
      <c r="C245" s="237" t="s">
        <v>342</v>
      </c>
      <c r="D245" s="238">
        <v>311728</v>
      </c>
      <c r="E245" s="239">
        <v>0</v>
      </c>
      <c r="F245" s="238">
        <v>2801</v>
      </c>
      <c r="G245" s="239">
        <f t="shared" si="3"/>
        <v>308927</v>
      </c>
    </row>
    <row r="246" spans="1:7" ht="15" customHeight="1">
      <c r="A246" s="235" t="s">
        <v>107</v>
      </c>
      <c r="B246" s="236">
        <v>4119</v>
      </c>
      <c r="C246" s="237" t="s">
        <v>342</v>
      </c>
      <c r="D246" s="238">
        <v>52761</v>
      </c>
      <c r="E246" s="239">
        <v>0</v>
      </c>
      <c r="F246" s="238">
        <v>846</v>
      </c>
      <c r="G246" s="239">
        <f t="shared" si="3"/>
        <v>51915</v>
      </c>
    </row>
    <row r="247" spans="1:7" ht="15" customHeight="1">
      <c r="A247" s="235" t="s">
        <v>107</v>
      </c>
      <c r="B247" s="236">
        <v>4127</v>
      </c>
      <c r="C247" s="237" t="s">
        <v>343</v>
      </c>
      <c r="D247" s="238">
        <v>35260</v>
      </c>
      <c r="E247" s="239">
        <v>0</v>
      </c>
      <c r="F247" s="238">
        <v>386</v>
      </c>
      <c r="G247" s="239">
        <f t="shared" si="3"/>
        <v>34874</v>
      </c>
    </row>
    <row r="248" spans="1:7" ht="15" customHeight="1">
      <c r="A248" s="235" t="s">
        <v>107</v>
      </c>
      <c r="B248" s="236">
        <v>4129</v>
      </c>
      <c r="C248" s="237" t="s">
        <v>343</v>
      </c>
      <c r="D248" s="238">
        <v>6442</v>
      </c>
      <c r="E248" s="239">
        <v>0</v>
      </c>
      <c r="F248" s="238">
        <v>119</v>
      </c>
      <c r="G248" s="239">
        <f t="shared" si="3"/>
        <v>6323</v>
      </c>
    </row>
    <row r="249" spans="1:7" ht="15" customHeight="1">
      <c r="A249" s="235" t="s">
        <v>107</v>
      </c>
      <c r="B249" s="236">
        <v>4190</v>
      </c>
      <c r="C249" s="237" t="s">
        <v>374</v>
      </c>
      <c r="D249" s="238">
        <v>28000</v>
      </c>
      <c r="E249" s="239">
        <v>69000</v>
      </c>
      <c r="F249" s="238">
        <v>0</v>
      </c>
      <c r="G249" s="239">
        <f t="shared" si="3"/>
        <v>97000</v>
      </c>
    </row>
    <row r="250" spans="1:7" ht="15" customHeight="1">
      <c r="A250" s="235" t="s">
        <v>107</v>
      </c>
      <c r="B250" s="236">
        <v>4210</v>
      </c>
      <c r="C250" s="237" t="s">
        <v>345</v>
      </c>
      <c r="D250" s="238">
        <v>3500</v>
      </c>
      <c r="E250" s="239">
        <v>500</v>
      </c>
      <c r="F250" s="238">
        <v>0</v>
      </c>
      <c r="G250" s="239">
        <f t="shared" si="3"/>
        <v>4000</v>
      </c>
    </row>
    <row r="251" spans="1:7" ht="15" customHeight="1">
      <c r="A251" s="235" t="s">
        <v>107</v>
      </c>
      <c r="B251" s="236">
        <v>4217</v>
      </c>
      <c r="C251" s="237" t="s">
        <v>345</v>
      </c>
      <c r="D251" s="238">
        <v>275268</v>
      </c>
      <c r="E251" s="239">
        <v>27290</v>
      </c>
      <c r="F251" s="238">
        <v>0</v>
      </c>
      <c r="G251" s="239">
        <f t="shared" si="3"/>
        <v>302558</v>
      </c>
    </row>
    <row r="252" spans="1:7" ht="15" customHeight="1">
      <c r="A252" s="235" t="s">
        <v>107</v>
      </c>
      <c r="B252" s="236">
        <v>4219</v>
      </c>
      <c r="C252" s="237" t="s">
        <v>345</v>
      </c>
      <c r="D252" s="238">
        <v>33129</v>
      </c>
      <c r="E252" s="239">
        <v>2710</v>
      </c>
      <c r="F252" s="238">
        <v>0</v>
      </c>
      <c r="G252" s="239">
        <f t="shared" si="3"/>
        <v>35839</v>
      </c>
    </row>
    <row r="253" spans="1:7" ht="15" customHeight="1">
      <c r="A253" s="235" t="s">
        <v>107</v>
      </c>
      <c r="B253" s="236">
        <v>4220</v>
      </c>
      <c r="C253" s="237" t="s">
        <v>346</v>
      </c>
      <c r="D253" s="238">
        <v>2700</v>
      </c>
      <c r="E253" s="239">
        <v>500</v>
      </c>
      <c r="F253" s="238">
        <v>0</v>
      </c>
      <c r="G253" s="239">
        <f t="shared" si="3"/>
        <v>3200</v>
      </c>
    </row>
    <row r="254" spans="1:7" ht="15" customHeight="1">
      <c r="A254" s="235" t="s">
        <v>107</v>
      </c>
      <c r="B254" s="236">
        <v>4300</v>
      </c>
      <c r="C254" s="237" t="s">
        <v>349</v>
      </c>
      <c r="D254" s="238">
        <v>142300</v>
      </c>
      <c r="E254" s="239">
        <v>36000</v>
      </c>
      <c r="F254" s="238">
        <v>0</v>
      </c>
      <c r="G254" s="239">
        <f t="shared" si="3"/>
        <v>178300</v>
      </c>
    </row>
    <row r="255" spans="1:7" ht="15" customHeight="1">
      <c r="A255" s="235" t="s">
        <v>107</v>
      </c>
      <c r="B255" s="236">
        <v>4307</v>
      </c>
      <c r="C255" s="237" t="s">
        <v>349</v>
      </c>
      <c r="D255" s="238">
        <v>2787762</v>
      </c>
      <c r="E255" s="239">
        <v>0</v>
      </c>
      <c r="F255" s="238">
        <v>11184</v>
      </c>
      <c r="G255" s="239">
        <f t="shared" si="3"/>
        <v>2776578</v>
      </c>
    </row>
    <row r="256" spans="1:7" ht="15" customHeight="1">
      <c r="A256" s="235" t="s">
        <v>107</v>
      </c>
      <c r="B256" s="236">
        <v>4309</v>
      </c>
      <c r="C256" s="237" t="s">
        <v>349</v>
      </c>
      <c r="D256" s="238">
        <v>531509</v>
      </c>
      <c r="E256" s="239">
        <v>0</v>
      </c>
      <c r="F256" s="238">
        <v>2816</v>
      </c>
      <c r="G256" s="239">
        <f t="shared" si="3"/>
        <v>528693</v>
      </c>
    </row>
    <row r="257" spans="1:7" ht="27" customHeight="1">
      <c r="A257" s="235" t="s">
        <v>107</v>
      </c>
      <c r="B257" s="236">
        <v>4350</v>
      </c>
      <c r="C257" s="237" t="s">
        <v>378</v>
      </c>
      <c r="D257" s="238">
        <v>77620</v>
      </c>
      <c r="E257" s="239">
        <v>1000</v>
      </c>
      <c r="F257" s="238">
        <v>0</v>
      </c>
      <c r="G257" s="239">
        <f t="shared" si="3"/>
        <v>78620</v>
      </c>
    </row>
    <row r="258" spans="1:7" ht="15" customHeight="1">
      <c r="A258" s="235" t="s">
        <v>107</v>
      </c>
      <c r="B258" s="236">
        <v>4370</v>
      </c>
      <c r="C258" s="237" t="s">
        <v>370</v>
      </c>
      <c r="D258" s="238">
        <v>6709494</v>
      </c>
      <c r="E258" s="239">
        <v>1273970</v>
      </c>
      <c r="F258" s="238">
        <v>0</v>
      </c>
      <c r="G258" s="239">
        <f t="shared" si="3"/>
        <v>7983464</v>
      </c>
    </row>
    <row r="259" spans="1:7" ht="15" customHeight="1">
      <c r="A259" s="235" t="s">
        <v>107</v>
      </c>
      <c r="B259" s="236">
        <v>4717</v>
      </c>
      <c r="C259" s="237" t="s">
        <v>354</v>
      </c>
      <c r="D259" s="238">
        <v>21679</v>
      </c>
      <c r="E259" s="239">
        <v>45</v>
      </c>
      <c r="F259" s="238">
        <v>0</v>
      </c>
      <c r="G259" s="239">
        <f t="shared" si="3"/>
        <v>21724</v>
      </c>
    </row>
    <row r="260" spans="1:7" ht="15" customHeight="1">
      <c r="A260" s="235" t="s">
        <v>107</v>
      </c>
      <c r="B260" s="236">
        <v>4719</v>
      </c>
      <c r="C260" s="237" t="s">
        <v>354</v>
      </c>
      <c r="D260" s="238">
        <v>3959</v>
      </c>
      <c r="E260" s="239">
        <v>0</v>
      </c>
      <c r="F260" s="238">
        <v>45</v>
      </c>
      <c r="G260" s="239">
        <f t="shared" si="3"/>
        <v>3914</v>
      </c>
    </row>
    <row r="261" spans="1:7" ht="27" customHeight="1">
      <c r="A261" s="235" t="s">
        <v>107</v>
      </c>
      <c r="B261" s="236">
        <v>4740</v>
      </c>
      <c r="C261" s="237" t="s">
        <v>381</v>
      </c>
      <c r="D261" s="238">
        <v>285000</v>
      </c>
      <c r="E261" s="239">
        <v>110000</v>
      </c>
      <c r="F261" s="238">
        <v>0</v>
      </c>
      <c r="G261" s="239">
        <f t="shared" si="3"/>
        <v>395000</v>
      </c>
    </row>
    <row r="262" spans="1:7" ht="41.1" customHeight="1">
      <c r="A262" s="235" t="s">
        <v>107</v>
      </c>
      <c r="B262" s="236">
        <v>4840</v>
      </c>
      <c r="C262" s="237" t="s">
        <v>382</v>
      </c>
      <c r="D262" s="238">
        <v>38100</v>
      </c>
      <c r="E262" s="239">
        <v>10500</v>
      </c>
      <c r="F262" s="238">
        <v>0</v>
      </c>
      <c r="G262" s="239">
        <f t="shared" si="3"/>
        <v>48600</v>
      </c>
    </row>
    <row r="263" spans="1:7" ht="27" customHeight="1">
      <c r="A263" s="235" t="s">
        <v>107</v>
      </c>
      <c r="B263" s="236">
        <v>4850</v>
      </c>
      <c r="C263" s="237" t="s">
        <v>383</v>
      </c>
      <c r="D263" s="238">
        <v>77330</v>
      </c>
      <c r="E263" s="239">
        <v>23330</v>
      </c>
      <c r="F263" s="238">
        <v>0</v>
      </c>
      <c r="G263" s="239">
        <f t="shared" si="3"/>
        <v>100660</v>
      </c>
    </row>
    <row r="264" spans="1:7" ht="27" customHeight="1">
      <c r="A264" s="235" t="s">
        <v>107</v>
      </c>
      <c r="B264" s="236">
        <v>4860</v>
      </c>
      <c r="C264" s="237" t="s">
        <v>384</v>
      </c>
      <c r="D264" s="238">
        <v>401950</v>
      </c>
      <c r="E264" s="239">
        <v>81200</v>
      </c>
      <c r="F264" s="238">
        <v>0</v>
      </c>
      <c r="G264" s="239">
        <f t="shared" si="3"/>
        <v>483150</v>
      </c>
    </row>
    <row r="265" spans="1:7" ht="15" customHeight="1">
      <c r="A265" s="235" t="s">
        <v>107</v>
      </c>
      <c r="B265" s="236">
        <v>6050</v>
      </c>
      <c r="C265" s="237" t="s">
        <v>359</v>
      </c>
      <c r="D265" s="238">
        <v>0</v>
      </c>
      <c r="E265" s="239">
        <v>1280000</v>
      </c>
      <c r="F265" s="238">
        <v>0</v>
      </c>
      <c r="G265" s="239">
        <f t="shared" si="3"/>
        <v>1280000</v>
      </c>
    </row>
    <row r="266" spans="1:7" ht="73.5" customHeight="1">
      <c r="A266" s="235" t="s">
        <v>107</v>
      </c>
      <c r="B266" s="236">
        <v>6259</v>
      </c>
      <c r="C266" s="237" t="s">
        <v>112</v>
      </c>
      <c r="D266" s="238">
        <v>0</v>
      </c>
      <c r="E266" s="239">
        <v>46530</v>
      </c>
      <c r="F266" s="238">
        <v>0</v>
      </c>
      <c r="G266" s="239">
        <f t="shared" si="3"/>
        <v>46530</v>
      </c>
    </row>
    <row r="267" spans="1:7" s="229" customFormat="1" ht="15" customHeight="1">
      <c r="A267" s="224" t="s">
        <v>26</v>
      </c>
      <c r="B267" s="225" t="s">
        <v>107</v>
      </c>
      <c r="C267" s="226" t="s">
        <v>28</v>
      </c>
      <c r="D267" s="227">
        <v>50742655</v>
      </c>
      <c r="E267" s="228">
        <f>E268+E272</f>
        <v>156899</v>
      </c>
      <c r="F267" s="227">
        <f>F268+F272</f>
        <v>2112606</v>
      </c>
      <c r="G267" s="228">
        <f t="shared" si="3"/>
        <v>48786948</v>
      </c>
    </row>
    <row r="268" spans="1:7" s="229" customFormat="1" ht="15" customHeight="1">
      <c r="A268" s="230">
        <v>85403</v>
      </c>
      <c r="B268" s="231" t="s">
        <v>107</v>
      </c>
      <c r="C268" s="232" t="s">
        <v>302</v>
      </c>
      <c r="D268" s="233">
        <v>36400286</v>
      </c>
      <c r="E268" s="234">
        <f>SUM(E269:E271)</f>
        <v>156899</v>
      </c>
      <c r="F268" s="233">
        <f>SUM(F269:F271)</f>
        <v>2053684</v>
      </c>
      <c r="G268" s="234">
        <f t="shared" ref="G268:G331" si="4">D268+E268-F268</f>
        <v>34503501</v>
      </c>
    </row>
    <row r="269" spans="1:7" ht="15" customHeight="1">
      <c r="A269" s="235" t="s">
        <v>107</v>
      </c>
      <c r="B269" s="236">
        <v>4270</v>
      </c>
      <c r="C269" s="237" t="s">
        <v>348</v>
      </c>
      <c r="D269" s="238">
        <v>204500</v>
      </c>
      <c r="E269" s="239">
        <v>21200</v>
      </c>
      <c r="F269" s="238">
        <v>0</v>
      </c>
      <c r="G269" s="239">
        <f t="shared" si="4"/>
        <v>225700</v>
      </c>
    </row>
    <row r="270" spans="1:7" ht="57.75" customHeight="1">
      <c r="A270" s="235" t="s">
        <v>107</v>
      </c>
      <c r="B270" s="236">
        <v>4560</v>
      </c>
      <c r="C270" s="237" t="s">
        <v>357</v>
      </c>
      <c r="D270" s="238">
        <v>0</v>
      </c>
      <c r="E270" s="239">
        <v>135699</v>
      </c>
      <c r="F270" s="238">
        <v>0</v>
      </c>
      <c r="G270" s="239">
        <f t="shared" si="4"/>
        <v>135699</v>
      </c>
    </row>
    <row r="271" spans="1:7" ht="15" customHeight="1">
      <c r="A271" s="235" t="s">
        <v>107</v>
      </c>
      <c r="B271" s="236">
        <v>6050</v>
      </c>
      <c r="C271" s="237" t="s">
        <v>359</v>
      </c>
      <c r="D271" s="238">
        <v>7508980</v>
      </c>
      <c r="E271" s="239">
        <v>0</v>
      </c>
      <c r="F271" s="238">
        <v>2053684</v>
      </c>
      <c r="G271" s="239">
        <f t="shared" si="4"/>
        <v>5455296</v>
      </c>
    </row>
    <row r="272" spans="1:7" s="229" customFormat="1" ht="15" customHeight="1">
      <c r="A272" s="230">
        <v>85446</v>
      </c>
      <c r="B272" s="231" t="s">
        <v>107</v>
      </c>
      <c r="C272" s="232" t="s">
        <v>270</v>
      </c>
      <c r="D272" s="233">
        <v>200000</v>
      </c>
      <c r="E272" s="234">
        <f>E273</f>
        <v>0</v>
      </c>
      <c r="F272" s="233">
        <f>F273</f>
        <v>58922</v>
      </c>
      <c r="G272" s="234">
        <f t="shared" si="4"/>
        <v>141078</v>
      </c>
    </row>
    <row r="273" spans="1:7" ht="15" customHeight="1">
      <c r="A273" s="235" t="s">
        <v>107</v>
      </c>
      <c r="B273" s="236">
        <v>4300</v>
      </c>
      <c r="C273" s="237" t="s">
        <v>349</v>
      </c>
      <c r="D273" s="238">
        <v>181000</v>
      </c>
      <c r="E273" s="239">
        <v>0</v>
      </c>
      <c r="F273" s="238">
        <v>58922</v>
      </c>
      <c r="G273" s="239">
        <f t="shared" si="4"/>
        <v>122078</v>
      </c>
    </row>
    <row r="274" spans="1:7" s="229" customFormat="1" ht="15" customHeight="1">
      <c r="A274" s="224" t="s">
        <v>65</v>
      </c>
      <c r="B274" s="225" t="s">
        <v>107</v>
      </c>
      <c r="C274" s="226" t="s">
        <v>66</v>
      </c>
      <c r="D274" s="227">
        <v>21607809</v>
      </c>
      <c r="E274" s="228">
        <f>E275+E277+E279+E283</f>
        <v>576415.80000000005</v>
      </c>
      <c r="F274" s="227">
        <f>F275+F277+F279+F283</f>
        <v>12208924</v>
      </c>
      <c r="G274" s="228">
        <f t="shared" si="4"/>
        <v>9975300.8000000007</v>
      </c>
    </row>
    <row r="275" spans="1:7" s="229" customFormat="1" ht="27" customHeight="1">
      <c r="A275" s="230">
        <v>90020</v>
      </c>
      <c r="B275" s="231" t="s">
        <v>107</v>
      </c>
      <c r="C275" s="232" t="s">
        <v>315</v>
      </c>
      <c r="D275" s="233">
        <v>47500</v>
      </c>
      <c r="E275" s="234">
        <f>E276</f>
        <v>70.02</v>
      </c>
      <c r="F275" s="233">
        <f>F276</f>
        <v>0</v>
      </c>
      <c r="G275" s="234">
        <f t="shared" si="4"/>
        <v>47570.02</v>
      </c>
    </row>
    <row r="276" spans="1:7" ht="15" customHeight="1">
      <c r="A276" s="235" t="s">
        <v>107</v>
      </c>
      <c r="B276" s="236">
        <v>4010</v>
      </c>
      <c r="C276" s="237" t="s">
        <v>341</v>
      </c>
      <c r="D276" s="238">
        <v>28522</v>
      </c>
      <c r="E276" s="239">
        <v>70.02</v>
      </c>
      <c r="F276" s="238">
        <v>0</v>
      </c>
      <c r="G276" s="239">
        <f t="shared" si="4"/>
        <v>28592.02</v>
      </c>
    </row>
    <row r="277" spans="1:7" s="229" customFormat="1" ht="27" customHeight="1">
      <c r="A277" s="230">
        <v>90024</v>
      </c>
      <c r="B277" s="231" t="s">
        <v>107</v>
      </c>
      <c r="C277" s="232" t="s">
        <v>385</v>
      </c>
      <c r="D277" s="233">
        <v>1770</v>
      </c>
      <c r="E277" s="234">
        <f>E278</f>
        <v>183.79</v>
      </c>
      <c r="F277" s="233">
        <f>F278</f>
        <v>0</v>
      </c>
      <c r="G277" s="234">
        <f t="shared" si="4"/>
        <v>1953.79</v>
      </c>
    </row>
    <row r="278" spans="1:7" ht="15" customHeight="1">
      <c r="A278" s="235" t="s">
        <v>107</v>
      </c>
      <c r="B278" s="236">
        <v>4210</v>
      </c>
      <c r="C278" s="237" t="s">
        <v>345</v>
      </c>
      <c r="D278" s="238">
        <v>1770</v>
      </c>
      <c r="E278" s="239">
        <v>183.79</v>
      </c>
      <c r="F278" s="238">
        <v>0</v>
      </c>
      <c r="G278" s="239">
        <f t="shared" si="4"/>
        <v>1953.79</v>
      </c>
    </row>
    <row r="279" spans="1:7" s="229" customFormat="1" ht="15" customHeight="1">
      <c r="A279" s="230">
        <v>90026</v>
      </c>
      <c r="B279" s="231" t="s">
        <v>107</v>
      </c>
      <c r="C279" s="232" t="s">
        <v>317</v>
      </c>
      <c r="D279" s="233">
        <v>101010</v>
      </c>
      <c r="E279" s="234">
        <f>SUM(E280:E282)</f>
        <v>213759.99</v>
      </c>
      <c r="F279" s="233">
        <f>SUM(F280:F282)</f>
        <v>0</v>
      </c>
      <c r="G279" s="234">
        <f t="shared" si="4"/>
        <v>314769.99</v>
      </c>
    </row>
    <row r="280" spans="1:7" ht="70.5" customHeight="1">
      <c r="A280" s="235" t="s">
        <v>107</v>
      </c>
      <c r="B280" s="236">
        <v>2009</v>
      </c>
      <c r="C280" s="237" t="s">
        <v>373</v>
      </c>
      <c r="D280" s="238">
        <v>0</v>
      </c>
      <c r="E280" s="239">
        <v>3220</v>
      </c>
      <c r="F280" s="238">
        <v>0</v>
      </c>
      <c r="G280" s="239">
        <f t="shared" si="4"/>
        <v>3220</v>
      </c>
    </row>
    <row r="281" spans="1:7" ht="15" customHeight="1">
      <c r="A281" s="235" t="s">
        <v>107</v>
      </c>
      <c r="B281" s="236">
        <v>4210</v>
      </c>
      <c r="C281" s="237" t="s">
        <v>345</v>
      </c>
      <c r="D281" s="238">
        <v>25760</v>
      </c>
      <c r="E281" s="239">
        <v>2199.9899999999998</v>
      </c>
      <c r="F281" s="238">
        <v>0</v>
      </c>
      <c r="G281" s="239">
        <f t="shared" si="4"/>
        <v>27959.989999999998</v>
      </c>
    </row>
    <row r="282" spans="1:7" ht="72" customHeight="1">
      <c r="A282" s="235" t="s">
        <v>107</v>
      </c>
      <c r="B282" s="236">
        <v>6209</v>
      </c>
      <c r="C282" s="237" t="s">
        <v>376</v>
      </c>
      <c r="D282" s="238">
        <v>0</v>
      </c>
      <c r="E282" s="239">
        <v>208340</v>
      </c>
      <c r="F282" s="238">
        <v>0</v>
      </c>
      <c r="G282" s="239">
        <f t="shared" si="4"/>
        <v>208340</v>
      </c>
    </row>
    <row r="283" spans="1:7" s="229" customFormat="1" ht="15" customHeight="1">
      <c r="A283" s="230">
        <v>90095</v>
      </c>
      <c r="B283" s="231" t="s">
        <v>107</v>
      </c>
      <c r="C283" s="232" t="s">
        <v>108</v>
      </c>
      <c r="D283" s="233">
        <v>19893777</v>
      </c>
      <c r="E283" s="234">
        <f>SUM(E284:E306)</f>
        <v>362402</v>
      </c>
      <c r="F283" s="233">
        <f>SUM(F284:F306)</f>
        <v>12208924</v>
      </c>
      <c r="G283" s="234">
        <f t="shared" si="4"/>
        <v>8047255</v>
      </c>
    </row>
    <row r="284" spans="1:7" ht="73.5" customHeight="1">
      <c r="A284" s="241" t="s">
        <v>107</v>
      </c>
      <c r="B284" s="242">
        <v>2009</v>
      </c>
      <c r="C284" s="243" t="s">
        <v>373</v>
      </c>
      <c r="D284" s="244">
        <v>166</v>
      </c>
      <c r="E284" s="245">
        <v>1224</v>
      </c>
      <c r="F284" s="244">
        <v>0</v>
      </c>
      <c r="G284" s="245">
        <f t="shared" si="4"/>
        <v>1390</v>
      </c>
    </row>
    <row r="285" spans="1:7" ht="73.5" customHeight="1">
      <c r="A285" s="235" t="s">
        <v>107</v>
      </c>
      <c r="B285" s="236">
        <v>2059</v>
      </c>
      <c r="C285" s="237" t="s">
        <v>143</v>
      </c>
      <c r="D285" s="238">
        <v>167182</v>
      </c>
      <c r="E285" s="239">
        <v>0</v>
      </c>
      <c r="F285" s="238">
        <v>93220</v>
      </c>
      <c r="G285" s="239">
        <f t="shared" si="4"/>
        <v>73962</v>
      </c>
    </row>
    <row r="286" spans="1:7" ht="15" customHeight="1">
      <c r="A286" s="235" t="s">
        <v>107</v>
      </c>
      <c r="B286" s="236">
        <v>4018</v>
      </c>
      <c r="C286" s="237" t="s">
        <v>341</v>
      </c>
      <c r="D286" s="238">
        <v>327367</v>
      </c>
      <c r="E286" s="239">
        <v>71341</v>
      </c>
      <c r="F286" s="238">
        <v>0</v>
      </c>
      <c r="G286" s="239">
        <f t="shared" si="4"/>
        <v>398708</v>
      </c>
    </row>
    <row r="287" spans="1:7" ht="15" customHeight="1">
      <c r="A287" s="235" t="s">
        <v>107</v>
      </c>
      <c r="B287" s="236">
        <v>4019</v>
      </c>
      <c r="C287" s="237" t="s">
        <v>341</v>
      </c>
      <c r="D287" s="238">
        <v>72555</v>
      </c>
      <c r="E287" s="239">
        <v>17835</v>
      </c>
      <c r="F287" s="238">
        <v>0</v>
      </c>
      <c r="G287" s="239">
        <f t="shared" si="4"/>
        <v>90390</v>
      </c>
    </row>
    <row r="288" spans="1:7" ht="15" customHeight="1">
      <c r="A288" s="235" t="s">
        <v>107</v>
      </c>
      <c r="B288" s="236">
        <v>4118</v>
      </c>
      <c r="C288" s="237" t="s">
        <v>342</v>
      </c>
      <c r="D288" s="238">
        <v>58143</v>
      </c>
      <c r="E288" s="239">
        <v>12263</v>
      </c>
      <c r="F288" s="238">
        <v>0</v>
      </c>
      <c r="G288" s="239">
        <f t="shared" si="4"/>
        <v>70406</v>
      </c>
    </row>
    <row r="289" spans="1:7" ht="15" customHeight="1">
      <c r="A289" s="235" t="s">
        <v>107</v>
      </c>
      <c r="B289" s="236">
        <v>4119</v>
      </c>
      <c r="C289" s="237" t="s">
        <v>342</v>
      </c>
      <c r="D289" s="238">
        <v>12940</v>
      </c>
      <c r="E289" s="239">
        <v>3066</v>
      </c>
      <c r="F289" s="238">
        <v>0</v>
      </c>
      <c r="G289" s="239">
        <f t="shared" si="4"/>
        <v>16006</v>
      </c>
    </row>
    <row r="290" spans="1:7" ht="15" customHeight="1">
      <c r="A290" s="235" t="s">
        <v>107</v>
      </c>
      <c r="B290" s="236">
        <v>4128</v>
      </c>
      <c r="C290" s="237" t="s">
        <v>343</v>
      </c>
      <c r="D290" s="238">
        <v>8287</v>
      </c>
      <c r="E290" s="239">
        <v>1748</v>
      </c>
      <c r="F290" s="238">
        <v>0</v>
      </c>
      <c r="G290" s="239">
        <f t="shared" si="4"/>
        <v>10035</v>
      </c>
    </row>
    <row r="291" spans="1:7" ht="15" customHeight="1">
      <c r="A291" s="235" t="s">
        <v>107</v>
      </c>
      <c r="B291" s="236">
        <v>4129</v>
      </c>
      <c r="C291" s="237" t="s">
        <v>343</v>
      </c>
      <c r="D291" s="238">
        <v>1845</v>
      </c>
      <c r="E291" s="239">
        <v>437</v>
      </c>
      <c r="F291" s="238">
        <v>0</v>
      </c>
      <c r="G291" s="239">
        <f t="shared" si="4"/>
        <v>2282</v>
      </c>
    </row>
    <row r="292" spans="1:7" ht="15" customHeight="1">
      <c r="A292" s="235" t="s">
        <v>107</v>
      </c>
      <c r="B292" s="236">
        <v>4308</v>
      </c>
      <c r="C292" s="237" t="s">
        <v>349</v>
      </c>
      <c r="D292" s="238">
        <v>278473</v>
      </c>
      <c r="E292" s="239">
        <v>21146</v>
      </c>
      <c r="F292" s="238">
        <v>0</v>
      </c>
      <c r="G292" s="239">
        <f t="shared" si="4"/>
        <v>299619</v>
      </c>
    </row>
    <row r="293" spans="1:7" ht="15" customHeight="1">
      <c r="A293" s="235" t="s">
        <v>107</v>
      </c>
      <c r="B293" s="236">
        <v>4309</v>
      </c>
      <c r="C293" s="237" t="s">
        <v>349</v>
      </c>
      <c r="D293" s="238">
        <v>49618</v>
      </c>
      <c r="E293" s="239">
        <v>5286</v>
      </c>
      <c r="F293" s="238">
        <v>0</v>
      </c>
      <c r="G293" s="239">
        <f t="shared" si="4"/>
        <v>54904</v>
      </c>
    </row>
    <row r="294" spans="1:7" ht="15" customHeight="1">
      <c r="A294" s="235" t="s">
        <v>107</v>
      </c>
      <c r="B294" s="236">
        <v>4388</v>
      </c>
      <c r="C294" s="237" t="s">
        <v>386</v>
      </c>
      <c r="D294" s="238">
        <v>3200</v>
      </c>
      <c r="E294" s="239">
        <v>1600</v>
      </c>
      <c r="F294" s="238">
        <v>0</v>
      </c>
      <c r="G294" s="239">
        <f t="shared" si="4"/>
        <v>4800</v>
      </c>
    </row>
    <row r="295" spans="1:7" ht="15" customHeight="1">
      <c r="A295" s="235" t="s">
        <v>107</v>
      </c>
      <c r="B295" s="236">
        <v>4389</v>
      </c>
      <c r="C295" s="237" t="s">
        <v>386</v>
      </c>
      <c r="D295" s="238">
        <v>800</v>
      </c>
      <c r="E295" s="239">
        <v>400</v>
      </c>
      <c r="F295" s="238">
        <v>0</v>
      </c>
      <c r="G295" s="239">
        <f t="shared" si="4"/>
        <v>1200</v>
      </c>
    </row>
    <row r="296" spans="1:7" ht="15" customHeight="1">
      <c r="A296" s="235" t="s">
        <v>107</v>
      </c>
      <c r="B296" s="236">
        <v>4418</v>
      </c>
      <c r="C296" s="237" t="s">
        <v>352</v>
      </c>
      <c r="D296" s="238">
        <v>3400</v>
      </c>
      <c r="E296" s="239">
        <v>800</v>
      </c>
      <c r="F296" s="238">
        <v>0</v>
      </c>
      <c r="G296" s="239">
        <f t="shared" si="4"/>
        <v>4200</v>
      </c>
    </row>
    <row r="297" spans="1:7" ht="15" customHeight="1">
      <c r="A297" s="235" t="s">
        <v>107</v>
      </c>
      <c r="B297" s="236">
        <v>4419</v>
      </c>
      <c r="C297" s="237" t="s">
        <v>352</v>
      </c>
      <c r="D297" s="238">
        <v>600</v>
      </c>
      <c r="E297" s="239">
        <v>200</v>
      </c>
      <c r="F297" s="238">
        <v>0</v>
      </c>
      <c r="G297" s="239">
        <f t="shared" si="4"/>
        <v>800</v>
      </c>
    </row>
    <row r="298" spans="1:7" ht="15" customHeight="1">
      <c r="A298" s="235" t="s">
        <v>107</v>
      </c>
      <c r="B298" s="236">
        <v>4428</v>
      </c>
      <c r="C298" s="237" t="s">
        <v>366</v>
      </c>
      <c r="D298" s="238">
        <v>97520</v>
      </c>
      <c r="E298" s="239">
        <v>7698</v>
      </c>
      <c r="F298" s="238">
        <v>0</v>
      </c>
      <c r="G298" s="239">
        <f t="shared" si="4"/>
        <v>105218</v>
      </c>
    </row>
    <row r="299" spans="1:7" ht="15" customHeight="1">
      <c r="A299" s="235" t="s">
        <v>107</v>
      </c>
      <c r="B299" s="236">
        <v>4429</v>
      </c>
      <c r="C299" s="237" t="s">
        <v>366</v>
      </c>
      <c r="D299" s="238">
        <v>20380</v>
      </c>
      <c r="E299" s="239">
        <v>1924</v>
      </c>
      <c r="F299" s="238">
        <v>0</v>
      </c>
      <c r="G299" s="239">
        <f t="shared" si="4"/>
        <v>22304</v>
      </c>
    </row>
    <row r="300" spans="1:7" ht="15" customHeight="1">
      <c r="A300" s="235" t="s">
        <v>107</v>
      </c>
      <c r="B300" s="236">
        <v>4438</v>
      </c>
      <c r="C300" s="237" t="s">
        <v>363</v>
      </c>
      <c r="D300" s="238">
        <v>1319</v>
      </c>
      <c r="E300" s="239">
        <v>80</v>
      </c>
      <c r="F300" s="238">
        <v>0</v>
      </c>
      <c r="G300" s="239">
        <f t="shared" si="4"/>
        <v>1399</v>
      </c>
    </row>
    <row r="301" spans="1:7" ht="15" customHeight="1">
      <c r="A301" s="235" t="s">
        <v>107</v>
      </c>
      <c r="B301" s="236">
        <v>4439</v>
      </c>
      <c r="C301" s="237" t="s">
        <v>363</v>
      </c>
      <c r="D301" s="238">
        <v>280</v>
      </c>
      <c r="E301" s="239">
        <v>20</v>
      </c>
      <c r="F301" s="238">
        <v>0</v>
      </c>
      <c r="G301" s="239">
        <f t="shared" si="4"/>
        <v>300</v>
      </c>
    </row>
    <row r="302" spans="1:7" ht="15" customHeight="1">
      <c r="A302" s="235" t="s">
        <v>107</v>
      </c>
      <c r="B302" s="236">
        <v>4718</v>
      </c>
      <c r="C302" s="237" t="s">
        <v>354</v>
      </c>
      <c r="D302" s="238">
        <v>5074</v>
      </c>
      <c r="E302" s="239">
        <v>1070</v>
      </c>
      <c r="F302" s="238">
        <v>0</v>
      </c>
      <c r="G302" s="239">
        <f t="shared" si="4"/>
        <v>6144</v>
      </c>
    </row>
    <row r="303" spans="1:7" ht="15" customHeight="1">
      <c r="A303" s="235" t="s">
        <v>107</v>
      </c>
      <c r="B303" s="236">
        <v>4719</v>
      </c>
      <c r="C303" s="237" t="s">
        <v>354</v>
      </c>
      <c r="D303" s="238">
        <v>1129</v>
      </c>
      <c r="E303" s="239">
        <v>268</v>
      </c>
      <c r="F303" s="238">
        <v>0</v>
      </c>
      <c r="G303" s="239">
        <f t="shared" si="4"/>
        <v>1397</v>
      </c>
    </row>
    <row r="304" spans="1:7" ht="15" customHeight="1">
      <c r="A304" s="235" t="s">
        <v>107</v>
      </c>
      <c r="B304" s="236">
        <v>6010</v>
      </c>
      <c r="C304" s="237" t="s">
        <v>364</v>
      </c>
      <c r="D304" s="238">
        <v>13000000</v>
      </c>
      <c r="E304" s="239">
        <v>0</v>
      </c>
      <c r="F304" s="238">
        <v>12000000</v>
      </c>
      <c r="G304" s="239">
        <f t="shared" si="4"/>
        <v>1000000</v>
      </c>
    </row>
    <row r="305" spans="1:7" ht="70.5" customHeight="1">
      <c r="A305" s="235" t="s">
        <v>107</v>
      </c>
      <c r="B305" s="236">
        <v>6209</v>
      </c>
      <c r="C305" s="237" t="s">
        <v>376</v>
      </c>
      <c r="D305" s="238">
        <v>333833</v>
      </c>
      <c r="E305" s="239">
        <v>0</v>
      </c>
      <c r="F305" s="238">
        <v>115704</v>
      </c>
      <c r="G305" s="239">
        <f t="shared" si="4"/>
        <v>218129</v>
      </c>
    </row>
    <row r="306" spans="1:7" ht="70.5" customHeight="1">
      <c r="A306" s="235" t="s">
        <v>107</v>
      </c>
      <c r="B306" s="236">
        <v>6259</v>
      </c>
      <c r="C306" s="237" t="s">
        <v>112</v>
      </c>
      <c r="D306" s="238">
        <v>3434539</v>
      </c>
      <c r="E306" s="239">
        <v>213996</v>
      </c>
      <c r="F306" s="238">
        <v>0</v>
      </c>
      <c r="G306" s="239">
        <f t="shared" si="4"/>
        <v>3648535</v>
      </c>
    </row>
    <row r="307" spans="1:7" s="229" customFormat="1" ht="15" customHeight="1">
      <c r="A307" s="224" t="s">
        <v>67</v>
      </c>
      <c r="B307" s="225" t="s">
        <v>107</v>
      </c>
      <c r="C307" s="226" t="s">
        <v>68</v>
      </c>
      <c r="D307" s="227">
        <v>277049823</v>
      </c>
      <c r="E307" s="228">
        <f>E308+E311+E315+E318+E320+E324+E327</f>
        <v>13414755</v>
      </c>
      <c r="F307" s="227">
        <f>F308+F311+F315+F318+F320+F324+F327</f>
        <v>201711</v>
      </c>
      <c r="G307" s="228">
        <f t="shared" si="4"/>
        <v>290262867</v>
      </c>
    </row>
    <row r="308" spans="1:7" s="229" customFormat="1" ht="15" customHeight="1">
      <c r="A308" s="230">
        <v>92106</v>
      </c>
      <c r="B308" s="231" t="s">
        <v>107</v>
      </c>
      <c r="C308" s="232" t="s">
        <v>387</v>
      </c>
      <c r="D308" s="233">
        <v>108857763</v>
      </c>
      <c r="E308" s="234">
        <f>SUM(E309:E310)</f>
        <v>609000</v>
      </c>
      <c r="F308" s="233">
        <f>SUM(F309:F310)</f>
        <v>0</v>
      </c>
      <c r="G308" s="234">
        <f t="shared" si="4"/>
        <v>109466763</v>
      </c>
    </row>
    <row r="309" spans="1:7" ht="27" customHeight="1">
      <c r="A309" s="235" t="s">
        <v>107</v>
      </c>
      <c r="B309" s="236">
        <v>2480</v>
      </c>
      <c r="C309" s="237" t="s">
        <v>388</v>
      </c>
      <c r="D309" s="238">
        <v>49449000</v>
      </c>
      <c r="E309" s="239">
        <v>500000</v>
      </c>
      <c r="F309" s="238">
        <v>0</v>
      </c>
      <c r="G309" s="239">
        <f t="shared" si="4"/>
        <v>49949000</v>
      </c>
    </row>
    <row r="310" spans="1:7" ht="58.5" customHeight="1">
      <c r="A310" s="235" t="s">
        <v>107</v>
      </c>
      <c r="B310" s="236">
        <v>6220</v>
      </c>
      <c r="C310" s="237" t="s">
        <v>377</v>
      </c>
      <c r="D310" s="238">
        <v>58905409</v>
      </c>
      <c r="E310" s="239">
        <v>109000</v>
      </c>
      <c r="F310" s="238">
        <v>0</v>
      </c>
      <c r="G310" s="239">
        <f t="shared" si="4"/>
        <v>59014409</v>
      </c>
    </row>
    <row r="311" spans="1:7" s="229" customFormat="1" ht="15" customHeight="1">
      <c r="A311" s="230">
        <v>92109</v>
      </c>
      <c r="B311" s="231" t="s">
        <v>107</v>
      </c>
      <c r="C311" s="232" t="s">
        <v>321</v>
      </c>
      <c r="D311" s="233">
        <v>27869275</v>
      </c>
      <c r="E311" s="234">
        <f>SUM(E312:E314)</f>
        <v>6256826</v>
      </c>
      <c r="F311" s="233">
        <f>SUM(F312:F314)</f>
        <v>0</v>
      </c>
      <c r="G311" s="234">
        <f t="shared" si="4"/>
        <v>34126101</v>
      </c>
    </row>
    <row r="312" spans="1:7" ht="30.75" customHeight="1">
      <c r="A312" s="235" t="s">
        <v>107</v>
      </c>
      <c r="B312" s="236">
        <v>2480</v>
      </c>
      <c r="C312" s="237" t="s">
        <v>388</v>
      </c>
      <c r="D312" s="238">
        <v>14987000</v>
      </c>
      <c r="E312" s="239">
        <v>652807</v>
      </c>
      <c r="F312" s="238">
        <v>0</v>
      </c>
      <c r="G312" s="239">
        <f t="shared" si="4"/>
        <v>15639807</v>
      </c>
    </row>
    <row r="313" spans="1:7" ht="30.75" customHeight="1">
      <c r="A313" s="235" t="s">
        <v>107</v>
      </c>
      <c r="B313" s="236">
        <v>2800</v>
      </c>
      <c r="C313" s="237" t="s">
        <v>389</v>
      </c>
      <c r="D313" s="238">
        <v>609566</v>
      </c>
      <c r="E313" s="239">
        <v>265977</v>
      </c>
      <c r="F313" s="238">
        <v>0</v>
      </c>
      <c r="G313" s="239">
        <f t="shared" si="4"/>
        <v>875543</v>
      </c>
    </row>
    <row r="314" spans="1:7" ht="60.75" customHeight="1">
      <c r="A314" s="235" t="s">
        <v>107</v>
      </c>
      <c r="B314" s="236">
        <v>6220</v>
      </c>
      <c r="C314" s="237" t="s">
        <v>377</v>
      </c>
      <c r="D314" s="238">
        <v>12272709</v>
      </c>
      <c r="E314" s="239">
        <v>5338042</v>
      </c>
      <c r="F314" s="238">
        <v>0</v>
      </c>
      <c r="G314" s="239">
        <f t="shared" si="4"/>
        <v>17610751</v>
      </c>
    </row>
    <row r="315" spans="1:7" s="229" customFormat="1" ht="15" customHeight="1">
      <c r="A315" s="230">
        <v>92110</v>
      </c>
      <c r="B315" s="231" t="s">
        <v>107</v>
      </c>
      <c r="C315" s="232" t="s">
        <v>322</v>
      </c>
      <c r="D315" s="233">
        <v>4832193</v>
      </c>
      <c r="E315" s="234">
        <f>SUM(E316:E317)</f>
        <v>117836</v>
      </c>
      <c r="F315" s="233">
        <f>SUM(F316:F317)</f>
        <v>0</v>
      </c>
      <c r="G315" s="234">
        <f t="shared" si="4"/>
        <v>4950029</v>
      </c>
    </row>
    <row r="316" spans="1:7" ht="32.25" customHeight="1">
      <c r="A316" s="235" t="s">
        <v>107</v>
      </c>
      <c r="B316" s="236">
        <v>2480</v>
      </c>
      <c r="C316" s="237" t="s">
        <v>388</v>
      </c>
      <c r="D316" s="238">
        <v>4342000</v>
      </c>
      <c r="E316" s="239">
        <v>94006</v>
      </c>
      <c r="F316" s="238">
        <v>0</v>
      </c>
      <c r="G316" s="239">
        <f t="shared" si="4"/>
        <v>4436006</v>
      </c>
    </row>
    <row r="317" spans="1:7" ht="59.25" customHeight="1">
      <c r="A317" s="235" t="s">
        <v>107</v>
      </c>
      <c r="B317" s="236">
        <v>6220</v>
      </c>
      <c r="C317" s="237" t="s">
        <v>377</v>
      </c>
      <c r="D317" s="238">
        <v>425953</v>
      </c>
      <c r="E317" s="239">
        <v>23830</v>
      </c>
      <c r="F317" s="238">
        <v>0</v>
      </c>
      <c r="G317" s="239">
        <f t="shared" si="4"/>
        <v>449783</v>
      </c>
    </row>
    <row r="318" spans="1:7" s="229" customFormat="1" ht="15" customHeight="1">
      <c r="A318" s="230">
        <v>92113</v>
      </c>
      <c r="B318" s="231" t="s">
        <v>107</v>
      </c>
      <c r="C318" s="232" t="s">
        <v>323</v>
      </c>
      <c r="D318" s="233">
        <v>1609500</v>
      </c>
      <c r="E318" s="234">
        <f>E319</f>
        <v>300000</v>
      </c>
      <c r="F318" s="233">
        <f>F319</f>
        <v>0</v>
      </c>
      <c r="G318" s="234">
        <f t="shared" si="4"/>
        <v>1909500</v>
      </c>
    </row>
    <row r="319" spans="1:7" ht="33" customHeight="1">
      <c r="A319" s="235" t="s">
        <v>107</v>
      </c>
      <c r="B319" s="236">
        <v>2480</v>
      </c>
      <c r="C319" s="237" t="s">
        <v>388</v>
      </c>
      <c r="D319" s="238">
        <v>1609500</v>
      </c>
      <c r="E319" s="239">
        <v>300000</v>
      </c>
      <c r="F319" s="238">
        <v>0</v>
      </c>
      <c r="G319" s="239">
        <f t="shared" si="4"/>
        <v>1909500</v>
      </c>
    </row>
    <row r="320" spans="1:7" s="229" customFormat="1" ht="15" customHeight="1">
      <c r="A320" s="230">
        <v>92116</v>
      </c>
      <c r="B320" s="231" t="s">
        <v>107</v>
      </c>
      <c r="C320" s="232" t="s">
        <v>324</v>
      </c>
      <c r="D320" s="233">
        <v>56389858</v>
      </c>
      <c r="E320" s="234">
        <f>SUM(E321:E323)</f>
        <v>351956</v>
      </c>
      <c r="F320" s="233">
        <f>SUM(F321:F323)</f>
        <v>0</v>
      </c>
      <c r="G320" s="234">
        <f t="shared" si="4"/>
        <v>56741814</v>
      </c>
    </row>
    <row r="321" spans="1:7" ht="31.5" customHeight="1">
      <c r="A321" s="241" t="s">
        <v>107</v>
      </c>
      <c r="B321" s="242">
        <v>2480</v>
      </c>
      <c r="C321" s="243" t="s">
        <v>388</v>
      </c>
      <c r="D321" s="244">
        <v>33559953</v>
      </c>
      <c r="E321" s="245">
        <v>157919</v>
      </c>
      <c r="F321" s="244">
        <v>0</v>
      </c>
      <c r="G321" s="245">
        <f t="shared" si="4"/>
        <v>33717872</v>
      </c>
    </row>
    <row r="322" spans="1:7" ht="31.5" customHeight="1">
      <c r="A322" s="235" t="s">
        <v>107</v>
      </c>
      <c r="B322" s="236">
        <v>2800</v>
      </c>
      <c r="C322" s="237" t="s">
        <v>389</v>
      </c>
      <c r="D322" s="238">
        <v>412052</v>
      </c>
      <c r="E322" s="239">
        <v>93246</v>
      </c>
      <c r="F322" s="238">
        <v>0</v>
      </c>
      <c r="G322" s="239">
        <f t="shared" si="4"/>
        <v>505298</v>
      </c>
    </row>
    <row r="323" spans="1:7" ht="58.5" customHeight="1">
      <c r="A323" s="235" t="s">
        <v>107</v>
      </c>
      <c r="B323" s="236">
        <v>6220</v>
      </c>
      <c r="C323" s="237" t="s">
        <v>377</v>
      </c>
      <c r="D323" s="238">
        <v>22417853</v>
      </c>
      <c r="E323" s="239">
        <v>100791</v>
      </c>
      <c r="F323" s="238">
        <v>0</v>
      </c>
      <c r="G323" s="239">
        <f t="shared" si="4"/>
        <v>22518644</v>
      </c>
    </row>
    <row r="324" spans="1:7" s="229" customFormat="1" ht="15" customHeight="1">
      <c r="A324" s="230">
        <v>92118</v>
      </c>
      <c r="B324" s="231" t="s">
        <v>107</v>
      </c>
      <c r="C324" s="232" t="s">
        <v>325</v>
      </c>
      <c r="D324" s="233">
        <v>26597799</v>
      </c>
      <c r="E324" s="234">
        <f>SUM(E325:E326)</f>
        <v>243426</v>
      </c>
      <c r="F324" s="233">
        <f>SUM(F325:F326)</f>
        <v>0</v>
      </c>
      <c r="G324" s="234">
        <f t="shared" si="4"/>
        <v>26841225</v>
      </c>
    </row>
    <row r="325" spans="1:7" ht="30.75" customHeight="1">
      <c r="A325" s="235" t="s">
        <v>107</v>
      </c>
      <c r="B325" s="236">
        <v>2480</v>
      </c>
      <c r="C325" s="237" t="s">
        <v>388</v>
      </c>
      <c r="D325" s="238">
        <v>24212000</v>
      </c>
      <c r="E325" s="239">
        <v>197096</v>
      </c>
      <c r="F325" s="238">
        <v>0</v>
      </c>
      <c r="G325" s="239">
        <f t="shared" si="4"/>
        <v>24409096</v>
      </c>
    </row>
    <row r="326" spans="1:7" ht="58.5" customHeight="1">
      <c r="A326" s="235" t="s">
        <v>107</v>
      </c>
      <c r="B326" s="236">
        <v>6220</v>
      </c>
      <c r="C326" s="237" t="s">
        <v>377</v>
      </c>
      <c r="D326" s="238">
        <v>2043799</v>
      </c>
      <c r="E326" s="239">
        <v>46330</v>
      </c>
      <c r="F326" s="238">
        <v>0</v>
      </c>
      <c r="G326" s="239">
        <f t="shared" si="4"/>
        <v>2090129</v>
      </c>
    </row>
    <row r="327" spans="1:7" s="229" customFormat="1" ht="15" customHeight="1">
      <c r="A327" s="230">
        <v>92195</v>
      </c>
      <c r="B327" s="231" t="s">
        <v>107</v>
      </c>
      <c r="C327" s="232" t="s">
        <v>108</v>
      </c>
      <c r="D327" s="233">
        <v>18014867</v>
      </c>
      <c r="E327" s="234">
        <f>SUM(E328:E331)</f>
        <v>5535711</v>
      </c>
      <c r="F327" s="233">
        <f>SUM(F328:F331)</f>
        <v>201711</v>
      </c>
      <c r="G327" s="234">
        <f t="shared" si="4"/>
        <v>23348867</v>
      </c>
    </row>
    <row r="328" spans="1:7" ht="33" customHeight="1">
      <c r="A328" s="235" t="s">
        <v>107</v>
      </c>
      <c r="B328" s="236">
        <v>2800</v>
      </c>
      <c r="C328" s="237" t="s">
        <v>389</v>
      </c>
      <c r="D328" s="238">
        <v>4614600</v>
      </c>
      <c r="E328" s="239">
        <v>0</v>
      </c>
      <c r="F328" s="238">
        <v>201711</v>
      </c>
      <c r="G328" s="239">
        <f t="shared" si="4"/>
        <v>4412889</v>
      </c>
    </row>
    <row r="329" spans="1:7" ht="15" customHeight="1">
      <c r="A329" s="235" t="s">
        <v>107</v>
      </c>
      <c r="B329" s="236">
        <v>4300</v>
      </c>
      <c r="C329" s="237" t="s">
        <v>349</v>
      </c>
      <c r="D329" s="238">
        <v>9506000</v>
      </c>
      <c r="E329" s="239">
        <v>4500000</v>
      </c>
      <c r="F329" s="238">
        <v>0</v>
      </c>
      <c r="G329" s="239">
        <f t="shared" si="4"/>
        <v>14006000</v>
      </c>
    </row>
    <row r="330" spans="1:7" ht="15" customHeight="1">
      <c r="A330" s="235" t="s">
        <v>107</v>
      </c>
      <c r="B330" s="236">
        <v>6050</v>
      </c>
      <c r="C330" s="237" t="s">
        <v>359</v>
      </c>
      <c r="D330" s="238">
        <v>379000</v>
      </c>
      <c r="E330" s="239">
        <v>700000</v>
      </c>
      <c r="F330" s="238">
        <v>0</v>
      </c>
      <c r="G330" s="239">
        <f t="shared" si="4"/>
        <v>1079000</v>
      </c>
    </row>
    <row r="331" spans="1:7" ht="42" customHeight="1">
      <c r="A331" s="235" t="s">
        <v>107</v>
      </c>
      <c r="B331" s="236">
        <v>6220</v>
      </c>
      <c r="C331" s="237" t="s">
        <v>377</v>
      </c>
      <c r="D331" s="238">
        <v>380934</v>
      </c>
      <c r="E331" s="239">
        <v>335711</v>
      </c>
      <c r="F331" s="238">
        <v>0</v>
      </c>
      <c r="G331" s="239">
        <f t="shared" si="4"/>
        <v>716645</v>
      </c>
    </row>
    <row r="332" spans="1:7" s="229" customFormat="1" ht="32.25" customHeight="1">
      <c r="A332" s="224" t="s">
        <v>27</v>
      </c>
      <c r="B332" s="225" t="s">
        <v>107</v>
      </c>
      <c r="C332" s="226" t="s">
        <v>69</v>
      </c>
      <c r="D332" s="227">
        <v>8742481</v>
      </c>
      <c r="E332" s="228">
        <f>E333</f>
        <v>630709</v>
      </c>
      <c r="F332" s="227">
        <f>F333</f>
        <v>0</v>
      </c>
      <c r="G332" s="228">
        <f t="shared" ref="G332:G346" si="5">D332+E332-F332</f>
        <v>9373190</v>
      </c>
    </row>
    <row r="333" spans="1:7" s="229" customFormat="1" ht="15" customHeight="1">
      <c r="A333" s="230">
        <v>92502</v>
      </c>
      <c r="B333" s="231" t="s">
        <v>107</v>
      </c>
      <c r="C333" s="232" t="s">
        <v>119</v>
      </c>
      <c r="D333" s="233">
        <v>8742481</v>
      </c>
      <c r="E333" s="234">
        <f>SUM(E334:E340)</f>
        <v>630709</v>
      </c>
      <c r="F333" s="233">
        <f>SUM(F334:F340)</f>
        <v>0</v>
      </c>
      <c r="G333" s="234">
        <f t="shared" si="5"/>
        <v>9373190</v>
      </c>
    </row>
    <row r="334" spans="1:7" ht="15" customHeight="1">
      <c r="A334" s="235" t="s">
        <v>107</v>
      </c>
      <c r="B334" s="236">
        <v>4170</v>
      </c>
      <c r="C334" s="237" t="s">
        <v>344</v>
      </c>
      <c r="D334" s="238">
        <v>225018</v>
      </c>
      <c r="E334" s="239">
        <v>3000</v>
      </c>
      <c r="F334" s="238">
        <v>0</v>
      </c>
      <c r="G334" s="239">
        <f t="shared" si="5"/>
        <v>228018</v>
      </c>
    </row>
    <row r="335" spans="1:7" ht="15" customHeight="1">
      <c r="A335" s="235" t="s">
        <v>107</v>
      </c>
      <c r="B335" s="236">
        <v>4210</v>
      </c>
      <c r="C335" s="237" t="s">
        <v>345</v>
      </c>
      <c r="D335" s="238">
        <v>600582</v>
      </c>
      <c r="E335" s="239">
        <v>107000</v>
      </c>
      <c r="F335" s="238">
        <v>0</v>
      </c>
      <c r="G335" s="239">
        <f t="shared" si="5"/>
        <v>707582</v>
      </c>
    </row>
    <row r="336" spans="1:7" ht="15" customHeight="1">
      <c r="A336" s="235" t="s">
        <v>107</v>
      </c>
      <c r="B336" s="236">
        <v>4219</v>
      </c>
      <c r="C336" s="237" t="s">
        <v>345</v>
      </c>
      <c r="D336" s="238">
        <v>0</v>
      </c>
      <c r="E336" s="239">
        <v>750</v>
      </c>
      <c r="F336" s="238">
        <v>0</v>
      </c>
      <c r="G336" s="239">
        <f t="shared" si="5"/>
        <v>750</v>
      </c>
    </row>
    <row r="337" spans="1:7" ht="15" customHeight="1">
      <c r="A337" s="235" t="s">
        <v>107</v>
      </c>
      <c r="B337" s="236">
        <v>4270</v>
      </c>
      <c r="C337" s="237" t="s">
        <v>348</v>
      </c>
      <c r="D337" s="238">
        <v>74470</v>
      </c>
      <c r="E337" s="239">
        <v>3000</v>
      </c>
      <c r="F337" s="238">
        <v>0</v>
      </c>
      <c r="G337" s="239">
        <f t="shared" si="5"/>
        <v>77470</v>
      </c>
    </row>
    <row r="338" spans="1:7" ht="15" customHeight="1">
      <c r="A338" s="235" t="s">
        <v>107</v>
      </c>
      <c r="B338" s="236">
        <v>4300</v>
      </c>
      <c r="C338" s="237" t="s">
        <v>349</v>
      </c>
      <c r="D338" s="238">
        <v>950913</v>
      </c>
      <c r="E338" s="239">
        <v>123000</v>
      </c>
      <c r="F338" s="238">
        <v>0</v>
      </c>
      <c r="G338" s="239">
        <f t="shared" si="5"/>
        <v>1073913</v>
      </c>
    </row>
    <row r="339" spans="1:7" ht="15" customHeight="1">
      <c r="A339" s="235" t="s">
        <v>107</v>
      </c>
      <c r="B339" s="236">
        <v>4309</v>
      </c>
      <c r="C339" s="237" t="s">
        <v>349</v>
      </c>
      <c r="D339" s="238">
        <v>0</v>
      </c>
      <c r="E339" s="239">
        <v>379980</v>
      </c>
      <c r="F339" s="238">
        <v>0</v>
      </c>
      <c r="G339" s="239">
        <f t="shared" si="5"/>
        <v>379980</v>
      </c>
    </row>
    <row r="340" spans="1:7" ht="15" customHeight="1">
      <c r="A340" s="235" t="s">
        <v>107</v>
      </c>
      <c r="B340" s="236">
        <v>6050</v>
      </c>
      <c r="C340" s="237" t="s">
        <v>359</v>
      </c>
      <c r="D340" s="238">
        <v>284270</v>
      </c>
      <c r="E340" s="239">
        <v>13979</v>
      </c>
      <c r="F340" s="238">
        <v>0</v>
      </c>
      <c r="G340" s="239">
        <f t="shared" si="5"/>
        <v>298249</v>
      </c>
    </row>
    <row r="341" spans="1:7" s="229" customFormat="1" ht="15" customHeight="1">
      <c r="A341" s="224" t="s">
        <v>390</v>
      </c>
      <c r="B341" s="225" t="s">
        <v>107</v>
      </c>
      <c r="C341" s="226" t="s">
        <v>391</v>
      </c>
      <c r="D341" s="227">
        <v>24003000</v>
      </c>
      <c r="E341" s="228">
        <f>E342</f>
        <v>15470000</v>
      </c>
      <c r="F341" s="227">
        <f>F342</f>
        <v>0</v>
      </c>
      <c r="G341" s="228">
        <f t="shared" si="5"/>
        <v>39473000</v>
      </c>
    </row>
    <row r="342" spans="1:7" s="229" customFormat="1" ht="15" customHeight="1">
      <c r="A342" s="230">
        <v>92605</v>
      </c>
      <c r="B342" s="231" t="s">
        <v>107</v>
      </c>
      <c r="C342" s="232" t="s">
        <v>328</v>
      </c>
      <c r="D342" s="233">
        <v>24003000</v>
      </c>
      <c r="E342" s="234">
        <f>SUM(E343:E346)</f>
        <v>15470000</v>
      </c>
      <c r="F342" s="233">
        <f>SUM(F343:F346)</f>
        <v>0</v>
      </c>
      <c r="G342" s="234">
        <f t="shared" si="5"/>
        <v>39473000</v>
      </c>
    </row>
    <row r="343" spans="1:7" ht="59.25" customHeight="1">
      <c r="A343" s="235" t="s">
        <v>107</v>
      </c>
      <c r="B343" s="236">
        <v>2360</v>
      </c>
      <c r="C343" s="237" t="s">
        <v>392</v>
      </c>
      <c r="D343" s="238">
        <v>3200000</v>
      </c>
      <c r="E343" s="239">
        <v>270000</v>
      </c>
      <c r="F343" s="238">
        <v>0</v>
      </c>
      <c r="G343" s="239">
        <f t="shared" si="5"/>
        <v>3470000</v>
      </c>
    </row>
    <row r="344" spans="1:7" ht="30.75" customHeight="1">
      <c r="A344" s="235" t="s">
        <v>107</v>
      </c>
      <c r="B344" s="236">
        <v>2820</v>
      </c>
      <c r="C344" s="237" t="s">
        <v>393</v>
      </c>
      <c r="D344" s="238">
        <v>5464000</v>
      </c>
      <c r="E344" s="239">
        <v>500000</v>
      </c>
      <c r="F344" s="238">
        <v>0</v>
      </c>
      <c r="G344" s="239">
        <f t="shared" si="5"/>
        <v>5964000</v>
      </c>
    </row>
    <row r="345" spans="1:7" ht="15" customHeight="1">
      <c r="A345" s="235" t="s">
        <v>107</v>
      </c>
      <c r="B345" s="236">
        <v>4300</v>
      </c>
      <c r="C345" s="237" t="s">
        <v>349</v>
      </c>
      <c r="D345" s="238">
        <v>3886000</v>
      </c>
      <c r="E345" s="239">
        <v>700000</v>
      </c>
      <c r="F345" s="238">
        <v>0</v>
      </c>
      <c r="G345" s="239">
        <f t="shared" si="5"/>
        <v>4586000</v>
      </c>
    </row>
    <row r="346" spans="1:7" ht="56.25" customHeight="1">
      <c r="A346" s="241" t="s">
        <v>107</v>
      </c>
      <c r="B346" s="242">
        <v>6220</v>
      </c>
      <c r="C346" s="243" t="s">
        <v>377</v>
      </c>
      <c r="D346" s="244">
        <v>1000000</v>
      </c>
      <c r="E346" s="245">
        <v>14000000</v>
      </c>
      <c r="F346" s="244">
        <v>0</v>
      </c>
      <c r="G346" s="245">
        <f t="shared" si="5"/>
        <v>15000000</v>
      </c>
    </row>
  </sheetData>
  <sheetProtection algorithmName="SHA-512" hashValue="dXSDxDWZnVWqILeL63IGYe4aibCBB5uKhkOwu9htRiPqsq97BVUmluVC+SoGAnG4jc+QbJff/JL56mxZa5LktQ==" saltValue="FbAYxYjEiymD02E3VezvlA==" spinCount="100000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C6A8-619B-4ECF-84D0-D92488951C47}">
  <sheetPr>
    <pageSetUpPr fitToPage="1"/>
  </sheetPr>
  <dimension ref="A1:F64"/>
  <sheetViews>
    <sheetView view="pageBreakPreview" topLeftCell="A32" zoomScaleSheetLayoutView="100" workbookViewId="0">
      <selection activeCell="A52" sqref="A52:C52"/>
    </sheetView>
  </sheetViews>
  <sheetFormatPr defaultColWidth="16.75" defaultRowHeight="14.25"/>
  <cols>
    <col min="1" max="1" width="5.75" customWidth="1"/>
    <col min="2" max="2" width="5.875" customWidth="1"/>
    <col min="3" max="3" width="49.25" customWidth="1"/>
    <col min="4" max="6" width="14.625" customWidth="1"/>
    <col min="7" max="250" width="10.375" customWidth="1"/>
    <col min="251" max="251" width="5.75" customWidth="1"/>
    <col min="252" max="252" width="5.875" customWidth="1"/>
    <col min="253" max="253" width="34.125" customWidth="1"/>
    <col min="254" max="254" width="16.25" customWidth="1"/>
    <col min="257" max="257" width="5.75" customWidth="1"/>
    <col min="258" max="258" width="5.875" customWidth="1"/>
    <col min="259" max="259" width="55.875" customWidth="1"/>
    <col min="260" max="260" width="32.25" customWidth="1"/>
    <col min="261" max="261" width="16.375" customWidth="1"/>
    <col min="262" max="506" width="10.375" customWidth="1"/>
    <col min="507" max="507" width="5.75" customWidth="1"/>
    <col min="508" max="508" width="5.875" customWidth="1"/>
    <col min="509" max="509" width="34.125" customWidth="1"/>
    <col min="510" max="510" width="16.25" customWidth="1"/>
    <col min="513" max="513" width="5.75" customWidth="1"/>
    <col min="514" max="514" width="5.875" customWidth="1"/>
    <col min="515" max="515" width="55.875" customWidth="1"/>
    <col min="516" max="516" width="32.25" customWidth="1"/>
    <col min="517" max="517" width="16.375" customWidth="1"/>
    <col min="518" max="762" width="10.375" customWidth="1"/>
    <col min="763" max="763" width="5.75" customWidth="1"/>
    <col min="764" max="764" width="5.875" customWidth="1"/>
    <col min="765" max="765" width="34.125" customWidth="1"/>
    <col min="766" max="766" width="16.25" customWidth="1"/>
    <col min="769" max="769" width="5.75" customWidth="1"/>
    <col min="770" max="770" width="5.875" customWidth="1"/>
    <col min="771" max="771" width="55.875" customWidth="1"/>
    <col min="772" max="772" width="32.25" customWidth="1"/>
    <col min="773" max="773" width="16.375" customWidth="1"/>
    <col min="774" max="1018" width="10.375" customWidth="1"/>
    <col min="1019" max="1019" width="5.75" customWidth="1"/>
    <col min="1020" max="1020" width="5.875" customWidth="1"/>
    <col min="1021" max="1021" width="34.125" customWidth="1"/>
    <col min="1022" max="1022" width="16.25" customWidth="1"/>
    <col min="1025" max="1025" width="5.75" customWidth="1"/>
    <col min="1026" max="1026" width="5.875" customWidth="1"/>
    <col min="1027" max="1027" width="55.875" customWidth="1"/>
    <col min="1028" max="1028" width="32.25" customWidth="1"/>
    <col min="1029" max="1029" width="16.375" customWidth="1"/>
    <col min="1030" max="1274" width="10.375" customWidth="1"/>
    <col min="1275" max="1275" width="5.75" customWidth="1"/>
    <col min="1276" max="1276" width="5.875" customWidth="1"/>
    <col min="1277" max="1277" width="34.125" customWidth="1"/>
    <col min="1278" max="1278" width="16.25" customWidth="1"/>
    <col min="1281" max="1281" width="5.75" customWidth="1"/>
    <col min="1282" max="1282" width="5.875" customWidth="1"/>
    <col min="1283" max="1283" width="55.875" customWidth="1"/>
    <col min="1284" max="1284" width="32.25" customWidth="1"/>
    <col min="1285" max="1285" width="16.375" customWidth="1"/>
    <col min="1286" max="1530" width="10.375" customWidth="1"/>
    <col min="1531" max="1531" width="5.75" customWidth="1"/>
    <col min="1532" max="1532" width="5.875" customWidth="1"/>
    <col min="1533" max="1533" width="34.125" customWidth="1"/>
    <col min="1534" max="1534" width="16.25" customWidth="1"/>
    <col min="1537" max="1537" width="5.75" customWidth="1"/>
    <col min="1538" max="1538" width="5.875" customWidth="1"/>
    <col min="1539" max="1539" width="55.875" customWidth="1"/>
    <col min="1540" max="1540" width="32.25" customWidth="1"/>
    <col min="1541" max="1541" width="16.375" customWidth="1"/>
    <col min="1542" max="1786" width="10.375" customWidth="1"/>
    <col min="1787" max="1787" width="5.75" customWidth="1"/>
    <col min="1788" max="1788" width="5.875" customWidth="1"/>
    <col min="1789" max="1789" width="34.125" customWidth="1"/>
    <col min="1790" max="1790" width="16.25" customWidth="1"/>
    <col min="1793" max="1793" width="5.75" customWidth="1"/>
    <col min="1794" max="1794" width="5.875" customWidth="1"/>
    <col min="1795" max="1795" width="55.875" customWidth="1"/>
    <col min="1796" max="1796" width="32.25" customWidth="1"/>
    <col min="1797" max="1797" width="16.375" customWidth="1"/>
    <col min="1798" max="2042" width="10.375" customWidth="1"/>
    <col min="2043" max="2043" width="5.75" customWidth="1"/>
    <col min="2044" max="2044" width="5.875" customWidth="1"/>
    <col min="2045" max="2045" width="34.125" customWidth="1"/>
    <col min="2046" max="2046" width="16.25" customWidth="1"/>
    <col min="2049" max="2049" width="5.75" customWidth="1"/>
    <col min="2050" max="2050" width="5.875" customWidth="1"/>
    <col min="2051" max="2051" width="55.875" customWidth="1"/>
    <col min="2052" max="2052" width="32.25" customWidth="1"/>
    <col min="2053" max="2053" width="16.375" customWidth="1"/>
    <col min="2054" max="2298" width="10.375" customWidth="1"/>
    <col min="2299" max="2299" width="5.75" customWidth="1"/>
    <col min="2300" max="2300" width="5.875" customWidth="1"/>
    <col min="2301" max="2301" width="34.125" customWidth="1"/>
    <col min="2302" max="2302" width="16.25" customWidth="1"/>
    <col min="2305" max="2305" width="5.75" customWidth="1"/>
    <col min="2306" max="2306" width="5.875" customWidth="1"/>
    <col min="2307" max="2307" width="55.875" customWidth="1"/>
    <col min="2308" max="2308" width="32.25" customWidth="1"/>
    <col min="2309" max="2309" width="16.375" customWidth="1"/>
    <col min="2310" max="2554" width="10.375" customWidth="1"/>
    <col min="2555" max="2555" width="5.75" customWidth="1"/>
    <col min="2556" max="2556" width="5.875" customWidth="1"/>
    <col min="2557" max="2557" width="34.125" customWidth="1"/>
    <col min="2558" max="2558" width="16.25" customWidth="1"/>
    <col min="2561" max="2561" width="5.75" customWidth="1"/>
    <col min="2562" max="2562" width="5.875" customWidth="1"/>
    <col min="2563" max="2563" width="55.875" customWidth="1"/>
    <col min="2564" max="2564" width="32.25" customWidth="1"/>
    <col min="2565" max="2565" width="16.375" customWidth="1"/>
    <col min="2566" max="2810" width="10.375" customWidth="1"/>
    <col min="2811" max="2811" width="5.75" customWidth="1"/>
    <col min="2812" max="2812" width="5.875" customWidth="1"/>
    <col min="2813" max="2813" width="34.125" customWidth="1"/>
    <col min="2814" max="2814" width="16.25" customWidth="1"/>
    <col min="2817" max="2817" width="5.75" customWidth="1"/>
    <col min="2818" max="2818" width="5.875" customWidth="1"/>
    <col min="2819" max="2819" width="55.875" customWidth="1"/>
    <col min="2820" max="2820" width="32.25" customWidth="1"/>
    <col min="2821" max="2821" width="16.375" customWidth="1"/>
    <col min="2822" max="3066" width="10.375" customWidth="1"/>
    <col min="3067" max="3067" width="5.75" customWidth="1"/>
    <col min="3068" max="3068" width="5.875" customWidth="1"/>
    <col min="3069" max="3069" width="34.125" customWidth="1"/>
    <col min="3070" max="3070" width="16.25" customWidth="1"/>
    <col min="3073" max="3073" width="5.75" customWidth="1"/>
    <col min="3074" max="3074" width="5.875" customWidth="1"/>
    <col min="3075" max="3075" width="55.875" customWidth="1"/>
    <col min="3076" max="3076" width="32.25" customWidth="1"/>
    <col min="3077" max="3077" width="16.375" customWidth="1"/>
    <col min="3078" max="3322" width="10.375" customWidth="1"/>
    <col min="3323" max="3323" width="5.75" customWidth="1"/>
    <col min="3324" max="3324" width="5.875" customWidth="1"/>
    <col min="3325" max="3325" width="34.125" customWidth="1"/>
    <col min="3326" max="3326" width="16.25" customWidth="1"/>
    <col min="3329" max="3329" width="5.75" customWidth="1"/>
    <col min="3330" max="3330" width="5.875" customWidth="1"/>
    <col min="3331" max="3331" width="55.875" customWidth="1"/>
    <col min="3332" max="3332" width="32.25" customWidth="1"/>
    <col min="3333" max="3333" width="16.375" customWidth="1"/>
    <col min="3334" max="3578" width="10.375" customWidth="1"/>
    <col min="3579" max="3579" width="5.75" customWidth="1"/>
    <col min="3580" max="3580" width="5.875" customWidth="1"/>
    <col min="3581" max="3581" width="34.125" customWidth="1"/>
    <col min="3582" max="3582" width="16.25" customWidth="1"/>
    <col min="3585" max="3585" width="5.75" customWidth="1"/>
    <col min="3586" max="3586" width="5.875" customWidth="1"/>
    <col min="3587" max="3587" width="55.875" customWidth="1"/>
    <col min="3588" max="3588" width="32.25" customWidth="1"/>
    <col min="3589" max="3589" width="16.375" customWidth="1"/>
    <col min="3590" max="3834" width="10.375" customWidth="1"/>
    <col min="3835" max="3835" width="5.75" customWidth="1"/>
    <col min="3836" max="3836" width="5.875" customWidth="1"/>
    <col min="3837" max="3837" width="34.125" customWidth="1"/>
    <col min="3838" max="3838" width="16.25" customWidth="1"/>
    <col min="3841" max="3841" width="5.75" customWidth="1"/>
    <col min="3842" max="3842" width="5.875" customWidth="1"/>
    <col min="3843" max="3843" width="55.875" customWidth="1"/>
    <col min="3844" max="3844" width="32.25" customWidth="1"/>
    <col min="3845" max="3845" width="16.375" customWidth="1"/>
    <col min="3846" max="4090" width="10.375" customWidth="1"/>
    <col min="4091" max="4091" width="5.75" customWidth="1"/>
    <col min="4092" max="4092" width="5.875" customWidth="1"/>
    <col min="4093" max="4093" width="34.125" customWidth="1"/>
    <col min="4094" max="4094" width="16.25" customWidth="1"/>
    <col min="4097" max="4097" width="5.75" customWidth="1"/>
    <col min="4098" max="4098" width="5.875" customWidth="1"/>
    <col min="4099" max="4099" width="55.875" customWidth="1"/>
    <col min="4100" max="4100" width="32.25" customWidth="1"/>
    <col min="4101" max="4101" width="16.375" customWidth="1"/>
    <col min="4102" max="4346" width="10.375" customWidth="1"/>
    <col min="4347" max="4347" width="5.75" customWidth="1"/>
    <col min="4348" max="4348" width="5.875" customWidth="1"/>
    <col min="4349" max="4349" width="34.125" customWidth="1"/>
    <col min="4350" max="4350" width="16.25" customWidth="1"/>
    <col min="4353" max="4353" width="5.75" customWidth="1"/>
    <col min="4354" max="4354" width="5.875" customWidth="1"/>
    <col min="4355" max="4355" width="55.875" customWidth="1"/>
    <col min="4356" max="4356" width="32.25" customWidth="1"/>
    <col min="4357" max="4357" width="16.375" customWidth="1"/>
    <col min="4358" max="4602" width="10.375" customWidth="1"/>
    <col min="4603" max="4603" width="5.75" customWidth="1"/>
    <col min="4604" max="4604" width="5.875" customWidth="1"/>
    <col min="4605" max="4605" width="34.125" customWidth="1"/>
    <col min="4606" max="4606" width="16.25" customWidth="1"/>
    <col min="4609" max="4609" width="5.75" customWidth="1"/>
    <col min="4610" max="4610" width="5.875" customWidth="1"/>
    <col min="4611" max="4611" width="55.875" customWidth="1"/>
    <col min="4612" max="4612" width="32.25" customWidth="1"/>
    <col min="4613" max="4613" width="16.375" customWidth="1"/>
    <col min="4614" max="4858" width="10.375" customWidth="1"/>
    <col min="4859" max="4859" width="5.75" customWidth="1"/>
    <col min="4860" max="4860" width="5.875" customWidth="1"/>
    <col min="4861" max="4861" width="34.125" customWidth="1"/>
    <col min="4862" max="4862" width="16.25" customWidth="1"/>
    <col min="4865" max="4865" width="5.75" customWidth="1"/>
    <col min="4866" max="4866" width="5.875" customWidth="1"/>
    <col min="4867" max="4867" width="55.875" customWidth="1"/>
    <col min="4868" max="4868" width="32.25" customWidth="1"/>
    <col min="4869" max="4869" width="16.375" customWidth="1"/>
    <col min="4870" max="5114" width="10.375" customWidth="1"/>
    <col min="5115" max="5115" width="5.75" customWidth="1"/>
    <col min="5116" max="5116" width="5.875" customWidth="1"/>
    <col min="5117" max="5117" width="34.125" customWidth="1"/>
    <col min="5118" max="5118" width="16.25" customWidth="1"/>
    <col min="5121" max="5121" width="5.75" customWidth="1"/>
    <col min="5122" max="5122" width="5.875" customWidth="1"/>
    <col min="5123" max="5123" width="55.875" customWidth="1"/>
    <col min="5124" max="5124" width="32.25" customWidth="1"/>
    <col min="5125" max="5125" width="16.375" customWidth="1"/>
    <col min="5126" max="5370" width="10.375" customWidth="1"/>
    <col min="5371" max="5371" width="5.75" customWidth="1"/>
    <col min="5372" max="5372" width="5.875" customWidth="1"/>
    <col min="5373" max="5373" width="34.125" customWidth="1"/>
    <col min="5374" max="5374" width="16.25" customWidth="1"/>
    <col min="5377" max="5377" width="5.75" customWidth="1"/>
    <col min="5378" max="5378" width="5.875" customWidth="1"/>
    <col min="5379" max="5379" width="55.875" customWidth="1"/>
    <col min="5380" max="5380" width="32.25" customWidth="1"/>
    <col min="5381" max="5381" width="16.375" customWidth="1"/>
    <col min="5382" max="5626" width="10.375" customWidth="1"/>
    <col min="5627" max="5627" width="5.75" customWidth="1"/>
    <col min="5628" max="5628" width="5.875" customWidth="1"/>
    <col min="5629" max="5629" width="34.125" customWidth="1"/>
    <col min="5630" max="5630" width="16.25" customWidth="1"/>
    <col min="5633" max="5633" width="5.75" customWidth="1"/>
    <col min="5634" max="5634" width="5.875" customWidth="1"/>
    <col min="5635" max="5635" width="55.875" customWidth="1"/>
    <col min="5636" max="5636" width="32.25" customWidth="1"/>
    <col min="5637" max="5637" width="16.375" customWidth="1"/>
    <col min="5638" max="5882" width="10.375" customWidth="1"/>
    <col min="5883" max="5883" width="5.75" customWidth="1"/>
    <col min="5884" max="5884" width="5.875" customWidth="1"/>
    <col min="5885" max="5885" width="34.125" customWidth="1"/>
    <col min="5886" max="5886" width="16.25" customWidth="1"/>
    <col min="5889" max="5889" width="5.75" customWidth="1"/>
    <col min="5890" max="5890" width="5.875" customWidth="1"/>
    <col min="5891" max="5891" width="55.875" customWidth="1"/>
    <col min="5892" max="5892" width="32.25" customWidth="1"/>
    <col min="5893" max="5893" width="16.375" customWidth="1"/>
    <col min="5894" max="6138" width="10.375" customWidth="1"/>
    <col min="6139" max="6139" width="5.75" customWidth="1"/>
    <col min="6140" max="6140" width="5.875" customWidth="1"/>
    <col min="6141" max="6141" width="34.125" customWidth="1"/>
    <col min="6142" max="6142" width="16.25" customWidth="1"/>
    <col min="6145" max="6145" width="5.75" customWidth="1"/>
    <col min="6146" max="6146" width="5.875" customWidth="1"/>
    <col min="6147" max="6147" width="55.875" customWidth="1"/>
    <col min="6148" max="6148" width="32.25" customWidth="1"/>
    <col min="6149" max="6149" width="16.375" customWidth="1"/>
    <col min="6150" max="6394" width="10.375" customWidth="1"/>
    <col min="6395" max="6395" width="5.75" customWidth="1"/>
    <col min="6396" max="6396" width="5.875" customWidth="1"/>
    <col min="6397" max="6397" width="34.125" customWidth="1"/>
    <col min="6398" max="6398" width="16.25" customWidth="1"/>
    <col min="6401" max="6401" width="5.75" customWidth="1"/>
    <col min="6402" max="6402" width="5.875" customWidth="1"/>
    <col min="6403" max="6403" width="55.875" customWidth="1"/>
    <col min="6404" max="6404" width="32.25" customWidth="1"/>
    <col min="6405" max="6405" width="16.375" customWidth="1"/>
    <col min="6406" max="6650" width="10.375" customWidth="1"/>
    <col min="6651" max="6651" width="5.75" customWidth="1"/>
    <col min="6652" max="6652" width="5.875" customWidth="1"/>
    <col min="6653" max="6653" width="34.125" customWidth="1"/>
    <col min="6654" max="6654" width="16.25" customWidth="1"/>
    <col min="6657" max="6657" width="5.75" customWidth="1"/>
    <col min="6658" max="6658" width="5.875" customWidth="1"/>
    <col min="6659" max="6659" width="55.875" customWidth="1"/>
    <col min="6660" max="6660" width="32.25" customWidth="1"/>
    <col min="6661" max="6661" width="16.375" customWidth="1"/>
    <col min="6662" max="6906" width="10.375" customWidth="1"/>
    <col min="6907" max="6907" width="5.75" customWidth="1"/>
    <col min="6908" max="6908" width="5.875" customWidth="1"/>
    <col min="6909" max="6909" width="34.125" customWidth="1"/>
    <col min="6910" max="6910" width="16.25" customWidth="1"/>
    <col min="6913" max="6913" width="5.75" customWidth="1"/>
    <col min="6914" max="6914" width="5.875" customWidth="1"/>
    <col min="6915" max="6915" width="55.875" customWidth="1"/>
    <col min="6916" max="6916" width="32.25" customWidth="1"/>
    <col min="6917" max="6917" width="16.375" customWidth="1"/>
    <col min="6918" max="7162" width="10.375" customWidth="1"/>
    <col min="7163" max="7163" width="5.75" customWidth="1"/>
    <col min="7164" max="7164" width="5.875" customWidth="1"/>
    <col min="7165" max="7165" width="34.125" customWidth="1"/>
    <col min="7166" max="7166" width="16.25" customWidth="1"/>
    <col min="7169" max="7169" width="5.75" customWidth="1"/>
    <col min="7170" max="7170" width="5.875" customWidth="1"/>
    <col min="7171" max="7171" width="55.875" customWidth="1"/>
    <col min="7172" max="7172" width="32.25" customWidth="1"/>
    <col min="7173" max="7173" width="16.375" customWidth="1"/>
    <col min="7174" max="7418" width="10.375" customWidth="1"/>
    <col min="7419" max="7419" width="5.75" customWidth="1"/>
    <col min="7420" max="7420" width="5.875" customWidth="1"/>
    <col min="7421" max="7421" width="34.125" customWidth="1"/>
    <col min="7422" max="7422" width="16.25" customWidth="1"/>
    <col min="7425" max="7425" width="5.75" customWidth="1"/>
    <col min="7426" max="7426" width="5.875" customWidth="1"/>
    <col min="7427" max="7427" width="55.875" customWidth="1"/>
    <col min="7428" max="7428" width="32.25" customWidth="1"/>
    <col min="7429" max="7429" width="16.375" customWidth="1"/>
    <col min="7430" max="7674" width="10.375" customWidth="1"/>
    <col min="7675" max="7675" width="5.75" customWidth="1"/>
    <col min="7676" max="7676" width="5.875" customWidth="1"/>
    <col min="7677" max="7677" width="34.125" customWidth="1"/>
    <col min="7678" max="7678" width="16.25" customWidth="1"/>
    <col min="7681" max="7681" width="5.75" customWidth="1"/>
    <col min="7682" max="7682" width="5.875" customWidth="1"/>
    <col min="7683" max="7683" width="55.875" customWidth="1"/>
    <col min="7684" max="7684" width="32.25" customWidth="1"/>
    <col min="7685" max="7685" width="16.375" customWidth="1"/>
    <col min="7686" max="7930" width="10.375" customWidth="1"/>
    <col min="7931" max="7931" width="5.75" customWidth="1"/>
    <col min="7932" max="7932" width="5.875" customWidth="1"/>
    <col min="7933" max="7933" width="34.125" customWidth="1"/>
    <col min="7934" max="7934" width="16.25" customWidth="1"/>
    <col min="7937" max="7937" width="5.75" customWidth="1"/>
    <col min="7938" max="7938" width="5.875" customWidth="1"/>
    <col min="7939" max="7939" width="55.875" customWidth="1"/>
    <col min="7940" max="7940" width="32.25" customWidth="1"/>
    <col min="7941" max="7941" width="16.375" customWidth="1"/>
    <col min="7942" max="8186" width="10.375" customWidth="1"/>
    <col min="8187" max="8187" width="5.75" customWidth="1"/>
    <col min="8188" max="8188" width="5.875" customWidth="1"/>
    <col min="8189" max="8189" width="34.125" customWidth="1"/>
    <col min="8190" max="8190" width="16.25" customWidth="1"/>
    <col min="8193" max="8193" width="5.75" customWidth="1"/>
    <col min="8194" max="8194" width="5.875" customWidth="1"/>
    <col min="8195" max="8195" width="55.875" customWidth="1"/>
    <col min="8196" max="8196" width="32.25" customWidth="1"/>
    <col min="8197" max="8197" width="16.375" customWidth="1"/>
    <col min="8198" max="8442" width="10.375" customWidth="1"/>
    <col min="8443" max="8443" width="5.75" customWidth="1"/>
    <col min="8444" max="8444" width="5.875" customWidth="1"/>
    <col min="8445" max="8445" width="34.125" customWidth="1"/>
    <col min="8446" max="8446" width="16.25" customWidth="1"/>
    <col min="8449" max="8449" width="5.75" customWidth="1"/>
    <col min="8450" max="8450" width="5.875" customWidth="1"/>
    <col min="8451" max="8451" width="55.875" customWidth="1"/>
    <col min="8452" max="8452" width="32.25" customWidth="1"/>
    <col min="8453" max="8453" width="16.375" customWidth="1"/>
    <col min="8454" max="8698" width="10.375" customWidth="1"/>
    <col min="8699" max="8699" width="5.75" customWidth="1"/>
    <col min="8700" max="8700" width="5.875" customWidth="1"/>
    <col min="8701" max="8701" width="34.125" customWidth="1"/>
    <col min="8702" max="8702" width="16.25" customWidth="1"/>
    <col min="8705" max="8705" width="5.75" customWidth="1"/>
    <col min="8706" max="8706" width="5.875" customWidth="1"/>
    <col min="8707" max="8707" width="55.875" customWidth="1"/>
    <col min="8708" max="8708" width="32.25" customWidth="1"/>
    <col min="8709" max="8709" width="16.375" customWidth="1"/>
    <col min="8710" max="8954" width="10.375" customWidth="1"/>
    <col min="8955" max="8955" width="5.75" customWidth="1"/>
    <col min="8956" max="8956" width="5.875" customWidth="1"/>
    <col min="8957" max="8957" width="34.125" customWidth="1"/>
    <col min="8958" max="8958" width="16.25" customWidth="1"/>
    <col min="8961" max="8961" width="5.75" customWidth="1"/>
    <col min="8962" max="8962" width="5.875" customWidth="1"/>
    <col min="8963" max="8963" width="55.875" customWidth="1"/>
    <col min="8964" max="8964" width="32.25" customWidth="1"/>
    <col min="8965" max="8965" width="16.375" customWidth="1"/>
    <col min="8966" max="9210" width="10.375" customWidth="1"/>
    <col min="9211" max="9211" width="5.75" customWidth="1"/>
    <col min="9212" max="9212" width="5.875" customWidth="1"/>
    <col min="9213" max="9213" width="34.125" customWidth="1"/>
    <col min="9214" max="9214" width="16.25" customWidth="1"/>
    <col min="9217" max="9217" width="5.75" customWidth="1"/>
    <col min="9218" max="9218" width="5.875" customWidth="1"/>
    <col min="9219" max="9219" width="55.875" customWidth="1"/>
    <col min="9220" max="9220" width="32.25" customWidth="1"/>
    <col min="9221" max="9221" width="16.375" customWidth="1"/>
    <col min="9222" max="9466" width="10.375" customWidth="1"/>
    <col min="9467" max="9467" width="5.75" customWidth="1"/>
    <col min="9468" max="9468" width="5.875" customWidth="1"/>
    <col min="9469" max="9469" width="34.125" customWidth="1"/>
    <col min="9470" max="9470" width="16.25" customWidth="1"/>
    <col min="9473" max="9473" width="5.75" customWidth="1"/>
    <col min="9474" max="9474" width="5.875" customWidth="1"/>
    <col min="9475" max="9475" width="55.875" customWidth="1"/>
    <col min="9476" max="9476" width="32.25" customWidth="1"/>
    <col min="9477" max="9477" width="16.375" customWidth="1"/>
    <col min="9478" max="9722" width="10.375" customWidth="1"/>
    <col min="9723" max="9723" width="5.75" customWidth="1"/>
    <col min="9724" max="9724" width="5.875" customWidth="1"/>
    <col min="9725" max="9725" width="34.125" customWidth="1"/>
    <col min="9726" max="9726" width="16.25" customWidth="1"/>
    <col min="9729" max="9729" width="5.75" customWidth="1"/>
    <col min="9730" max="9730" width="5.875" customWidth="1"/>
    <col min="9731" max="9731" width="55.875" customWidth="1"/>
    <col min="9732" max="9732" width="32.25" customWidth="1"/>
    <col min="9733" max="9733" width="16.375" customWidth="1"/>
    <col min="9734" max="9978" width="10.375" customWidth="1"/>
    <col min="9979" max="9979" width="5.75" customWidth="1"/>
    <col min="9980" max="9980" width="5.875" customWidth="1"/>
    <col min="9981" max="9981" width="34.125" customWidth="1"/>
    <col min="9982" max="9982" width="16.25" customWidth="1"/>
    <col min="9985" max="9985" width="5.75" customWidth="1"/>
    <col min="9986" max="9986" width="5.875" customWidth="1"/>
    <col min="9987" max="9987" width="55.875" customWidth="1"/>
    <col min="9988" max="9988" width="32.25" customWidth="1"/>
    <col min="9989" max="9989" width="16.375" customWidth="1"/>
    <col min="9990" max="10234" width="10.375" customWidth="1"/>
    <col min="10235" max="10235" width="5.75" customWidth="1"/>
    <col min="10236" max="10236" width="5.875" customWidth="1"/>
    <col min="10237" max="10237" width="34.125" customWidth="1"/>
    <col min="10238" max="10238" width="16.25" customWidth="1"/>
    <col min="10241" max="10241" width="5.75" customWidth="1"/>
    <col min="10242" max="10242" width="5.875" customWidth="1"/>
    <col min="10243" max="10243" width="55.875" customWidth="1"/>
    <col min="10244" max="10244" width="32.25" customWidth="1"/>
    <col min="10245" max="10245" width="16.375" customWidth="1"/>
    <col min="10246" max="10490" width="10.375" customWidth="1"/>
    <col min="10491" max="10491" width="5.75" customWidth="1"/>
    <col min="10492" max="10492" width="5.875" customWidth="1"/>
    <col min="10493" max="10493" width="34.125" customWidth="1"/>
    <col min="10494" max="10494" width="16.25" customWidth="1"/>
    <col min="10497" max="10497" width="5.75" customWidth="1"/>
    <col min="10498" max="10498" width="5.875" customWidth="1"/>
    <col min="10499" max="10499" width="55.875" customWidth="1"/>
    <col min="10500" max="10500" width="32.25" customWidth="1"/>
    <col min="10501" max="10501" width="16.375" customWidth="1"/>
    <col min="10502" max="10746" width="10.375" customWidth="1"/>
    <col min="10747" max="10747" width="5.75" customWidth="1"/>
    <col min="10748" max="10748" width="5.875" customWidth="1"/>
    <col min="10749" max="10749" width="34.125" customWidth="1"/>
    <col min="10750" max="10750" width="16.25" customWidth="1"/>
    <col min="10753" max="10753" width="5.75" customWidth="1"/>
    <col min="10754" max="10754" width="5.875" customWidth="1"/>
    <col min="10755" max="10755" width="55.875" customWidth="1"/>
    <col min="10756" max="10756" width="32.25" customWidth="1"/>
    <col min="10757" max="10757" width="16.375" customWidth="1"/>
    <col min="10758" max="11002" width="10.375" customWidth="1"/>
    <col min="11003" max="11003" width="5.75" customWidth="1"/>
    <col min="11004" max="11004" width="5.875" customWidth="1"/>
    <col min="11005" max="11005" width="34.125" customWidth="1"/>
    <col min="11006" max="11006" width="16.25" customWidth="1"/>
    <col min="11009" max="11009" width="5.75" customWidth="1"/>
    <col min="11010" max="11010" width="5.875" customWidth="1"/>
    <col min="11011" max="11011" width="55.875" customWidth="1"/>
    <col min="11012" max="11012" width="32.25" customWidth="1"/>
    <col min="11013" max="11013" width="16.375" customWidth="1"/>
    <col min="11014" max="11258" width="10.375" customWidth="1"/>
    <col min="11259" max="11259" width="5.75" customWidth="1"/>
    <col min="11260" max="11260" width="5.875" customWidth="1"/>
    <col min="11261" max="11261" width="34.125" customWidth="1"/>
    <col min="11262" max="11262" width="16.25" customWidth="1"/>
    <col min="11265" max="11265" width="5.75" customWidth="1"/>
    <col min="11266" max="11266" width="5.875" customWidth="1"/>
    <col min="11267" max="11267" width="55.875" customWidth="1"/>
    <col min="11268" max="11268" width="32.25" customWidth="1"/>
    <col min="11269" max="11269" width="16.375" customWidth="1"/>
    <col min="11270" max="11514" width="10.375" customWidth="1"/>
    <col min="11515" max="11515" width="5.75" customWidth="1"/>
    <col min="11516" max="11516" width="5.875" customWidth="1"/>
    <col min="11517" max="11517" width="34.125" customWidth="1"/>
    <col min="11518" max="11518" width="16.25" customWidth="1"/>
    <col min="11521" max="11521" width="5.75" customWidth="1"/>
    <col min="11522" max="11522" width="5.875" customWidth="1"/>
    <col min="11523" max="11523" width="55.875" customWidth="1"/>
    <col min="11524" max="11524" width="32.25" customWidth="1"/>
    <col min="11525" max="11525" width="16.375" customWidth="1"/>
    <col min="11526" max="11770" width="10.375" customWidth="1"/>
    <col min="11771" max="11771" width="5.75" customWidth="1"/>
    <col min="11772" max="11772" width="5.875" customWidth="1"/>
    <col min="11773" max="11773" width="34.125" customWidth="1"/>
    <col min="11774" max="11774" width="16.25" customWidth="1"/>
    <col min="11777" max="11777" width="5.75" customWidth="1"/>
    <col min="11778" max="11778" width="5.875" customWidth="1"/>
    <col min="11779" max="11779" width="55.875" customWidth="1"/>
    <col min="11780" max="11780" width="32.25" customWidth="1"/>
    <col min="11781" max="11781" width="16.375" customWidth="1"/>
    <col min="11782" max="12026" width="10.375" customWidth="1"/>
    <col min="12027" max="12027" width="5.75" customWidth="1"/>
    <col min="12028" max="12028" width="5.875" customWidth="1"/>
    <col min="12029" max="12029" width="34.125" customWidth="1"/>
    <col min="12030" max="12030" width="16.25" customWidth="1"/>
    <col min="12033" max="12033" width="5.75" customWidth="1"/>
    <col min="12034" max="12034" width="5.875" customWidth="1"/>
    <col min="12035" max="12035" width="55.875" customWidth="1"/>
    <col min="12036" max="12036" width="32.25" customWidth="1"/>
    <col min="12037" max="12037" width="16.375" customWidth="1"/>
    <col min="12038" max="12282" width="10.375" customWidth="1"/>
    <col min="12283" max="12283" width="5.75" customWidth="1"/>
    <col min="12284" max="12284" width="5.875" customWidth="1"/>
    <col min="12285" max="12285" width="34.125" customWidth="1"/>
    <col min="12286" max="12286" width="16.25" customWidth="1"/>
    <col min="12289" max="12289" width="5.75" customWidth="1"/>
    <col min="12290" max="12290" width="5.875" customWidth="1"/>
    <col min="12291" max="12291" width="55.875" customWidth="1"/>
    <col min="12292" max="12292" width="32.25" customWidth="1"/>
    <col min="12293" max="12293" width="16.375" customWidth="1"/>
    <col min="12294" max="12538" width="10.375" customWidth="1"/>
    <col min="12539" max="12539" width="5.75" customWidth="1"/>
    <col min="12540" max="12540" width="5.875" customWidth="1"/>
    <col min="12541" max="12541" width="34.125" customWidth="1"/>
    <col min="12542" max="12542" width="16.25" customWidth="1"/>
    <col min="12545" max="12545" width="5.75" customWidth="1"/>
    <col min="12546" max="12546" width="5.875" customWidth="1"/>
    <col min="12547" max="12547" width="55.875" customWidth="1"/>
    <col min="12548" max="12548" width="32.25" customWidth="1"/>
    <col min="12549" max="12549" width="16.375" customWidth="1"/>
    <col min="12550" max="12794" width="10.375" customWidth="1"/>
    <col min="12795" max="12795" width="5.75" customWidth="1"/>
    <col min="12796" max="12796" width="5.875" customWidth="1"/>
    <col min="12797" max="12797" width="34.125" customWidth="1"/>
    <col min="12798" max="12798" width="16.25" customWidth="1"/>
    <col min="12801" max="12801" width="5.75" customWidth="1"/>
    <col min="12802" max="12802" width="5.875" customWidth="1"/>
    <col min="12803" max="12803" width="55.875" customWidth="1"/>
    <col min="12804" max="12804" width="32.25" customWidth="1"/>
    <col min="12805" max="12805" width="16.375" customWidth="1"/>
    <col min="12806" max="13050" width="10.375" customWidth="1"/>
    <col min="13051" max="13051" width="5.75" customWidth="1"/>
    <col min="13052" max="13052" width="5.875" customWidth="1"/>
    <col min="13053" max="13053" width="34.125" customWidth="1"/>
    <col min="13054" max="13054" width="16.25" customWidth="1"/>
    <col min="13057" max="13057" width="5.75" customWidth="1"/>
    <col min="13058" max="13058" width="5.875" customWidth="1"/>
    <col min="13059" max="13059" width="55.875" customWidth="1"/>
    <col min="13060" max="13060" width="32.25" customWidth="1"/>
    <col min="13061" max="13061" width="16.375" customWidth="1"/>
    <col min="13062" max="13306" width="10.375" customWidth="1"/>
    <col min="13307" max="13307" width="5.75" customWidth="1"/>
    <col min="13308" max="13308" width="5.875" customWidth="1"/>
    <col min="13309" max="13309" width="34.125" customWidth="1"/>
    <col min="13310" max="13310" width="16.25" customWidth="1"/>
    <col min="13313" max="13313" width="5.75" customWidth="1"/>
    <col min="13314" max="13314" width="5.875" customWidth="1"/>
    <col min="13315" max="13315" width="55.875" customWidth="1"/>
    <col min="13316" max="13316" width="32.25" customWidth="1"/>
    <col min="13317" max="13317" width="16.375" customWidth="1"/>
    <col min="13318" max="13562" width="10.375" customWidth="1"/>
    <col min="13563" max="13563" width="5.75" customWidth="1"/>
    <col min="13564" max="13564" width="5.875" customWidth="1"/>
    <col min="13565" max="13565" width="34.125" customWidth="1"/>
    <col min="13566" max="13566" width="16.25" customWidth="1"/>
    <col min="13569" max="13569" width="5.75" customWidth="1"/>
    <col min="13570" max="13570" width="5.875" customWidth="1"/>
    <col min="13571" max="13571" width="55.875" customWidth="1"/>
    <col min="13572" max="13572" width="32.25" customWidth="1"/>
    <col min="13573" max="13573" width="16.375" customWidth="1"/>
    <col min="13574" max="13818" width="10.375" customWidth="1"/>
    <col min="13819" max="13819" width="5.75" customWidth="1"/>
    <col min="13820" max="13820" width="5.875" customWidth="1"/>
    <col min="13821" max="13821" width="34.125" customWidth="1"/>
    <col min="13822" max="13822" width="16.25" customWidth="1"/>
    <col min="13825" max="13825" width="5.75" customWidth="1"/>
    <col min="13826" max="13826" width="5.875" customWidth="1"/>
    <col min="13827" max="13827" width="55.875" customWidth="1"/>
    <col min="13828" max="13828" width="32.25" customWidth="1"/>
    <col min="13829" max="13829" width="16.375" customWidth="1"/>
    <col min="13830" max="14074" width="10.375" customWidth="1"/>
    <col min="14075" max="14075" width="5.75" customWidth="1"/>
    <col min="14076" max="14076" width="5.875" customWidth="1"/>
    <col min="14077" max="14077" width="34.125" customWidth="1"/>
    <col min="14078" max="14078" width="16.25" customWidth="1"/>
    <col min="14081" max="14081" width="5.75" customWidth="1"/>
    <col min="14082" max="14082" width="5.875" customWidth="1"/>
    <col min="14083" max="14083" width="55.875" customWidth="1"/>
    <col min="14084" max="14084" width="32.25" customWidth="1"/>
    <col min="14085" max="14085" width="16.375" customWidth="1"/>
    <col min="14086" max="14330" width="10.375" customWidth="1"/>
    <col min="14331" max="14331" width="5.75" customWidth="1"/>
    <col min="14332" max="14332" width="5.875" customWidth="1"/>
    <col min="14333" max="14333" width="34.125" customWidth="1"/>
    <col min="14334" max="14334" width="16.25" customWidth="1"/>
    <col min="14337" max="14337" width="5.75" customWidth="1"/>
    <col min="14338" max="14338" width="5.875" customWidth="1"/>
    <col min="14339" max="14339" width="55.875" customWidth="1"/>
    <col min="14340" max="14340" width="32.25" customWidth="1"/>
    <col min="14341" max="14341" width="16.375" customWidth="1"/>
    <col min="14342" max="14586" width="10.375" customWidth="1"/>
    <col min="14587" max="14587" width="5.75" customWidth="1"/>
    <col min="14588" max="14588" width="5.875" customWidth="1"/>
    <col min="14589" max="14589" width="34.125" customWidth="1"/>
    <col min="14590" max="14590" width="16.25" customWidth="1"/>
    <col min="14593" max="14593" width="5.75" customWidth="1"/>
    <col min="14594" max="14594" width="5.875" customWidth="1"/>
    <col min="14595" max="14595" width="55.875" customWidth="1"/>
    <col min="14596" max="14596" width="32.25" customWidth="1"/>
    <col min="14597" max="14597" width="16.375" customWidth="1"/>
    <col min="14598" max="14842" width="10.375" customWidth="1"/>
    <col min="14843" max="14843" width="5.75" customWidth="1"/>
    <col min="14844" max="14844" width="5.875" customWidth="1"/>
    <col min="14845" max="14845" width="34.125" customWidth="1"/>
    <col min="14846" max="14846" width="16.25" customWidth="1"/>
    <col min="14849" max="14849" width="5.75" customWidth="1"/>
    <col min="14850" max="14850" width="5.875" customWidth="1"/>
    <col min="14851" max="14851" width="55.875" customWidth="1"/>
    <col min="14852" max="14852" width="32.25" customWidth="1"/>
    <col min="14853" max="14853" width="16.375" customWidth="1"/>
    <col min="14854" max="15098" width="10.375" customWidth="1"/>
    <col min="15099" max="15099" width="5.75" customWidth="1"/>
    <col min="15100" max="15100" width="5.875" customWidth="1"/>
    <col min="15101" max="15101" width="34.125" customWidth="1"/>
    <col min="15102" max="15102" width="16.25" customWidth="1"/>
    <col min="15105" max="15105" width="5.75" customWidth="1"/>
    <col min="15106" max="15106" width="5.875" customWidth="1"/>
    <col min="15107" max="15107" width="55.875" customWidth="1"/>
    <col min="15108" max="15108" width="32.25" customWidth="1"/>
    <col min="15109" max="15109" width="16.375" customWidth="1"/>
    <col min="15110" max="15354" width="10.375" customWidth="1"/>
    <col min="15355" max="15355" width="5.75" customWidth="1"/>
    <col min="15356" max="15356" width="5.875" customWidth="1"/>
    <col min="15357" max="15357" width="34.125" customWidth="1"/>
    <col min="15358" max="15358" width="16.25" customWidth="1"/>
    <col min="15361" max="15361" width="5.75" customWidth="1"/>
    <col min="15362" max="15362" width="5.875" customWidth="1"/>
    <col min="15363" max="15363" width="55.875" customWidth="1"/>
    <col min="15364" max="15364" width="32.25" customWidth="1"/>
    <col min="15365" max="15365" width="16.375" customWidth="1"/>
    <col min="15366" max="15610" width="10.375" customWidth="1"/>
    <col min="15611" max="15611" width="5.75" customWidth="1"/>
    <col min="15612" max="15612" width="5.875" customWidth="1"/>
    <col min="15613" max="15613" width="34.125" customWidth="1"/>
    <col min="15614" max="15614" width="16.25" customWidth="1"/>
    <col min="15617" max="15617" width="5.75" customWidth="1"/>
    <col min="15618" max="15618" width="5.875" customWidth="1"/>
    <col min="15619" max="15619" width="55.875" customWidth="1"/>
    <col min="15620" max="15620" width="32.25" customWidth="1"/>
    <col min="15621" max="15621" width="16.375" customWidth="1"/>
    <col min="15622" max="15866" width="10.375" customWidth="1"/>
    <col min="15867" max="15867" width="5.75" customWidth="1"/>
    <col min="15868" max="15868" width="5.875" customWidth="1"/>
    <col min="15869" max="15869" width="34.125" customWidth="1"/>
    <col min="15870" max="15870" width="16.25" customWidth="1"/>
    <col min="15873" max="15873" width="5.75" customWidth="1"/>
    <col min="15874" max="15874" width="5.875" customWidth="1"/>
    <col min="15875" max="15875" width="55.875" customWidth="1"/>
    <col min="15876" max="15876" width="32.25" customWidth="1"/>
    <col min="15877" max="15877" width="16.375" customWidth="1"/>
    <col min="15878" max="16122" width="10.375" customWidth="1"/>
    <col min="16123" max="16123" width="5.75" customWidth="1"/>
    <col min="16124" max="16124" width="5.875" customWidth="1"/>
    <col min="16125" max="16125" width="34.125" customWidth="1"/>
    <col min="16126" max="16126" width="16.25" customWidth="1"/>
    <col min="16129" max="16129" width="5.75" customWidth="1"/>
    <col min="16130" max="16130" width="5.875" customWidth="1"/>
    <col min="16131" max="16131" width="55.875" customWidth="1"/>
    <col min="16132" max="16132" width="32.25" customWidth="1"/>
    <col min="16133" max="16133" width="16.375" customWidth="1"/>
    <col min="16134" max="16378" width="10.375" customWidth="1"/>
    <col min="16379" max="16379" width="5.75" customWidth="1"/>
    <col min="16380" max="16380" width="5.875" customWidth="1"/>
    <col min="16381" max="16381" width="34.125" customWidth="1"/>
    <col min="16382" max="16382" width="16.25" customWidth="1"/>
  </cols>
  <sheetData>
    <row r="1" spans="1:6" ht="12.75" customHeight="1">
      <c r="A1" s="321"/>
      <c r="B1" s="321"/>
      <c r="C1" s="321"/>
      <c r="D1" s="322"/>
      <c r="E1" s="323" t="s">
        <v>899</v>
      </c>
      <c r="F1" s="324"/>
    </row>
    <row r="2" spans="1:6" ht="12.75" customHeight="1">
      <c r="A2" s="321"/>
      <c r="B2" s="321"/>
      <c r="C2" s="321"/>
      <c r="D2" s="325"/>
      <c r="E2" s="323" t="s">
        <v>900</v>
      </c>
      <c r="F2" s="324"/>
    </row>
    <row r="3" spans="1:6" ht="12.75" customHeight="1">
      <c r="A3" s="326"/>
      <c r="B3" s="326"/>
      <c r="C3" s="326"/>
      <c r="D3" s="325"/>
      <c r="E3" s="327" t="s">
        <v>634</v>
      </c>
      <c r="F3" s="324"/>
    </row>
    <row r="4" spans="1:6" ht="3.75" customHeight="1">
      <c r="A4" s="326"/>
      <c r="B4" s="326"/>
      <c r="C4" s="326"/>
      <c r="D4" s="325"/>
      <c r="E4" s="325"/>
      <c r="F4" s="325"/>
    </row>
    <row r="5" spans="1:6" s="328" customFormat="1" ht="26.25" customHeight="1">
      <c r="A5" s="892" t="s">
        <v>901</v>
      </c>
      <c r="B5" s="892"/>
      <c r="C5" s="892"/>
      <c r="D5" s="892"/>
      <c r="E5" s="892"/>
      <c r="F5" s="892"/>
    </row>
    <row r="6" spans="1:6" s="330" customFormat="1" ht="12.75" customHeight="1">
      <c r="A6" s="893"/>
      <c r="B6" s="893"/>
      <c r="C6" s="893"/>
      <c r="D6" s="329"/>
      <c r="E6" s="329"/>
      <c r="F6" s="329" t="s">
        <v>35</v>
      </c>
    </row>
    <row r="7" spans="1:6" s="331" customFormat="1" ht="15.75" customHeight="1">
      <c r="A7" s="894" t="s">
        <v>902</v>
      </c>
      <c r="B7" s="894" t="s">
        <v>76</v>
      </c>
      <c r="C7" s="895" t="s">
        <v>903</v>
      </c>
      <c r="D7" s="894" t="s">
        <v>100</v>
      </c>
      <c r="E7" s="894" t="s">
        <v>759</v>
      </c>
      <c r="F7" s="894" t="s">
        <v>79</v>
      </c>
    </row>
    <row r="8" spans="1:6" s="332" customFormat="1" ht="9" customHeight="1">
      <c r="A8" s="894"/>
      <c r="B8" s="894"/>
      <c r="C8" s="895"/>
      <c r="D8" s="894"/>
      <c r="E8" s="894"/>
      <c r="F8" s="894"/>
    </row>
    <row r="9" spans="1:6" s="335" customFormat="1" ht="12.75">
      <c r="A9" s="333">
        <v>1</v>
      </c>
      <c r="B9" s="333">
        <v>2</v>
      </c>
      <c r="C9" s="334">
        <v>3</v>
      </c>
      <c r="D9" s="333">
        <v>4</v>
      </c>
      <c r="E9" s="333">
        <v>5</v>
      </c>
      <c r="F9" s="333">
        <v>6</v>
      </c>
    </row>
    <row r="10" spans="1:6" s="335" customFormat="1" ht="8.25" customHeight="1">
      <c r="A10" s="336"/>
      <c r="B10" s="337"/>
      <c r="C10" s="337"/>
      <c r="D10" s="338"/>
      <c r="E10" s="338"/>
      <c r="F10" s="338"/>
    </row>
    <row r="11" spans="1:6" s="342" customFormat="1" ht="21" customHeight="1">
      <c r="A11" s="339">
        <v>1</v>
      </c>
      <c r="B11" s="339"/>
      <c r="C11" s="340" t="s">
        <v>904</v>
      </c>
      <c r="D11" s="341">
        <f>D13+D12</f>
        <v>1925208551.1099999</v>
      </c>
      <c r="E11" s="341">
        <f>E13+E12</f>
        <v>9561175.3999999985</v>
      </c>
      <c r="F11" s="341">
        <f>F13+F12</f>
        <v>1934769726.51</v>
      </c>
    </row>
    <row r="12" spans="1:6" s="346" customFormat="1" ht="21" customHeight="1">
      <c r="A12" s="343" t="s">
        <v>905</v>
      </c>
      <c r="B12" s="343"/>
      <c r="C12" s="344" t="s">
        <v>906</v>
      </c>
      <c r="D12" s="345">
        <v>1678470676.1099999</v>
      </c>
      <c r="E12" s="345">
        <v>-7361253</v>
      </c>
      <c r="F12" s="345">
        <f>D12+E12</f>
        <v>1671109423.1099999</v>
      </c>
    </row>
    <row r="13" spans="1:6" s="346" customFormat="1" ht="21" customHeight="1">
      <c r="A13" s="343" t="s">
        <v>907</v>
      </c>
      <c r="B13" s="343"/>
      <c r="C13" s="344" t="s">
        <v>908</v>
      </c>
      <c r="D13" s="345">
        <v>246737875</v>
      </c>
      <c r="E13" s="345">
        <v>16922428.399999999</v>
      </c>
      <c r="F13" s="345">
        <f>D13+E13</f>
        <v>263660303.40000001</v>
      </c>
    </row>
    <row r="14" spans="1:6" s="342" customFormat="1" ht="21" customHeight="1">
      <c r="A14" s="339">
        <v>2</v>
      </c>
      <c r="B14" s="339"/>
      <c r="C14" s="340" t="s">
        <v>909</v>
      </c>
      <c r="D14" s="341">
        <f>D15+D18+D21</f>
        <v>120569907</v>
      </c>
      <c r="E14" s="341">
        <f>E15+E18+E21</f>
        <v>44603206.399999999</v>
      </c>
      <c r="F14" s="341">
        <f>F15+F18+F21</f>
        <v>165173113.40000001</v>
      </c>
    </row>
    <row r="15" spans="1:6" s="351" customFormat="1" ht="30.75" customHeight="1">
      <c r="A15" s="347" t="s">
        <v>676</v>
      </c>
      <c r="B15" s="348"/>
      <c r="C15" s="349" t="s">
        <v>910</v>
      </c>
      <c r="D15" s="350">
        <f>D16+D17</f>
        <v>5000000</v>
      </c>
      <c r="E15" s="350">
        <f>E16+E17</f>
        <v>5723611.4000000004</v>
      </c>
      <c r="F15" s="350">
        <f>F16+F17</f>
        <v>10723611.4</v>
      </c>
    </row>
    <row r="16" spans="1:6" s="356" customFormat="1" ht="39" customHeight="1">
      <c r="A16" s="352" t="s">
        <v>911</v>
      </c>
      <c r="B16" s="353">
        <v>905</v>
      </c>
      <c r="C16" s="354" t="s">
        <v>912</v>
      </c>
      <c r="D16" s="355">
        <v>5000000</v>
      </c>
      <c r="E16" s="355">
        <v>5723611.4000000004</v>
      </c>
      <c r="F16" s="355">
        <f>D16+E16</f>
        <v>10723611.4</v>
      </c>
    </row>
    <row r="17" spans="1:6" s="356" customFormat="1" ht="39" customHeight="1">
      <c r="A17" s="357" t="s">
        <v>913</v>
      </c>
      <c r="B17" s="353">
        <v>906</v>
      </c>
      <c r="C17" s="354" t="s">
        <v>914</v>
      </c>
      <c r="D17" s="355">
        <v>0</v>
      </c>
      <c r="E17" s="355">
        <v>0</v>
      </c>
      <c r="F17" s="355">
        <f>D17+E17</f>
        <v>0</v>
      </c>
    </row>
    <row r="18" spans="1:6" s="351" customFormat="1" ht="21.95" customHeight="1">
      <c r="A18" s="358" t="s">
        <v>915</v>
      </c>
      <c r="B18" s="359">
        <v>952</v>
      </c>
      <c r="C18" s="360" t="s">
        <v>916</v>
      </c>
      <c r="D18" s="350">
        <f>D19+D20</f>
        <v>65000000</v>
      </c>
      <c r="E18" s="350">
        <f>E19+E20</f>
        <v>0</v>
      </c>
      <c r="F18" s="350">
        <f>F19+F20</f>
        <v>65000000</v>
      </c>
    </row>
    <row r="19" spans="1:6" s="335" customFormat="1" ht="18.75" customHeight="1">
      <c r="A19" s="357" t="s">
        <v>917</v>
      </c>
      <c r="B19" s="333"/>
      <c r="C19" s="361" t="s">
        <v>918</v>
      </c>
      <c r="D19" s="355">
        <v>14000000</v>
      </c>
      <c r="E19" s="355">
        <v>0</v>
      </c>
      <c r="F19" s="355">
        <f>D19+E19</f>
        <v>14000000</v>
      </c>
    </row>
    <row r="20" spans="1:6" s="335" customFormat="1" ht="18.75" customHeight="1">
      <c r="A20" s="357" t="s">
        <v>919</v>
      </c>
      <c r="B20" s="333"/>
      <c r="C20" s="361" t="s">
        <v>920</v>
      </c>
      <c r="D20" s="355">
        <v>51000000</v>
      </c>
      <c r="E20" s="355">
        <v>0</v>
      </c>
      <c r="F20" s="355">
        <f>D20+E20</f>
        <v>51000000</v>
      </c>
    </row>
    <row r="21" spans="1:6" s="351" customFormat="1" ht="27.75" customHeight="1">
      <c r="A21" s="358" t="s">
        <v>921</v>
      </c>
      <c r="B21" s="359">
        <v>950</v>
      </c>
      <c r="C21" s="360" t="s">
        <v>922</v>
      </c>
      <c r="D21" s="350">
        <f>D22+D23</f>
        <v>50569907</v>
      </c>
      <c r="E21" s="350">
        <f>E22+E23</f>
        <v>38879595</v>
      </c>
      <c r="F21" s="350">
        <f>F22+F23</f>
        <v>89449502</v>
      </c>
    </row>
    <row r="22" spans="1:6" s="356" customFormat="1" ht="19.5" customHeight="1">
      <c r="A22" s="357" t="s">
        <v>923</v>
      </c>
      <c r="B22" s="333"/>
      <c r="C22" s="361" t="s">
        <v>924</v>
      </c>
      <c r="D22" s="355">
        <v>0</v>
      </c>
      <c r="E22" s="355">
        <v>0</v>
      </c>
      <c r="F22" s="355">
        <f>D22+E22</f>
        <v>0</v>
      </c>
    </row>
    <row r="23" spans="1:6" s="356" customFormat="1" ht="19.5" customHeight="1">
      <c r="A23" s="357" t="s">
        <v>925</v>
      </c>
      <c r="B23" s="333"/>
      <c r="C23" s="361" t="s">
        <v>926</v>
      </c>
      <c r="D23" s="355">
        <v>50569907</v>
      </c>
      <c r="E23" s="355">
        <v>38879595</v>
      </c>
      <c r="F23" s="355">
        <f>D23+E23</f>
        <v>89449502</v>
      </c>
    </row>
    <row r="24" spans="1:6" s="364" customFormat="1" ht="21.95" customHeight="1">
      <c r="A24" s="362">
        <v>3</v>
      </c>
      <c r="B24" s="362"/>
      <c r="C24" s="363" t="s">
        <v>927</v>
      </c>
      <c r="D24" s="341">
        <f>D11+D14</f>
        <v>2045778458.1099999</v>
      </c>
      <c r="E24" s="341">
        <f>E11+E14</f>
        <v>54164381.799999997</v>
      </c>
      <c r="F24" s="341">
        <f>F11+F14</f>
        <v>2099942839.9100001</v>
      </c>
    </row>
    <row r="25" spans="1:6" ht="4.5" customHeight="1">
      <c r="A25" s="365"/>
      <c r="B25" s="366"/>
      <c r="C25" s="367"/>
      <c r="D25" s="368"/>
      <c r="E25" s="368"/>
      <c r="F25" s="368"/>
    </row>
    <row r="26" spans="1:6" s="369" customFormat="1" ht="21.95" customHeight="1">
      <c r="A26" s="339">
        <v>4</v>
      </c>
      <c r="B26" s="339"/>
      <c r="C26" s="340" t="s">
        <v>928</v>
      </c>
      <c r="D26" s="341">
        <f>D27+D30</f>
        <v>2031778458.1099999</v>
      </c>
      <c r="E26" s="341">
        <f>E27+E30</f>
        <v>54164381.799999997</v>
      </c>
      <c r="F26" s="341">
        <f>F27+F30</f>
        <v>2085942839.9099998</v>
      </c>
    </row>
    <row r="27" spans="1:6" s="346" customFormat="1" ht="21.95" customHeight="1">
      <c r="A27" s="343" t="s">
        <v>929</v>
      </c>
      <c r="B27" s="343"/>
      <c r="C27" s="344" t="s">
        <v>930</v>
      </c>
      <c r="D27" s="345">
        <f>D28+D29</f>
        <v>1265307116.1099999</v>
      </c>
      <c r="E27" s="345">
        <f>E28+E29</f>
        <v>34882248.799999997</v>
      </c>
      <c r="F27" s="345">
        <f>F28+F29</f>
        <v>1300189364.9099998</v>
      </c>
    </row>
    <row r="28" spans="1:6" s="373" customFormat="1" ht="19.5" customHeight="1">
      <c r="A28" s="370" t="s">
        <v>931</v>
      </c>
      <c r="B28" s="370"/>
      <c r="C28" s="371" t="s">
        <v>932</v>
      </c>
      <c r="D28" s="372">
        <v>1193673958.1099999</v>
      </c>
      <c r="E28" s="372">
        <v>34882248.799999997</v>
      </c>
      <c r="F28" s="372">
        <f>D28+E28</f>
        <v>1228556206.9099998</v>
      </c>
    </row>
    <row r="29" spans="1:6" s="373" customFormat="1" ht="19.5" customHeight="1">
      <c r="A29" s="370" t="s">
        <v>699</v>
      </c>
      <c r="B29" s="370"/>
      <c r="C29" s="371" t="s">
        <v>933</v>
      </c>
      <c r="D29" s="372">
        <v>71633158</v>
      </c>
      <c r="E29" s="372">
        <v>0</v>
      </c>
      <c r="F29" s="372">
        <f>D29+E29</f>
        <v>71633158</v>
      </c>
    </row>
    <row r="30" spans="1:6" s="346" customFormat="1" ht="21.95" customHeight="1">
      <c r="A30" s="343" t="s">
        <v>934</v>
      </c>
      <c r="B30" s="343"/>
      <c r="C30" s="344" t="s">
        <v>935</v>
      </c>
      <c r="D30" s="345">
        <v>766471342</v>
      </c>
      <c r="E30" s="345">
        <v>19282133</v>
      </c>
      <c r="F30" s="345">
        <f>D30+E30</f>
        <v>785753475</v>
      </c>
    </row>
    <row r="31" spans="1:6" s="342" customFormat="1" ht="21.95" customHeight="1">
      <c r="A31" s="339">
        <v>5</v>
      </c>
      <c r="B31" s="339"/>
      <c r="C31" s="340" t="s">
        <v>936</v>
      </c>
      <c r="D31" s="341">
        <f>D32</f>
        <v>14000000</v>
      </c>
      <c r="E31" s="341">
        <f>E32</f>
        <v>0</v>
      </c>
      <c r="F31" s="341">
        <f>F32</f>
        <v>14000000</v>
      </c>
    </row>
    <row r="32" spans="1:6" ht="21.95" customHeight="1">
      <c r="A32" s="359" t="s">
        <v>937</v>
      </c>
      <c r="B32" s="359">
        <v>992</v>
      </c>
      <c r="C32" s="360" t="s">
        <v>938</v>
      </c>
      <c r="D32" s="350">
        <v>14000000</v>
      </c>
      <c r="E32" s="350">
        <v>0</v>
      </c>
      <c r="F32" s="350">
        <f>D32+E32</f>
        <v>14000000</v>
      </c>
    </row>
    <row r="33" spans="1:6" s="364" customFormat="1" ht="21.95" customHeight="1">
      <c r="A33" s="362">
        <v>6</v>
      </c>
      <c r="B33" s="362"/>
      <c r="C33" s="363" t="s">
        <v>939</v>
      </c>
      <c r="D33" s="341">
        <f>D26+D31</f>
        <v>2045778458.1099999</v>
      </c>
      <c r="E33" s="341">
        <f>E26+E31</f>
        <v>54164381.799999997</v>
      </c>
      <c r="F33" s="341">
        <f>F26+F31</f>
        <v>2099942839.9099998</v>
      </c>
    </row>
    <row r="34" spans="1:6" s="364" customFormat="1" ht="6.75" customHeight="1">
      <c r="A34" s="374"/>
      <c r="B34" s="375"/>
      <c r="C34" s="376"/>
      <c r="D34" s="377"/>
      <c r="E34" s="377"/>
      <c r="F34" s="377"/>
    </row>
    <row r="35" spans="1:6" s="342" customFormat="1" ht="21.95" customHeight="1">
      <c r="A35" s="339">
        <v>7</v>
      </c>
      <c r="B35" s="339"/>
      <c r="C35" s="340" t="s">
        <v>940</v>
      </c>
      <c r="D35" s="341">
        <f>D24-D33</f>
        <v>0</v>
      </c>
      <c r="E35" s="341">
        <f>E24-E33</f>
        <v>0</v>
      </c>
      <c r="F35" s="341">
        <f>F24-F33</f>
        <v>0</v>
      </c>
    </row>
    <row r="36" spans="1:6" s="342" customFormat="1" ht="6" customHeight="1">
      <c r="A36" s="378"/>
      <c r="B36" s="379"/>
      <c r="C36" s="380"/>
      <c r="D36" s="368"/>
      <c r="E36" s="368"/>
      <c r="F36" s="368"/>
    </row>
    <row r="37" spans="1:6" s="342" customFormat="1" ht="21.95" customHeight="1">
      <c r="A37" s="339">
        <v>8</v>
      </c>
      <c r="B37" s="339"/>
      <c r="C37" s="340" t="s">
        <v>941</v>
      </c>
      <c r="D37" s="341">
        <f>D11-D26</f>
        <v>-106569907</v>
      </c>
      <c r="E37" s="341">
        <f>E11-E26</f>
        <v>-44603206.399999999</v>
      </c>
      <c r="F37" s="341">
        <f>F11-F26</f>
        <v>-151173113.39999986</v>
      </c>
    </row>
    <row r="38" spans="1:6" s="342" customFormat="1" ht="6.75" customHeight="1">
      <c r="A38" s="378"/>
      <c r="B38" s="379"/>
      <c r="C38" s="380"/>
      <c r="D38" s="368"/>
      <c r="E38" s="368"/>
      <c r="F38" s="368"/>
    </row>
    <row r="39" spans="1:6" s="342" customFormat="1" ht="21.95" customHeight="1">
      <c r="A39" s="381">
        <v>9</v>
      </c>
      <c r="B39" s="381"/>
      <c r="C39" s="382" t="s">
        <v>942</v>
      </c>
      <c r="D39" s="383">
        <f>D40+D43+D44</f>
        <v>106569907</v>
      </c>
      <c r="E39" s="383">
        <f>E40+E43+E44</f>
        <v>44603206.399999999</v>
      </c>
      <c r="F39" s="383">
        <f>F40+F43+F44</f>
        <v>151173113.40000001</v>
      </c>
    </row>
    <row r="40" spans="1:6" s="385" customFormat="1" ht="29.25" customHeight="1">
      <c r="A40" s="358" t="s">
        <v>943</v>
      </c>
      <c r="B40" s="359"/>
      <c r="C40" s="349" t="s">
        <v>910</v>
      </c>
      <c r="D40" s="384">
        <f>D41+D42</f>
        <v>5000000</v>
      </c>
      <c r="E40" s="384">
        <f>E41+E42</f>
        <v>5723611.4000000004</v>
      </c>
      <c r="F40" s="384">
        <f>F41+F42</f>
        <v>10723611.4</v>
      </c>
    </row>
    <row r="41" spans="1:6" s="387" customFormat="1" ht="41.25" customHeight="1">
      <c r="A41" s="357" t="s">
        <v>944</v>
      </c>
      <c r="B41" s="333"/>
      <c r="C41" s="354" t="s">
        <v>912</v>
      </c>
      <c r="D41" s="386">
        <f>D16</f>
        <v>5000000</v>
      </c>
      <c r="E41" s="386">
        <f t="shared" ref="E41:F42" si="0">E16</f>
        <v>5723611.4000000004</v>
      </c>
      <c r="F41" s="386">
        <f t="shared" si="0"/>
        <v>10723611.4</v>
      </c>
    </row>
    <row r="42" spans="1:6" s="387" customFormat="1" ht="41.25" customHeight="1">
      <c r="A42" s="357" t="s">
        <v>945</v>
      </c>
      <c r="B42" s="333"/>
      <c r="C42" s="361" t="s">
        <v>946</v>
      </c>
      <c r="D42" s="386">
        <f>D17</f>
        <v>0</v>
      </c>
      <c r="E42" s="386">
        <f t="shared" si="0"/>
        <v>0</v>
      </c>
      <c r="F42" s="386">
        <f t="shared" si="0"/>
        <v>0</v>
      </c>
    </row>
    <row r="43" spans="1:6" ht="17.25" customHeight="1">
      <c r="A43" s="358" t="s">
        <v>947</v>
      </c>
      <c r="B43" s="359"/>
      <c r="C43" s="360" t="s">
        <v>948</v>
      </c>
      <c r="D43" s="350">
        <f>D20</f>
        <v>51000000</v>
      </c>
      <c r="E43" s="350">
        <f>E20</f>
        <v>0</v>
      </c>
      <c r="F43" s="350">
        <f>F20</f>
        <v>51000000</v>
      </c>
    </row>
    <row r="44" spans="1:6" ht="30" customHeight="1">
      <c r="A44" s="388" t="s">
        <v>949</v>
      </c>
      <c r="B44" s="389"/>
      <c r="C44" s="360" t="s">
        <v>922</v>
      </c>
      <c r="D44" s="350">
        <f>D23</f>
        <v>50569907</v>
      </c>
      <c r="E44" s="350">
        <f>E23</f>
        <v>38879595</v>
      </c>
      <c r="F44" s="350">
        <f>F23</f>
        <v>89449502</v>
      </c>
    </row>
    <row r="45" spans="1:6" ht="21.95" hidden="1" customHeight="1">
      <c r="A45" s="388"/>
      <c r="B45" s="389"/>
      <c r="C45" s="390"/>
      <c r="D45" s="368"/>
      <c r="E45" s="368"/>
      <c r="F45" s="368"/>
    </row>
    <row r="46" spans="1:6" ht="5.25" customHeight="1">
      <c r="A46" s="391"/>
      <c r="B46" s="392"/>
      <c r="C46" s="393"/>
      <c r="D46" s="394"/>
      <c r="E46" s="394"/>
      <c r="F46" s="394"/>
    </row>
    <row r="47" spans="1:6" s="364" customFormat="1" ht="14.25" customHeight="1">
      <c r="A47" s="890" t="s">
        <v>950</v>
      </c>
      <c r="B47" s="890"/>
      <c r="C47" s="890"/>
      <c r="D47" s="395"/>
      <c r="E47" s="395"/>
      <c r="F47" s="395"/>
    </row>
    <row r="48" spans="1:6" ht="15" customHeight="1">
      <c r="A48" s="887" t="s">
        <v>951</v>
      </c>
      <c r="B48" s="887"/>
      <c r="C48" s="887"/>
      <c r="D48" s="396">
        <f>D12</f>
        <v>1678470676.1099999</v>
      </c>
      <c r="E48" s="396">
        <f>E12</f>
        <v>-7361253</v>
      </c>
      <c r="F48" s="396">
        <f>F12</f>
        <v>1671109423.1099999</v>
      </c>
    </row>
    <row r="49" spans="1:6" ht="15" customHeight="1">
      <c r="A49" s="887" t="s">
        <v>952</v>
      </c>
      <c r="B49" s="887"/>
      <c r="C49" s="887"/>
      <c r="D49" s="396">
        <f>D27</f>
        <v>1265307116.1099999</v>
      </c>
      <c r="E49" s="396">
        <f>E27</f>
        <v>34882248.799999997</v>
      </c>
      <c r="F49" s="396">
        <f>F27</f>
        <v>1300189364.9099998</v>
      </c>
    </row>
    <row r="50" spans="1:6" s="364" customFormat="1" ht="16.5" customHeight="1">
      <c r="A50" s="891" t="s">
        <v>953</v>
      </c>
      <c r="B50" s="891"/>
      <c r="C50" s="891"/>
      <c r="D50" s="395">
        <f>D48-D49</f>
        <v>413163560</v>
      </c>
      <c r="E50" s="395">
        <f>E48-E49</f>
        <v>-42243501.799999997</v>
      </c>
      <c r="F50" s="395">
        <f>F48-F49</f>
        <v>370920058.20000005</v>
      </c>
    </row>
    <row r="51" spans="1:6" s="331" customFormat="1" ht="6" customHeight="1">
      <c r="A51" s="397"/>
      <c r="B51" s="398"/>
      <c r="C51" s="399"/>
      <c r="D51" s="400"/>
      <c r="E51" s="400"/>
      <c r="F51" s="400"/>
    </row>
    <row r="52" spans="1:6" s="331" customFormat="1" ht="12" customHeight="1">
      <c r="A52" s="889" t="s">
        <v>954</v>
      </c>
      <c r="B52" s="889"/>
      <c r="C52" s="889"/>
      <c r="D52" s="401">
        <f>D11</f>
        <v>1925208551.1099999</v>
      </c>
      <c r="E52" s="401">
        <f>E11</f>
        <v>9561175.3999999985</v>
      </c>
      <c r="F52" s="401">
        <f>F11</f>
        <v>1934769726.51</v>
      </c>
    </row>
    <row r="53" spans="1:6" ht="15" customHeight="1">
      <c r="A53" s="887" t="s">
        <v>955</v>
      </c>
      <c r="B53" s="887"/>
      <c r="C53" s="887"/>
      <c r="D53" s="396">
        <f>D28</f>
        <v>1193673958.1099999</v>
      </c>
      <c r="E53" s="396">
        <f>E28</f>
        <v>34882248.799999997</v>
      </c>
      <c r="F53" s="396">
        <f>F28</f>
        <v>1228556206.9099998</v>
      </c>
    </row>
    <row r="54" spans="1:6" ht="15" customHeight="1">
      <c r="A54" s="887" t="s">
        <v>956</v>
      </c>
      <c r="B54" s="887"/>
      <c r="C54" s="887"/>
      <c r="D54" s="396">
        <f>D21+D15</f>
        <v>55569907</v>
      </c>
      <c r="E54" s="396">
        <f>E21+E15</f>
        <v>44603206.399999999</v>
      </c>
      <c r="F54" s="396">
        <f>F21+F15</f>
        <v>100173113.40000001</v>
      </c>
    </row>
    <row r="55" spans="1:6" ht="15.75" customHeight="1">
      <c r="A55" s="889" t="s">
        <v>957</v>
      </c>
      <c r="B55" s="889"/>
      <c r="C55" s="889"/>
      <c r="D55" s="396">
        <f>D52-D53+D54</f>
        <v>787104500</v>
      </c>
      <c r="E55" s="396">
        <f>E52-E53+E54</f>
        <v>19282133</v>
      </c>
      <c r="F55" s="396">
        <f>F52-F53+F54</f>
        <v>806386633.00000012</v>
      </c>
    </row>
    <row r="56" spans="1:6" ht="25.5" customHeight="1">
      <c r="A56" s="887" t="s">
        <v>958</v>
      </c>
      <c r="B56" s="887"/>
      <c r="C56" s="887"/>
      <c r="D56" s="396">
        <f>D29+D32</f>
        <v>85633158</v>
      </c>
      <c r="E56" s="396">
        <f>E29+E32</f>
        <v>0</v>
      </c>
      <c r="F56" s="396">
        <f>F29+F32</f>
        <v>85633158</v>
      </c>
    </row>
    <row r="57" spans="1:6" ht="15" customHeight="1">
      <c r="A57" s="889" t="s">
        <v>959</v>
      </c>
      <c r="B57" s="889"/>
      <c r="C57" s="889"/>
      <c r="D57" s="396">
        <f>D55-D56</f>
        <v>701471342</v>
      </c>
      <c r="E57" s="396">
        <f>E55-E56</f>
        <v>19282133</v>
      </c>
      <c r="F57" s="396">
        <f>F55-F56</f>
        <v>720753475.00000012</v>
      </c>
    </row>
    <row r="58" spans="1:6" ht="15" customHeight="1">
      <c r="A58" s="887" t="s">
        <v>960</v>
      </c>
      <c r="B58" s="887"/>
      <c r="C58" s="887"/>
      <c r="D58" s="396">
        <f>D30</f>
        <v>766471342</v>
      </c>
      <c r="E58" s="396">
        <f>E30</f>
        <v>19282133</v>
      </c>
      <c r="F58" s="396">
        <f>F30</f>
        <v>785753475</v>
      </c>
    </row>
    <row r="59" spans="1:6" ht="15" customHeight="1">
      <c r="A59" s="889" t="s">
        <v>961</v>
      </c>
      <c r="B59" s="889"/>
      <c r="C59" s="889"/>
      <c r="D59" s="396">
        <f>D57-D58</f>
        <v>-65000000</v>
      </c>
      <c r="E59" s="396">
        <f>E57-E58</f>
        <v>0</v>
      </c>
      <c r="F59" s="396">
        <f>F57-F58</f>
        <v>-64999999.999999881</v>
      </c>
    </row>
    <row r="60" spans="1:6" ht="15" customHeight="1">
      <c r="A60" s="887" t="s">
        <v>962</v>
      </c>
      <c r="B60" s="887"/>
      <c r="C60" s="887"/>
      <c r="D60" s="396">
        <f>D18</f>
        <v>65000000</v>
      </c>
      <c r="E60" s="396">
        <f>E18</f>
        <v>0</v>
      </c>
      <c r="F60" s="396">
        <f>F18</f>
        <v>65000000</v>
      </c>
    </row>
    <row r="61" spans="1:6" ht="15" hidden="1" customHeight="1">
      <c r="A61" s="887" t="s">
        <v>963</v>
      </c>
      <c r="B61" s="887"/>
      <c r="C61" s="887"/>
      <c r="D61" s="396">
        <v>0</v>
      </c>
      <c r="E61" s="396">
        <v>0</v>
      </c>
      <c r="F61" s="396">
        <v>0</v>
      </c>
    </row>
    <row r="62" spans="1:6" ht="15" hidden="1" customHeight="1">
      <c r="A62" s="887" t="s">
        <v>964</v>
      </c>
      <c r="B62" s="887"/>
      <c r="C62" s="887"/>
      <c r="D62" s="396">
        <v>0</v>
      </c>
      <c r="E62" s="396">
        <v>0</v>
      </c>
      <c r="F62" s="396">
        <v>0</v>
      </c>
    </row>
    <row r="63" spans="1:6" ht="14.25" customHeight="1">
      <c r="A63" s="888" t="s">
        <v>965</v>
      </c>
      <c r="B63" s="888"/>
      <c r="C63" s="888"/>
      <c r="D63" s="402">
        <f>D59+D60-D61+D62</f>
        <v>0</v>
      </c>
      <c r="E63" s="402">
        <f>E59+E60-E61+E62</f>
        <v>0</v>
      </c>
      <c r="F63" s="402">
        <f>F59+F60-F61+F62</f>
        <v>1.1920928955078125E-7</v>
      </c>
    </row>
    <row r="64" spans="1:6" ht="6.75" hidden="1" customHeight="1" thickBot="1">
      <c r="A64" s="403"/>
      <c r="B64" s="404"/>
      <c r="C64" s="405"/>
      <c r="D64" s="406"/>
      <c r="E64" s="406"/>
      <c r="F64" s="406"/>
    </row>
  </sheetData>
  <sheetProtection algorithmName="SHA-512" hashValue="kC9E2h4yrrDPZEWeO6HNuIoC0S0ys1fopug1dFUtmZcQrQNjsWf5GGZARnaVMJ1XkQNzXcFEKCDzcxzwnkEhfA==" saltValue="4Tv8fvBhKo0ENEFLU/K+7Q==" spinCount="100000" sheet="1" objects="1" scenarios="1"/>
  <mergeCells count="24"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1DA7-CEF8-4FC8-8B73-B57840120C73}">
  <sheetPr>
    <pageSetUpPr fitToPage="1"/>
  </sheetPr>
  <dimension ref="A1:Y164"/>
  <sheetViews>
    <sheetView view="pageBreakPreview" topLeftCell="A115" zoomScaleNormal="100" zoomScaleSheetLayoutView="100" workbookViewId="0">
      <selection activeCell="A150" sqref="A150:G154"/>
    </sheetView>
  </sheetViews>
  <sheetFormatPr defaultColWidth="9" defaultRowHeight="15"/>
  <cols>
    <col min="1" max="1" width="5.375" style="294" customWidth="1"/>
    <col min="2" max="2" width="8.125" style="294" customWidth="1"/>
    <col min="3" max="3" width="9.375" style="294" customWidth="1"/>
    <col min="4" max="4" width="44.125" style="294" customWidth="1"/>
    <col min="5" max="5" width="11.25" style="294" customWidth="1"/>
    <col min="6" max="6" width="9.75" style="294" customWidth="1"/>
    <col min="7" max="7" width="11" style="294" customWidth="1"/>
    <col min="8" max="9" width="14.25" style="294" customWidth="1"/>
    <col min="10" max="10" width="3.5" style="294" customWidth="1"/>
    <col min="11" max="11" width="11.375" style="294" customWidth="1"/>
    <col min="12" max="12" width="11.25" style="294" customWidth="1"/>
    <col min="13" max="13" width="10.75" style="294" customWidth="1"/>
    <col min="14" max="14" width="10.875" style="294" customWidth="1"/>
    <col min="15" max="15" width="11.25" style="294" customWidth="1"/>
    <col min="16" max="16" width="11.375" style="294" customWidth="1"/>
    <col min="17" max="20" width="11.125" style="294" customWidth="1"/>
    <col min="21" max="21" width="10.625" style="294" customWidth="1"/>
    <col min="22" max="22" width="11" style="294" customWidth="1"/>
    <col min="23" max="24" width="10.875" style="294" customWidth="1"/>
    <col min="25" max="25" width="2.875" style="294" customWidth="1"/>
    <col min="26" max="16384" width="9" style="294"/>
  </cols>
  <sheetData>
    <row r="1" spans="1:25" s="277" customFormat="1" ht="12.75">
      <c r="A1" s="276" t="s">
        <v>107</v>
      </c>
      <c r="V1" s="279" t="s">
        <v>636</v>
      </c>
    </row>
    <row r="2" spans="1:25" s="277" customFormat="1" ht="12.75">
      <c r="A2" s="276"/>
      <c r="V2" s="279" t="s">
        <v>637</v>
      </c>
    </row>
    <row r="3" spans="1:25" s="277" customFormat="1" ht="12.75">
      <c r="A3" s="276"/>
      <c r="V3" s="279" t="s">
        <v>634</v>
      </c>
    </row>
    <row r="4" spans="1:25" s="279" customFormat="1" ht="9" customHeight="1">
      <c r="A4" s="278"/>
    </row>
    <row r="5" spans="1:25" s="277" customFormat="1" ht="42.75" customHeight="1">
      <c r="A5" s="948" t="s">
        <v>761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303"/>
    </row>
    <row r="6" spans="1:25" s="277" customFormat="1" ht="16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76" t="s">
        <v>35</v>
      </c>
      <c r="X6" s="276"/>
    </row>
    <row r="7" spans="1:25" s="279" customFormat="1" ht="19.5" customHeight="1">
      <c r="A7" s="949" t="s">
        <v>638</v>
      </c>
      <c r="B7" s="952" t="s">
        <v>639</v>
      </c>
      <c r="C7" s="952" t="s">
        <v>640</v>
      </c>
      <c r="D7" s="955" t="s">
        <v>641</v>
      </c>
      <c r="E7" s="955" t="s">
        <v>642</v>
      </c>
      <c r="F7" s="952" t="s">
        <v>643</v>
      </c>
      <c r="G7" s="955" t="s">
        <v>397</v>
      </c>
      <c r="H7" s="958" t="s">
        <v>644</v>
      </c>
      <c r="I7" s="959" t="s">
        <v>645</v>
      </c>
      <c r="J7" s="281" t="s">
        <v>99</v>
      </c>
      <c r="K7" s="903" t="s">
        <v>646</v>
      </c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</row>
    <row r="8" spans="1:25" s="279" customFormat="1" ht="18.75" customHeight="1">
      <c r="A8" s="950"/>
      <c r="B8" s="953"/>
      <c r="C8" s="953"/>
      <c r="D8" s="956"/>
      <c r="E8" s="956"/>
      <c r="F8" s="953"/>
      <c r="G8" s="956"/>
      <c r="H8" s="958"/>
      <c r="I8" s="959"/>
      <c r="J8" s="281" t="s">
        <v>0</v>
      </c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903"/>
    </row>
    <row r="9" spans="1:25" s="279" customFormat="1" ht="15.75" customHeight="1">
      <c r="A9" s="950"/>
      <c r="B9" s="953"/>
      <c r="C9" s="953"/>
      <c r="D9" s="956"/>
      <c r="E9" s="956"/>
      <c r="F9" s="953"/>
      <c r="G9" s="956"/>
      <c r="H9" s="281" t="s">
        <v>647</v>
      </c>
      <c r="I9" s="281" t="s">
        <v>647</v>
      </c>
      <c r="J9" s="945" t="s">
        <v>1</v>
      </c>
      <c r="K9" s="903" t="s">
        <v>648</v>
      </c>
      <c r="L9" s="947" t="s">
        <v>649</v>
      </c>
      <c r="M9" s="947"/>
      <c r="N9" s="947"/>
      <c r="O9" s="944" t="s">
        <v>650</v>
      </c>
      <c r="P9" s="947" t="s">
        <v>651</v>
      </c>
      <c r="Q9" s="947"/>
      <c r="R9" s="947"/>
      <c r="S9" s="947"/>
      <c r="T9" s="947"/>
      <c r="U9" s="947"/>
      <c r="V9" s="947"/>
      <c r="W9" s="947"/>
      <c r="X9" s="947"/>
    </row>
    <row r="10" spans="1:25" s="279" customFormat="1" ht="12.75" customHeight="1">
      <c r="A10" s="950"/>
      <c r="B10" s="953"/>
      <c r="C10" s="953"/>
      <c r="D10" s="956"/>
      <c r="E10" s="956"/>
      <c r="F10" s="953"/>
      <c r="G10" s="956"/>
      <c r="H10" s="281" t="s">
        <v>652</v>
      </c>
      <c r="I10" s="281" t="s">
        <v>652</v>
      </c>
      <c r="J10" s="946"/>
      <c r="K10" s="903"/>
      <c r="L10" s="947"/>
      <c r="M10" s="947"/>
      <c r="N10" s="947"/>
      <c r="O10" s="944"/>
      <c r="P10" s="942" t="s">
        <v>653</v>
      </c>
      <c r="Q10" s="942"/>
      <c r="R10" s="942"/>
      <c r="S10" s="942" t="s">
        <v>654</v>
      </c>
      <c r="T10" s="942"/>
      <c r="U10" s="942"/>
      <c r="V10" s="944" t="s">
        <v>655</v>
      </c>
      <c r="W10" s="944"/>
      <c r="X10" s="944"/>
    </row>
    <row r="11" spans="1:25" s="279" customFormat="1" ht="12.75">
      <c r="A11" s="950"/>
      <c r="B11" s="953"/>
      <c r="C11" s="953"/>
      <c r="D11" s="956"/>
      <c r="E11" s="956"/>
      <c r="F11" s="953"/>
      <c r="G11" s="956"/>
      <c r="H11" s="281" t="s">
        <v>656</v>
      </c>
      <c r="I11" s="281" t="s">
        <v>656</v>
      </c>
      <c r="J11" s="945" t="s">
        <v>2</v>
      </c>
      <c r="K11" s="903"/>
      <c r="L11" s="942" t="s">
        <v>38</v>
      </c>
      <c r="M11" s="942" t="s">
        <v>657</v>
      </c>
      <c r="N11" s="942" t="s">
        <v>658</v>
      </c>
      <c r="O11" s="944"/>
      <c r="P11" s="942" t="s">
        <v>38</v>
      </c>
      <c r="Q11" s="942" t="s">
        <v>659</v>
      </c>
      <c r="R11" s="943" t="s">
        <v>658</v>
      </c>
      <c r="S11" s="942" t="s">
        <v>38</v>
      </c>
      <c r="T11" s="942" t="s">
        <v>659</v>
      </c>
      <c r="U11" s="943" t="s">
        <v>658</v>
      </c>
      <c r="V11" s="944" t="s">
        <v>660</v>
      </c>
      <c r="W11" s="942" t="s">
        <v>659</v>
      </c>
      <c r="X11" s="943" t="s">
        <v>658</v>
      </c>
    </row>
    <row r="12" spans="1:25" s="279" customFormat="1" ht="12.75">
      <c r="A12" s="951"/>
      <c r="B12" s="954"/>
      <c r="C12" s="954"/>
      <c r="D12" s="957"/>
      <c r="E12" s="957"/>
      <c r="F12" s="954"/>
      <c r="G12" s="957"/>
      <c r="H12" s="281" t="s">
        <v>655</v>
      </c>
      <c r="I12" s="281" t="s">
        <v>655</v>
      </c>
      <c r="J12" s="946"/>
      <c r="K12" s="903"/>
      <c r="L12" s="942"/>
      <c r="M12" s="942"/>
      <c r="N12" s="942"/>
      <c r="O12" s="944"/>
      <c r="P12" s="942"/>
      <c r="Q12" s="942"/>
      <c r="R12" s="943"/>
      <c r="S12" s="942"/>
      <c r="T12" s="942"/>
      <c r="U12" s="943"/>
      <c r="V12" s="944"/>
      <c r="W12" s="942"/>
      <c r="X12" s="943"/>
    </row>
    <row r="13" spans="1:25" s="283" customFormat="1" ht="11.25">
      <c r="A13" s="282">
        <v>1</v>
      </c>
      <c r="B13" s="282">
        <v>2</v>
      </c>
      <c r="C13" s="282">
        <v>3</v>
      </c>
      <c r="D13" s="282">
        <v>4</v>
      </c>
      <c r="E13" s="282">
        <v>5</v>
      </c>
      <c r="F13" s="282">
        <v>6</v>
      </c>
      <c r="G13" s="282">
        <v>7</v>
      </c>
      <c r="H13" s="282">
        <v>8</v>
      </c>
      <c r="I13" s="282" t="s">
        <v>661</v>
      </c>
      <c r="J13" s="282" t="s">
        <v>662</v>
      </c>
      <c r="K13" s="282" t="s">
        <v>663</v>
      </c>
      <c r="L13" s="282" t="s">
        <v>664</v>
      </c>
      <c r="M13" s="282">
        <v>11</v>
      </c>
      <c r="N13" s="282">
        <v>12</v>
      </c>
      <c r="O13" s="282" t="s">
        <v>665</v>
      </c>
      <c r="P13" s="282" t="s">
        <v>666</v>
      </c>
      <c r="Q13" s="282">
        <v>15</v>
      </c>
      <c r="R13" s="282">
        <v>16</v>
      </c>
      <c r="S13" s="282" t="s">
        <v>667</v>
      </c>
      <c r="T13" s="282">
        <v>18</v>
      </c>
      <c r="U13" s="282">
        <v>19</v>
      </c>
      <c r="V13" s="282" t="s">
        <v>668</v>
      </c>
      <c r="W13" s="282">
        <v>21</v>
      </c>
      <c r="X13" s="282">
        <v>22</v>
      </c>
    </row>
    <row r="14" spans="1:25" s="277" customFormat="1" ht="5.0999999999999996" customHeight="1">
      <c r="A14" s="910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</row>
    <row r="15" spans="1:25" s="283" customFormat="1" ht="18" hidden="1" customHeight="1">
      <c r="A15" s="934" t="s">
        <v>669</v>
      </c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6"/>
      <c r="Y15" s="284"/>
    </row>
    <row r="16" spans="1:25" s="283" customFormat="1" ht="3.75" hidden="1" customHeight="1">
      <c r="A16" s="941"/>
      <c r="B16" s="941"/>
      <c r="C16" s="941"/>
      <c r="D16" s="941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1"/>
      <c r="V16" s="941"/>
      <c r="W16" s="941"/>
      <c r="X16" s="941"/>
      <c r="Y16" s="285"/>
    </row>
    <row r="17" spans="1:24" s="287" customFormat="1" ht="16.7" hidden="1" customHeight="1">
      <c r="A17" s="914">
        <v>1</v>
      </c>
      <c r="B17" s="910" t="s">
        <v>670</v>
      </c>
      <c r="C17" s="912" t="s">
        <v>671</v>
      </c>
      <c r="D17" s="940" t="s">
        <v>672</v>
      </c>
      <c r="E17" s="914" t="s">
        <v>673</v>
      </c>
      <c r="F17" s="914" t="s">
        <v>674</v>
      </c>
      <c r="G17" s="910">
        <v>2024</v>
      </c>
      <c r="H17" s="286" t="s">
        <v>408</v>
      </c>
      <c r="I17" s="286" t="s">
        <v>408</v>
      </c>
      <c r="J17" s="908" t="s">
        <v>0</v>
      </c>
      <c r="K17" s="904">
        <f t="shared" ref="K17" si="0">L17+O17</f>
        <v>232276</v>
      </c>
      <c r="L17" s="904">
        <f t="shared" ref="L17" si="1">M17+N17</f>
        <v>232276</v>
      </c>
      <c r="M17" s="906">
        <v>232276</v>
      </c>
      <c r="N17" s="906">
        <v>0</v>
      </c>
      <c r="O17" s="904">
        <f t="shared" ref="O17" si="2">P17+S17+V17</f>
        <v>0</v>
      </c>
      <c r="P17" s="904">
        <f t="shared" ref="P17" si="3">Q17+R17</f>
        <v>0</v>
      </c>
      <c r="Q17" s="906">
        <v>0</v>
      </c>
      <c r="R17" s="906">
        <v>0</v>
      </c>
      <c r="S17" s="904">
        <f t="shared" ref="S17" si="4">T17+U17</f>
        <v>0</v>
      </c>
      <c r="T17" s="906">
        <v>0</v>
      </c>
      <c r="U17" s="906">
        <v>0</v>
      </c>
      <c r="V17" s="904">
        <f t="shared" ref="V17" si="5">W17+X17</f>
        <v>0</v>
      </c>
      <c r="W17" s="906">
        <v>0</v>
      </c>
      <c r="X17" s="906">
        <v>0</v>
      </c>
    </row>
    <row r="18" spans="1:24" s="287" customFormat="1" ht="16.7" hidden="1" customHeight="1">
      <c r="A18" s="914"/>
      <c r="B18" s="910"/>
      <c r="C18" s="912"/>
      <c r="D18" s="940"/>
      <c r="E18" s="914"/>
      <c r="F18" s="914"/>
      <c r="G18" s="910"/>
      <c r="H18" s="286" t="s">
        <v>408</v>
      </c>
      <c r="I18" s="286" t="s">
        <v>408</v>
      </c>
      <c r="J18" s="909"/>
      <c r="K18" s="905"/>
      <c r="L18" s="905"/>
      <c r="M18" s="907"/>
      <c r="N18" s="907"/>
      <c r="O18" s="905"/>
      <c r="P18" s="905"/>
      <c r="Q18" s="907"/>
      <c r="R18" s="907"/>
      <c r="S18" s="905"/>
      <c r="T18" s="907"/>
      <c r="U18" s="907"/>
      <c r="V18" s="905"/>
      <c r="W18" s="907"/>
      <c r="X18" s="907"/>
    </row>
    <row r="19" spans="1:24" s="287" customFormat="1" ht="16.7" hidden="1" customHeight="1">
      <c r="A19" s="914"/>
      <c r="B19" s="910"/>
      <c r="C19" s="912"/>
      <c r="D19" s="940"/>
      <c r="E19" s="914"/>
      <c r="F19" s="914"/>
      <c r="G19" s="910"/>
      <c r="H19" s="286" t="s">
        <v>408</v>
      </c>
      <c r="I19" s="286" t="s">
        <v>408</v>
      </c>
      <c r="J19" s="286" t="s">
        <v>1</v>
      </c>
      <c r="K19" s="288">
        <f t="shared" ref="K19" si="6">L19+O19</f>
        <v>0</v>
      </c>
      <c r="L19" s="288">
        <f t="shared" ref="L19" si="7">M19+N19</f>
        <v>0</v>
      </c>
      <c r="M19" s="289">
        <v>0</v>
      </c>
      <c r="N19" s="289">
        <v>0</v>
      </c>
      <c r="O19" s="288">
        <f t="shared" ref="O19" si="8">P19+S19+V19</f>
        <v>0</v>
      </c>
      <c r="P19" s="288">
        <f t="shared" ref="P19" si="9">Q19+R19</f>
        <v>0</v>
      </c>
      <c r="Q19" s="289">
        <v>0</v>
      </c>
      <c r="R19" s="289">
        <v>0</v>
      </c>
      <c r="S19" s="288">
        <f t="shared" ref="S19" si="10">T19+U19</f>
        <v>0</v>
      </c>
      <c r="T19" s="289">
        <v>0</v>
      </c>
      <c r="U19" s="289">
        <v>0</v>
      </c>
      <c r="V19" s="288">
        <f t="shared" ref="V19" si="11">W19+X19</f>
        <v>0</v>
      </c>
      <c r="W19" s="289">
        <v>0</v>
      </c>
      <c r="X19" s="289">
        <v>0</v>
      </c>
    </row>
    <row r="20" spans="1:24" s="287" customFormat="1" ht="16.7" hidden="1" customHeight="1">
      <c r="A20" s="914"/>
      <c r="B20" s="910"/>
      <c r="C20" s="912"/>
      <c r="D20" s="940"/>
      <c r="E20" s="914"/>
      <c r="F20" s="914"/>
      <c r="G20" s="910"/>
      <c r="H20" s="286" t="s">
        <v>408</v>
      </c>
      <c r="I20" s="286" t="s">
        <v>408</v>
      </c>
      <c r="J20" s="908" t="s">
        <v>2</v>
      </c>
      <c r="K20" s="904">
        <f t="shared" ref="K20:X20" si="12">K17+K19</f>
        <v>232276</v>
      </c>
      <c r="L20" s="904">
        <f t="shared" si="12"/>
        <v>232276</v>
      </c>
      <c r="M20" s="906">
        <f t="shared" si="12"/>
        <v>232276</v>
      </c>
      <c r="N20" s="906">
        <f t="shared" si="12"/>
        <v>0</v>
      </c>
      <c r="O20" s="904">
        <f t="shared" si="12"/>
        <v>0</v>
      </c>
      <c r="P20" s="904">
        <f t="shared" si="12"/>
        <v>0</v>
      </c>
      <c r="Q20" s="906">
        <f t="shared" si="12"/>
        <v>0</v>
      </c>
      <c r="R20" s="906">
        <f t="shared" si="12"/>
        <v>0</v>
      </c>
      <c r="S20" s="904">
        <f t="shared" si="12"/>
        <v>0</v>
      </c>
      <c r="T20" s="906">
        <f t="shared" si="12"/>
        <v>0</v>
      </c>
      <c r="U20" s="906">
        <f t="shared" si="12"/>
        <v>0</v>
      </c>
      <c r="V20" s="904">
        <f t="shared" si="12"/>
        <v>0</v>
      </c>
      <c r="W20" s="906">
        <f t="shared" si="12"/>
        <v>0</v>
      </c>
      <c r="X20" s="906">
        <f t="shared" si="12"/>
        <v>0</v>
      </c>
    </row>
    <row r="21" spans="1:24" s="287" customFormat="1" ht="16.7" hidden="1" customHeight="1">
      <c r="A21" s="914"/>
      <c r="B21" s="910"/>
      <c r="C21" s="912"/>
      <c r="D21" s="940"/>
      <c r="E21" s="914"/>
      <c r="F21" s="914"/>
      <c r="G21" s="910"/>
      <c r="H21" s="286" t="s">
        <v>408</v>
      </c>
      <c r="I21" s="286" t="s">
        <v>408</v>
      </c>
      <c r="J21" s="909"/>
      <c r="K21" s="905"/>
      <c r="L21" s="905"/>
      <c r="M21" s="907"/>
      <c r="N21" s="907"/>
      <c r="O21" s="905"/>
      <c r="P21" s="905"/>
      <c r="Q21" s="907"/>
      <c r="R21" s="907"/>
      <c r="S21" s="905"/>
      <c r="T21" s="907"/>
      <c r="U21" s="907"/>
      <c r="V21" s="905"/>
      <c r="W21" s="907"/>
      <c r="X21" s="907"/>
    </row>
    <row r="22" spans="1:24" s="287" customFormat="1" ht="16.7" hidden="1" customHeight="1">
      <c r="A22" s="914">
        <v>2</v>
      </c>
      <c r="B22" s="910" t="s">
        <v>670</v>
      </c>
      <c r="C22" s="912" t="s">
        <v>671</v>
      </c>
      <c r="D22" s="940" t="s">
        <v>675</v>
      </c>
      <c r="E22" s="914" t="s">
        <v>673</v>
      </c>
      <c r="F22" s="914" t="s">
        <v>674</v>
      </c>
      <c r="G22" s="910">
        <v>2024</v>
      </c>
      <c r="H22" s="286" t="s">
        <v>408</v>
      </c>
      <c r="I22" s="286" t="s">
        <v>408</v>
      </c>
      <c r="J22" s="908" t="s">
        <v>0</v>
      </c>
      <c r="K22" s="904">
        <f t="shared" ref="K22" si="13">L22+O22</f>
        <v>835582</v>
      </c>
      <c r="L22" s="904">
        <f t="shared" ref="L22" si="14">M22+N22</f>
        <v>835582</v>
      </c>
      <c r="M22" s="906">
        <v>835582</v>
      </c>
      <c r="N22" s="906">
        <v>0</v>
      </c>
      <c r="O22" s="904">
        <f t="shared" ref="O22" si="15">P22+S22+V22</f>
        <v>0</v>
      </c>
      <c r="P22" s="904">
        <f t="shared" ref="P22" si="16">Q22+R22</f>
        <v>0</v>
      </c>
      <c r="Q22" s="906">
        <v>0</v>
      </c>
      <c r="R22" s="906">
        <v>0</v>
      </c>
      <c r="S22" s="904">
        <f t="shared" ref="S22" si="17">T22+U22</f>
        <v>0</v>
      </c>
      <c r="T22" s="906">
        <v>0</v>
      </c>
      <c r="U22" s="906">
        <v>0</v>
      </c>
      <c r="V22" s="904">
        <f t="shared" ref="V22" si="18">W22+X22</f>
        <v>0</v>
      </c>
      <c r="W22" s="906">
        <v>0</v>
      </c>
      <c r="X22" s="906">
        <v>0</v>
      </c>
    </row>
    <row r="23" spans="1:24" s="287" customFormat="1" ht="16.7" hidden="1" customHeight="1">
      <c r="A23" s="914"/>
      <c r="B23" s="910"/>
      <c r="C23" s="912"/>
      <c r="D23" s="940"/>
      <c r="E23" s="914"/>
      <c r="F23" s="914"/>
      <c r="G23" s="910"/>
      <c r="H23" s="286" t="s">
        <v>408</v>
      </c>
      <c r="I23" s="286" t="s">
        <v>408</v>
      </c>
      <c r="J23" s="909"/>
      <c r="K23" s="905"/>
      <c r="L23" s="905"/>
      <c r="M23" s="907"/>
      <c r="N23" s="907"/>
      <c r="O23" s="905"/>
      <c r="P23" s="905"/>
      <c r="Q23" s="907"/>
      <c r="R23" s="907"/>
      <c r="S23" s="905"/>
      <c r="T23" s="907"/>
      <c r="U23" s="907"/>
      <c r="V23" s="905"/>
      <c r="W23" s="907"/>
      <c r="X23" s="907"/>
    </row>
    <row r="24" spans="1:24" s="287" customFormat="1" ht="16.7" hidden="1" customHeight="1">
      <c r="A24" s="914"/>
      <c r="B24" s="910"/>
      <c r="C24" s="912"/>
      <c r="D24" s="940"/>
      <c r="E24" s="914"/>
      <c r="F24" s="914"/>
      <c r="G24" s="910"/>
      <c r="H24" s="286" t="s">
        <v>408</v>
      </c>
      <c r="I24" s="286" t="s">
        <v>408</v>
      </c>
      <c r="J24" s="286" t="s">
        <v>1</v>
      </c>
      <c r="K24" s="288">
        <f t="shared" ref="K24" si="19">L24+O24</f>
        <v>0</v>
      </c>
      <c r="L24" s="288">
        <f t="shared" ref="L24" si="20">M24+N24</f>
        <v>0</v>
      </c>
      <c r="M24" s="289">
        <v>0</v>
      </c>
      <c r="N24" s="289">
        <v>0</v>
      </c>
      <c r="O24" s="288">
        <f t="shared" ref="O24" si="21">P24+S24+V24</f>
        <v>0</v>
      </c>
      <c r="P24" s="288">
        <f t="shared" ref="P24" si="22">Q24+R24</f>
        <v>0</v>
      </c>
      <c r="Q24" s="289">
        <v>0</v>
      </c>
      <c r="R24" s="289">
        <v>0</v>
      </c>
      <c r="S24" s="288">
        <f t="shared" ref="S24" si="23">T24+U24</f>
        <v>0</v>
      </c>
      <c r="T24" s="289">
        <v>0</v>
      </c>
      <c r="U24" s="289">
        <v>0</v>
      </c>
      <c r="V24" s="288">
        <f t="shared" ref="V24" si="24">W24+X24</f>
        <v>0</v>
      </c>
      <c r="W24" s="289">
        <v>0</v>
      </c>
      <c r="X24" s="289">
        <v>0</v>
      </c>
    </row>
    <row r="25" spans="1:24" s="287" customFormat="1" ht="16.7" hidden="1" customHeight="1">
      <c r="A25" s="914"/>
      <c r="B25" s="910"/>
      <c r="C25" s="912"/>
      <c r="D25" s="940"/>
      <c r="E25" s="914"/>
      <c r="F25" s="914"/>
      <c r="G25" s="910"/>
      <c r="H25" s="286" t="s">
        <v>408</v>
      </c>
      <c r="I25" s="286" t="s">
        <v>408</v>
      </c>
      <c r="J25" s="908" t="s">
        <v>2</v>
      </c>
      <c r="K25" s="904">
        <f t="shared" ref="K25:X25" si="25">K22+K24</f>
        <v>835582</v>
      </c>
      <c r="L25" s="904">
        <f t="shared" si="25"/>
        <v>835582</v>
      </c>
      <c r="M25" s="906">
        <f t="shared" si="25"/>
        <v>835582</v>
      </c>
      <c r="N25" s="906">
        <f t="shared" si="25"/>
        <v>0</v>
      </c>
      <c r="O25" s="904">
        <f t="shared" si="25"/>
        <v>0</v>
      </c>
      <c r="P25" s="904">
        <f t="shared" si="25"/>
        <v>0</v>
      </c>
      <c r="Q25" s="906">
        <f t="shared" si="25"/>
        <v>0</v>
      </c>
      <c r="R25" s="906">
        <f t="shared" si="25"/>
        <v>0</v>
      </c>
      <c r="S25" s="904">
        <f t="shared" si="25"/>
        <v>0</v>
      </c>
      <c r="T25" s="906">
        <f t="shared" si="25"/>
        <v>0</v>
      </c>
      <c r="U25" s="906">
        <f t="shared" si="25"/>
        <v>0</v>
      </c>
      <c r="V25" s="904">
        <f t="shared" si="25"/>
        <v>0</v>
      </c>
      <c r="W25" s="906">
        <f t="shared" si="25"/>
        <v>0</v>
      </c>
      <c r="X25" s="906">
        <f t="shared" si="25"/>
        <v>0</v>
      </c>
    </row>
    <row r="26" spans="1:24" s="287" customFormat="1" ht="16.7" hidden="1" customHeight="1">
      <c r="A26" s="914"/>
      <c r="B26" s="910"/>
      <c r="C26" s="912"/>
      <c r="D26" s="940"/>
      <c r="E26" s="914"/>
      <c r="F26" s="914"/>
      <c r="G26" s="910"/>
      <c r="H26" s="286" t="s">
        <v>408</v>
      </c>
      <c r="I26" s="286" t="s">
        <v>408</v>
      </c>
      <c r="J26" s="909"/>
      <c r="K26" s="905"/>
      <c r="L26" s="905"/>
      <c r="M26" s="907"/>
      <c r="N26" s="907"/>
      <c r="O26" s="905"/>
      <c r="P26" s="905"/>
      <c r="Q26" s="907"/>
      <c r="R26" s="907"/>
      <c r="S26" s="905"/>
      <c r="T26" s="907"/>
      <c r="U26" s="907"/>
      <c r="V26" s="905"/>
      <c r="W26" s="907"/>
      <c r="X26" s="907"/>
    </row>
    <row r="27" spans="1:24" s="287" customFormat="1" ht="16.7" hidden="1" customHeight="1">
      <c r="A27" s="914">
        <v>2</v>
      </c>
      <c r="B27" s="915" t="s">
        <v>676</v>
      </c>
      <c r="C27" s="931" t="s">
        <v>677</v>
      </c>
      <c r="D27" s="937" t="s">
        <v>678</v>
      </c>
      <c r="E27" s="914" t="s">
        <v>673</v>
      </c>
      <c r="F27" s="927" t="s">
        <v>679</v>
      </c>
      <c r="G27" s="915">
        <v>2024</v>
      </c>
      <c r="H27" s="286" t="s">
        <v>408</v>
      </c>
      <c r="I27" s="286" t="s">
        <v>408</v>
      </c>
      <c r="J27" s="908" t="s">
        <v>0</v>
      </c>
      <c r="K27" s="904">
        <f t="shared" ref="K27" si="26">L27+O27</f>
        <v>3327066</v>
      </c>
      <c r="L27" s="904">
        <f t="shared" ref="L27" si="27">M27+N27</f>
        <v>3327066</v>
      </c>
      <c r="M27" s="906">
        <v>0</v>
      </c>
      <c r="N27" s="906">
        <v>3327066</v>
      </c>
      <c r="O27" s="904">
        <f t="shared" ref="O27" si="28">P27+S27+V27</f>
        <v>0</v>
      </c>
      <c r="P27" s="904">
        <f t="shared" ref="P27" si="29">Q27+R27</f>
        <v>0</v>
      </c>
      <c r="Q27" s="906">
        <v>0</v>
      </c>
      <c r="R27" s="906">
        <v>0</v>
      </c>
      <c r="S27" s="904">
        <f t="shared" ref="S27" si="30">T27+U27</f>
        <v>0</v>
      </c>
      <c r="T27" s="906">
        <v>0</v>
      </c>
      <c r="U27" s="906">
        <v>0</v>
      </c>
      <c r="V27" s="904">
        <f t="shared" ref="V27" si="31">W27+X27</f>
        <v>0</v>
      </c>
      <c r="W27" s="906">
        <v>0</v>
      </c>
      <c r="X27" s="906">
        <v>0</v>
      </c>
    </row>
    <row r="28" spans="1:24" s="287" customFormat="1" ht="16.7" hidden="1" customHeight="1">
      <c r="A28" s="914"/>
      <c r="B28" s="916"/>
      <c r="C28" s="922"/>
      <c r="D28" s="938"/>
      <c r="E28" s="914"/>
      <c r="F28" s="928"/>
      <c r="G28" s="916"/>
      <c r="H28" s="286" t="s">
        <v>408</v>
      </c>
      <c r="I28" s="286" t="s">
        <v>408</v>
      </c>
      <c r="J28" s="909"/>
      <c r="K28" s="905"/>
      <c r="L28" s="905"/>
      <c r="M28" s="907"/>
      <c r="N28" s="907"/>
      <c r="O28" s="905"/>
      <c r="P28" s="905"/>
      <c r="Q28" s="907"/>
      <c r="R28" s="907"/>
      <c r="S28" s="905"/>
      <c r="T28" s="907"/>
      <c r="U28" s="907"/>
      <c r="V28" s="905"/>
      <c r="W28" s="907"/>
      <c r="X28" s="907"/>
    </row>
    <row r="29" spans="1:24" s="287" customFormat="1" ht="16.7" hidden="1" customHeight="1">
      <c r="A29" s="914"/>
      <c r="B29" s="916"/>
      <c r="C29" s="922"/>
      <c r="D29" s="938"/>
      <c r="E29" s="914"/>
      <c r="F29" s="928"/>
      <c r="G29" s="916"/>
      <c r="H29" s="286" t="s">
        <v>408</v>
      </c>
      <c r="I29" s="286" t="s">
        <v>408</v>
      </c>
      <c r="J29" s="286" t="s">
        <v>1</v>
      </c>
      <c r="K29" s="288">
        <f t="shared" ref="K29" si="32">L29+O29</f>
        <v>0</v>
      </c>
      <c r="L29" s="288">
        <f t="shared" ref="L29" si="33">M29+N29</f>
        <v>0</v>
      </c>
      <c r="M29" s="289">
        <v>0</v>
      </c>
      <c r="N29" s="289">
        <v>0</v>
      </c>
      <c r="O29" s="288">
        <f t="shared" ref="O29" si="34">P29+S29+V29</f>
        <v>0</v>
      </c>
      <c r="P29" s="288">
        <f t="shared" ref="P29" si="35">Q29+R29</f>
        <v>0</v>
      </c>
      <c r="Q29" s="289">
        <v>0</v>
      </c>
      <c r="R29" s="289">
        <v>0</v>
      </c>
      <c r="S29" s="288">
        <f t="shared" ref="S29" si="36">T29+U29</f>
        <v>0</v>
      </c>
      <c r="T29" s="289">
        <v>0</v>
      </c>
      <c r="U29" s="289">
        <v>0</v>
      </c>
      <c r="V29" s="288">
        <f t="shared" ref="V29" si="37">W29+X29</f>
        <v>0</v>
      </c>
      <c r="W29" s="289">
        <v>0</v>
      </c>
      <c r="X29" s="289">
        <v>0</v>
      </c>
    </row>
    <row r="30" spans="1:24" s="287" customFormat="1" ht="16.7" hidden="1" customHeight="1">
      <c r="A30" s="914"/>
      <c r="B30" s="916"/>
      <c r="C30" s="922"/>
      <c r="D30" s="938"/>
      <c r="E30" s="914"/>
      <c r="F30" s="928"/>
      <c r="G30" s="916"/>
      <c r="H30" s="286" t="s">
        <v>408</v>
      </c>
      <c r="I30" s="286" t="s">
        <v>408</v>
      </c>
      <c r="J30" s="908" t="s">
        <v>2</v>
      </c>
      <c r="K30" s="904">
        <f t="shared" ref="K30:X30" si="38">K27+K29</f>
        <v>3327066</v>
      </c>
      <c r="L30" s="904">
        <f t="shared" si="38"/>
        <v>3327066</v>
      </c>
      <c r="M30" s="906">
        <f t="shared" si="38"/>
        <v>0</v>
      </c>
      <c r="N30" s="906">
        <f t="shared" si="38"/>
        <v>3327066</v>
      </c>
      <c r="O30" s="904">
        <f t="shared" si="38"/>
        <v>0</v>
      </c>
      <c r="P30" s="904">
        <f t="shared" si="38"/>
        <v>0</v>
      </c>
      <c r="Q30" s="906">
        <f t="shared" si="38"/>
        <v>0</v>
      </c>
      <c r="R30" s="906">
        <f t="shared" si="38"/>
        <v>0</v>
      </c>
      <c r="S30" s="904">
        <f t="shared" si="38"/>
        <v>0</v>
      </c>
      <c r="T30" s="906">
        <f t="shared" si="38"/>
        <v>0</v>
      </c>
      <c r="U30" s="906">
        <f t="shared" si="38"/>
        <v>0</v>
      </c>
      <c r="V30" s="904">
        <f t="shared" si="38"/>
        <v>0</v>
      </c>
      <c r="W30" s="906">
        <f t="shared" si="38"/>
        <v>0</v>
      </c>
      <c r="X30" s="906">
        <f t="shared" si="38"/>
        <v>0</v>
      </c>
    </row>
    <row r="31" spans="1:24" s="287" customFormat="1" ht="16.7" hidden="1" customHeight="1">
      <c r="A31" s="914"/>
      <c r="B31" s="917"/>
      <c r="C31" s="923"/>
      <c r="D31" s="939"/>
      <c r="E31" s="914"/>
      <c r="F31" s="929"/>
      <c r="G31" s="917"/>
      <c r="H31" s="286" t="s">
        <v>408</v>
      </c>
      <c r="I31" s="286" t="s">
        <v>408</v>
      </c>
      <c r="J31" s="909"/>
      <c r="K31" s="905"/>
      <c r="L31" s="905"/>
      <c r="M31" s="907"/>
      <c r="N31" s="907"/>
      <c r="O31" s="905"/>
      <c r="P31" s="905"/>
      <c r="Q31" s="907"/>
      <c r="R31" s="907"/>
      <c r="S31" s="905"/>
      <c r="T31" s="907"/>
      <c r="U31" s="907"/>
      <c r="V31" s="905"/>
      <c r="W31" s="907"/>
      <c r="X31" s="907"/>
    </row>
    <row r="32" spans="1:24" s="287" customFormat="1" ht="16.7" hidden="1" customHeight="1">
      <c r="A32" s="914">
        <v>2</v>
      </c>
      <c r="B32" s="915" t="s">
        <v>676</v>
      </c>
      <c r="C32" s="931" t="s">
        <v>680</v>
      </c>
      <c r="D32" s="937" t="s">
        <v>681</v>
      </c>
      <c r="E32" s="914" t="s">
        <v>673</v>
      </c>
      <c r="F32" s="927" t="s">
        <v>679</v>
      </c>
      <c r="G32" s="915">
        <v>2024</v>
      </c>
      <c r="H32" s="286" t="s">
        <v>408</v>
      </c>
      <c r="I32" s="286" t="s">
        <v>408</v>
      </c>
      <c r="J32" s="908" t="s">
        <v>0</v>
      </c>
      <c r="K32" s="904">
        <f t="shared" ref="K32" si="39">L32+O32</f>
        <v>398684</v>
      </c>
      <c r="L32" s="904">
        <f t="shared" ref="L32" si="40">M32+N32</f>
        <v>398684</v>
      </c>
      <c r="M32" s="906">
        <v>0</v>
      </c>
      <c r="N32" s="906">
        <v>398684</v>
      </c>
      <c r="O32" s="904">
        <f t="shared" ref="O32" si="41">P32+S32+V32</f>
        <v>0</v>
      </c>
      <c r="P32" s="904">
        <f t="shared" ref="P32" si="42">Q32+R32</f>
        <v>0</v>
      </c>
      <c r="Q32" s="906">
        <v>0</v>
      </c>
      <c r="R32" s="906">
        <v>0</v>
      </c>
      <c r="S32" s="904">
        <f t="shared" ref="S32" si="43">T32+U32</f>
        <v>0</v>
      </c>
      <c r="T32" s="906">
        <v>0</v>
      </c>
      <c r="U32" s="906">
        <v>0</v>
      </c>
      <c r="V32" s="904">
        <f t="shared" ref="V32" si="44">W32+X32</f>
        <v>0</v>
      </c>
      <c r="W32" s="906">
        <v>0</v>
      </c>
      <c r="X32" s="906">
        <v>0</v>
      </c>
    </row>
    <row r="33" spans="1:25" s="287" customFormat="1" ht="16.7" hidden="1" customHeight="1">
      <c r="A33" s="914"/>
      <c r="B33" s="916"/>
      <c r="C33" s="922"/>
      <c r="D33" s="938"/>
      <c r="E33" s="914"/>
      <c r="F33" s="928"/>
      <c r="G33" s="916"/>
      <c r="H33" s="286" t="s">
        <v>408</v>
      </c>
      <c r="I33" s="286" t="s">
        <v>408</v>
      </c>
      <c r="J33" s="909"/>
      <c r="K33" s="905"/>
      <c r="L33" s="905"/>
      <c r="M33" s="907"/>
      <c r="N33" s="907"/>
      <c r="O33" s="905"/>
      <c r="P33" s="905"/>
      <c r="Q33" s="907"/>
      <c r="R33" s="907"/>
      <c r="S33" s="905"/>
      <c r="T33" s="907"/>
      <c r="U33" s="907"/>
      <c r="V33" s="905"/>
      <c r="W33" s="907"/>
      <c r="X33" s="907"/>
    </row>
    <row r="34" spans="1:25" s="287" customFormat="1" ht="16.7" hidden="1" customHeight="1">
      <c r="A34" s="914"/>
      <c r="B34" s="916"/>
      <c r="C34" s="922"/>
      <c r="D34" s="938"/>
      <c r="E34" s="914"/>
      <c r="F34" s="928"/>
      <c r="G34" s="916"/>
      <c r="H34" s="286" t="s">
        <v>408</v>
      </c>
      <c r="I34" s="286" t="s">
        <v>408</v>
      </c>
      <c r="J34" s="286" t="s">
        <v>1</v>
      </c>
      <c r="K34" s="288">
        <f t="shared" ref="K34" si="45">L34+O34</f>
        <v>0</v>
      </c>
      <c r="L34" s="288">
        <f t="shared" ref="L34" si="46">M34+N34</f>
        <v>0</v>
      </c>
      <c r="M34" s="289">
        <v>0</v>
      </c>
      <c r="N34" s="289">
        <v>0</v>
      </c>
      <c r="O34" s="288">
        <f t="shared" ref="O34" si="47">P34+S34+V34</f>
        <v>0</v>
      </c>
      <c r="P34" s="288">
        <f t="shared" ref="P34" si="48">Q34+R34</f>
        <v>0</v>
      </c>
      <c r="Q34" s="289">
        <v>0</v>
      </c>
      <c r="R34" s="289">
        <v>0</v>
      </c>
      <c r="S34" s="288">
        <f t="shared" ref="S34" si="49">T34+U34</f>
        <v>0</v>
      </c>
      <c r="T34" s="289">
        <v>0</v>
      </c>
      <c r="U34" s="289">
        <v>0</v>
      </c>
      <c r="V34" s="288">
        <f t="shared" ref="V34" si="50">W34+X34</f>
        <v>0</v>
      </c>
      <c r="W34" s="289">
        <v>0</v>
      </c>
      <c r="X34" s="289">
        <v>0</v>
      </c>
    </row>
    <row r="35" spans="1:25" s="287" customFormat="1" ht="16.7" hidden="1" customHeight="1">
      <c r="A35" s="914"/>
      <c r="B35" s="916"/>
      <c r="C35" s="922"/>
      <c r="D35" s="938"/>
      <c r="E35" s="914"/>
      <c r="F35" s="928"/>
      <c r="G35" s="916"/>
      <c r="H35" s="286" t="s">
        <v>408</v>
      </c>
      <c r="I35" s="286" t="s">
        <v>408</v>
      </c>
      <c r="J35" s="908" t="s">
        <v>2</v>
      </c>
      <c r="K35" s="904">
        <f t="shared" ref="K35:X35" si="51">K32+K34</f>
        <v>398684</v>
      </c>
      <c r="L35" s="904">
        <f t="shared" si="51"/>
        <v>398684</v>
      </c>
      <c r="M35" s="906">
        <f t="shared" si="51"/>
        <v>0</v>
      </c>
      <c r="N35" s="906">
        <f t="shared" si="51"/>
        <v>398684</v>
      </c>
      <c r="O35" s="904">
        <f t="shared" si="51"/>
        <v>0</v>
      </c>
      <c r="P35" s="904">
        <f t="shared" si="51"/>
        <v>0</v>
      </c>
      <c r="Q35" s="906">
        <f t="shared" si="51"/>
        <v>0</v>
      </c>
      <c r="R35" s="906">
        <f t="shared" si="51"/>
        <v>0</v>
      </c>
      <c r="S35" s="904">
        <f t="shared" si="51"/>
        <v>0</v>
      </c>
      <c r="T35" s="906">
        <f t="shared" si="51"/>
        <v>0</v>
      </c>
      <c r="U35" s="906">
        <f t="shared" si="51"/>
        <v>0</v>
      </c>
      <c r="V35" s="904">
        <f t="shared" si="51"/>
        <v>0</v>
      </c>
      <c r="W35" s="906">
        <f t="shared" si="51"/>
        <v>0</v>
      </c>
      <c r="X35" s="906">
        <f t="shared" si="51"/>
        <v>0</v>
      </c>
    </row>
    <row r="36" spans="1:25" s="287" customFormat="1" ht="16.7" hidden="1" customHeight="1">
      <c r="A36" s="914"/>
      <c r="B36" s="917"/>
      <c r="C36" s="923"/>
      <c r="D36" s="939"/>
      <c r="E36" s="914"/>
      <c r="F36" s="929"/>
      <c r="G36" s="917"/>
      <c r="H36" s="286" t="s">
        <v>408</v>
      </c>
      <c r="I36" s="286" t="s">
        <v>408</v>
      </c>
      <c r="J36" s="909"/>
      <c r="K36" s="905"/>
      <c r="L36" s="905"/>
      <c r="M36" s="907"/>
      <c r="N36" s="907"/>
      <c r="O36" s="905"/>
      <c r="P36" s="905"/>
      <c r="Q36" s="907"/>
      <c r="R36" s="907"/>
      <c r="S36" s="905"/>
      <c r="T36" s="907"/>
      <c r="U36" s="907"/>
      <c r="V36" s="905"/>
      <c r="W36" s="907"/>
      <c r="X36" s="907"/>
    </row>
    <row r="37" spans="1:25" s="287" customFormat="1" ht="16.7" hidden="1" customHeight="1">
      <c r="A37" s="914">
        <v>3</v>
      </c>
      <c r="B37" s="915" t="s">
        <v>682</v>
      </c>
      <c r="C37" s="921" t="s">
        <v>683</v>
      </c>
      <c r="D37" s="937" t="s">
        <v>684</v>
      </c>
      <c r="E37" s="914" t="s">
        <v>673</v>
      </c>
      <c r="F37" s="927" t="s">
        <v>679</v>
      </c>
      <c r="G37" s="915">
        <v>2024</v>
      </c>
      <c r="H37" s="286" t="s">
        <v>408</v>
      </c>
      <c r="I37" s="286" t="s">
        <v>408</v>
      </c>
      <c r="J37" s="908" t="s">
        <v>0</v>
      </c>
      <c r="K37" s="904">
        <f t="shared" ref="K37" si="52">L37+O37</f>
        <v>403216</v>
      </c>
      <c r="L37" s="904">
        <f t="shared" ref="L37" si="53">M37+N37</f>
        <v>403216</v>
      </c>
      <c r="M37" s="906">
        <v>0</v>
      </c>
      <c r="N37" s="906">
        <v>403216</v>
      </c>
      <c r="O37" s="904">
        <f t="shared" ref="O37" si="54">P37+S37+V37</f>
        <v>0</v>
      </c>
      <c r="P37" s="904">
        <f t="shared" ref="P37" si="55">Q37+R37</f>
        <v>0</v>
      </c>
      <c r="Q37" s="906">
        <v>0</v>
      </c>
      <c r="R37" s="906">
        <v>0</v>
      </c>
      <c r="S37" s="904">
        <f t="shared" ref="S37" si="56">T37+U37</f>
        <v>0</v>
      </c>
      <c r="T37" s="906">
        <v>0</v>
      </c>
      <c r="U37" s="906">
        <v>0</v>
      </c>
      <c r="V37" s="904">
        <f t="shared" ref="V37" si="57">W37+X37</f>
        <v>0</v>
      </c>
      <c r="W37" s="906">
        <v>0</v>
      </c>
      <c r="X37" s="906">
        <v>0</v>
      </c>
    </row>
    <row r="38" spans="1:25" s="287" customFormat="1" ht="16.7" hidden="1" customHeight="1">
      <c r="A38" s="914"/>
      <c r="B38" s="916"/>
      <c r="C38" s="922"/>
      <c r="D38" s="938"/>
      <c r="E38" s="914"/>
      <c r="F38" s="928"/>
      <c r="G38" s="916"/>
      <c r="H38" s="286" t="s">
        <v>408</v>
      </c>
      <c r="I38" s="286" t="s">
        <v>408</v>
      </c>
      <c r="J38" s="909"/>
      <c r="K38" s="905"/>
      <c r="L38" s="905"/>
      <c r="M38" s="907"/>
      <c r="N38" s="907"/>
      <c r="O38" s="905"/>
      <c r="P38" s="905"/>
      <c r="Q38" s="907"/>
      <c r="R38" s="907"/>
      <c r="S38" s="905"/>
      <c r="T38" s="907"/>
      <c r="U38" s="907"/>
      <c r="V38" s="905"/>
      <c r="W38" s="907"/>
      <c r="X38" s="907"/>
    </row>
    <row r="39" spans="1:25" s="287" customFormat="1" ht="16.7" hidden="1" customHeight="1">
      <c r="A39" s="914"/>
      <c r="B39" s="916"/>
      <c r="C39" s="922"/>
      <c r="D39" s="938"/>
      <c r="E39" s="914"/>
      <c r="F39" s="928"/>
      <c r="G39" s="916"/>
      <c r="H39" s="286" t="s">
        <v>408</v>
      </c>
      <c r="I39" s="286" t="s">
        <v>408</v>
      </c>
      <c r="J39" s="286" t="s">
        <v>1</v>
      </c>
      <c r="K39" s="288">
        <f t="shared" ref="K39" si="58">L39+O39</f>
        <v>0</v>
      </c>
      <c r="L39" s="288">
        <f t="shared" ref="L39" si="59">M39+N39</f>
        <v>0</v>
      </c>
      <c r="M39" s="289">
        <v>0</v>
      </c>
      <c r="N39" s="289">
        <v>0</v>
      </c>
      <c r="O39" s="288">
        <f t="shared" ref="O39" si="60">P39+S39+V39</f>
        <v>0</v>
      </c>
      <c r="P39" s="288">
        <f t="shared" ref="P39" si="61">Q39+R39</f>
        <v>0</v>
      </c>
      <c r="Q39" s="289">
        <v>0</v>
      </c>
      <c r="R39" s="289">
        <v>0</v>
      </c>
      <c r="S39" s="288">
        <f t="shared" ref="S39" si="62">T39+U39</f>
        <v>0</v>
      </c>
      <c r="T39" s="289">
        <v>0</v>
      </c>
      <c r="U39" s="289">
        <v>0</v>
      </c>
      <c r="V39" s="288">
        <f t="shared" ref="V39" si="63">W39+X39</f>
        <v>0</v>
      </c>
      <c r="W39" s="289">
        <v>0</v>
      </c>
      <c r="X39" s="289">
        <v>0</v>
      </c>
    </row>
    <row r="40" spans="1:25" s="287" customFormat="1" ht="16.7" hidden="1" customHeight="1">
      <c r="A40" s="914"/>
      <c r="B40" s="916"/>
      <c r="C40" s="922"/>
      <c r="D40" s="938"/>
      <c r="E40" s="914"/>
      <c r="F40" s="928"/>
      <c r="G40" s="916"/>
      <c r="H40" s="286" t="s">
        <v>408</v>
      </c>
      <c r="I40" s="286" t="s">
        <v>408</v>
      </c>
      <c r="J40" s="908" t="s">
        <v>2</v>
      </c>
      <c r="K40" s="904">
        <f t="shared" ref="K40:X40" si="64">K37+K39</f>
        <v>403216</v>
      </c>
      <c r="L40" s="904">
        <f t="shared" si="64"/>
        <v>403216</v>
      </c>
      <c r="M40" s="906">
        <f t="shared" si="64"/>
        <v>0</v>
      </c>
      <c r="N40" s="906">
        <f t="shared" si="64"/>
        <v>403216</v>
      </c>
      <c r="O40" s="904">
        <f t="shared" si="64"/>
        <v>0</v>
      </c>
      <c r="P40" s="904">
        <f t="shared" si="64"/>
        <v>0</v>
      </c>
      <c r="Q40" s="906">
        <f t="shared" si="64"/>
        <v>0</v>
      </c>
      <c r="R40" s="906">
        <f t="shared" si="64"/>
        <v>0</v>
      </c>
      <c r="S40" s="904">
        <f t="shared" si="64"/>
        <v>0</v>
      </c>
      <c r="T40" s="906">
        <f t="shared" si="64"/>
        <v>0</v>
      </c>
      <c r="U40" s="906">
        <f t="shared" si="64"/>
        <v>0</v>
      </c>
      <c r="V40" s="904">
        <f t="shared" si="64"/>
        <v>0</v>
      </c>
      <c r="W40" s="906">
        <f t="shared" si="64"/>
        <v>0</v>
      </c>
      <c r="X40" s="906">
        <f t="shared" si="64"/>
        <v>0</v>
      </c>
    </row>
    <row r="41" spans="1:25" s="287" customFormat="1" ht="16.7" hidden="1" customHeight="1">
      <c r="A41" s="914"/>
      <c r="B41" s="917"/>
      <c r="C41" s="923"/>
      <c r="D41" s="939"/>
      <c r="E41" s="914"/>
      <c r="F41" s="929"/>
      <c r="G41" s="917"/>
      <c r="H41" s="286" t="s">
        <v>408</v>
      </c>
      <c r="I41" s="286" t="s">
        <v>408</v>
      </c>
      <c r="J41" s="909"/>
      <c r="K41" s="905"/>
      <c r="L41" s="905"/>
      <c r="M41" s="907"/>
      <c r="N41" s="907"/>
      <c r="O41" s="905"/>
      <c r="P41" s="905"/>
      <c r="Q41" s="907"/>
      <c r="R41" s="907"/>
      <c r="S41" s="905"/>
      <c r="T41" s="907"/>
      <c r="U41" s="907"/>
      <c r="V41" s="905"/>
      <c r="W41" s="907"/>
      <c r="X41" s="907"/>
    </row>
    <row r="42" spans="1:25" s="291" customFormat="1" ht="15.75" hidden="1" customHeight="1">
      <c r="A42" s="903" t="s">
        <v>685</v>
      </c>
      <c r="B42" s="903"/>
      <c r="C42" s="903"/>
      <c r="D42" s="903"/>
      <c r="E42" s="903"/>
      <c r="F42" s="903"/>
      <c r="G42" s="903"/>
      <c r="H42" s="290" t="s">
        <v>408</v>
      </c>
      <c r="I42" s="290" t="s">
        <v>408</v>
      </c>
      <c r="J42" s="898" t="s">
        <v>0</v>
      </c>
      <c r="K42" s="900">
        <f>K22+K32+K17+K27+K37</f>
        <v>5196824</v>
      </c>
      <c r="L42" s="900">
        <f t="shared" ref="L42:X42" si="65">L22+L32+L17+L27+L37</f>
        <v>5196824</v>
      </c>
      <c r="M42" s="900">
        <f t="shared" si="65"/>
        <v>1067858</v>
      </c>
      <c r="N42" s="900">
        <f t="shared" si="65"/>
        <v>4128966</v>
      </c>
      <c r="O42" s="900">
        <f t="shared" si="65"/>
        <v>0</v>
      </c>
      <c r="P42" s="900">
        <f t="shared" si="65"/>
        <v>0</v>
      </c>
      <c r="Q42" s="900">
        <f t="shared" si="65"/>
        <v>0</v>
      </c>
      <c r="R42" s="900">
        <f t="shared" si="65"/>
        <v>0</v>
      </c>
      <c r="S42" s="900">
        <f t="shared" si="65"/>
        <v>0</v>
      </c>
      <c r="T42" s="900">
        <f t="shared" si="65"/>
        <v>0</v>
      </c>
      <c r="U42" s="900">
        <f t="shared" si="65"/>
        <v>0</v>
      </c>
      <c r="V42" s="900">
        <f t="shared" si="65"/>
        <v>0</v>
      </c>
      <c r="W42" s="900">
        <f t="shared" si="65"/>
        <v>0</v>
      </c>
      <c r="X42" s="900">
        <f t="shared" si="65"/>
        <v>0</v>
      </c>
    </row>
    <row r="43" spans="1:25" s="291" customFormat="1" ht="15.75" hidden="1" customHeight="1">
      <c r="A43" s="903"/>
      <c r="B43" s="903"/>
      <c r="C43" s="903"/>
      <c r="D43" s="903"/>
      <c r="E43" s="903"/>
      <c r="F43" s="903"/>
      <c r="G43" s="903"/>
      <c r="H43" s="290" t="s">
        <v>408</v>
      </c>
      <c r="I43" s="290" t="s">
        <v>408</v>
      </c>
      <c r="J43" s="899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</row>
    <row r="44" spans="1:25" s="291" customFormat="1" ht="15.75" hidden="1" customHeight="1">
      <c r="A44" s="903"/>
      <c r="B44" s="903"/>
      <c r="C44" s="903"/>
      <c r="D44" s="903"/>
      <c r="E44" s="903"/>
      <c r="F44" s="903"/>
      <c r="G44" s="903"/>
      <c r="H44" s="290" t="s">
        <v>408</v>
      </c>
      <c r="I44" s="290" t="s">
        <v>408</v>
      </c>
      <c r="J44" s="292" t="s">
        <v>1</v>
      </c>
      <c r="K44" s="293">
        <f>K24+K34+K19+K29+K39</f>
        <v>0</v>
      </c>
      <c r="L44" s="293">
        <f t="shared" ref="L44:X44" si="66">L24+L34+L19+L29+L39</f>
        <v>0</v>
      </c>
      <c r="M44" s="293">
        <f t="shared" si="66"/>
        <v>0</v>
      </c>
      <c r="N44" s="293">
        <f t="shared" si="66"/>
        <v>0</v>
      </c>
      <c r="O44" s="293">
        <f t="shared" si="66"/>
        <v>0</v>
      </c>
      <c r="P44" s="293">
        <f t="shared" si="66"/>
        <v>0</v>
      </c>
      <c r="Q44" s="293">
        <f t="shared" si="66"/>
        <v>0</v>
      </c>
      <c r="R44" s="293">
        <f t="shared" si="66"/>
        <v>0</v>
      </c>
      <c r="S44" s="293">
        <f t="shared" si="66"/>
        <v>0</v>
      </c>
      <c r="T44" s="293">
        <f t="shared" si="66"/>
        <v>0</v>
      </c>
      <c r="U44" s="293">
        <f t="shared" si="66"/>
        <v>0</v>
      </c>
      <c r="V44" s="293">
        <f t="shared" si="66"/>
        <v>0</v>
      </c>
      <c r="W44" s="293">
        <f t="shared" si="66"/>
        <v>0</v>
      </c>
      <c r="X44" s="293">
        <f t="shared" si="66"/>
        <v>0</v>
      </c>
    </row>
    <row r="45" spans="1:25" s="291" customFormat="1" ht="15.75" hidden="1" customHeight="1">
      <c r="A45" s="903"/>
      <c r="B45" s="903"/>
      <c r="C45" s="903"/>
      <c r="D45" s="903"/>
      <c r="E45" s="903"/>
      <c r="F45" s="903"/>
      <c r="G45" s="903"/>
      <c r="H45" s="290" t="s">
        <v>408</v>
      </c>
      <c r="I45" s="290" t="s">
        <v>408</v>
      </c>
      <c r="J45" s="898" t="s">
        <v>2</v>
      </c>
      <c r="K45" s="900">
        <f t="shared" ref="K45:X45" si="67">K42+K44</f>
        <v>5196824</v>
      </c>
      <c r="L45" s="900">
        <f t="shared" si="67"/>
        <v>5196824</v>
      </c>
      <c r="M45" s="900">
        <f t="shared" si="67"/>
        <v>1067858</v>
      </c>
      <c r="N45" s="900">
        <f t="shared" si="67"/>
        <v>4128966</v>
      </c>
      <c r="O45" s="900">
        <f t="shared" si="67"/>
        <v>0</v>
      </c>
      <c r="P45" s="900">
        <f t="shared" si="67"/>
        <v>0</v>
      </c>
      <c r="Q45" s="900">
        <f t="shared" si="67"/>
        <v>0</v>
      </c>
      <c r="R45" s="900">
        <f t="shared" si="67"/>
        <v>0</v>
      </c>
      <c r="S45" s="900">
        <f t="shared" si="67"/>
        <v>0</v>
      </c>
      <c r="T45" s="900">
        <f t="shared" si="67"/>
        <v>0</v>
      </c>
      <c r="U45" s="900">
        <f t="shared" si="67"/>
        <v>0</v>
      </c>
      <c r="V45" s="900">
        <f t="shared" si="67"/>
        <v>0</v>
      </c>
      <c r="W45" s="900">
        <f t="shared" si="67"/>
        <v>0</v>
      </c>
      <c r="X45" s="900">
        <f t="shared" si="67"/>
        <v>0</v>
      </c>
    </row>
    <row r="46" spans="1:25" s="291" customFormat="1" ht="15.75" hidden="1" customHeight="1">
      <c r="A46" s="903"/>
      <c r="B46" s="903"/>
      <c r="C46" s="903"/>
      <c r="D46" s="903"/>
      <c r="E46" s="903"/>
      <c r="F46" s="903"/>
      <c r="G46" s="903"/>
      <c r="H46" s="290" t="s">
        <v>408</v>
      </c>
      <c r="I46" s="290" t="s">
        <v>408</v>
      </c>
      <c r="J46" s="899"/>
      <c r="K46" s="901"/>
      <c r="L46" s="901"/>
      <c r="M46" s="901"/>
      <c r="N46" s="901"/>
      <c r="O46" s="901"/>
      <c r="P46" s="901"/>
      <c r="Q46" s="901"/>
      <c r="R46" s="901"/>
      <c r="S46" s="901"/>
      <c r="T46" s="901"/>
      <c r="U46" s="901"/>
      <c r="V46" s="901"/>
      <c r="W46" s="901"/>
      <c r="X46" s="901"/>
    </row>
    <row r="47" spans="1:25" s="277" customFormat="1" ht="8.25" hidden="1" customHeight="1">
      <c r="A47" s="910"/>
      <c r="B47" s="910"/>
      <c r="C47" s="910"/>
      <c r="D47" s="910"/>
      <c r="E47" s="910"/>
      <c r="F47" s="910"/>
      <c r="G47" s="910"/>
      <c r="H47" s="910"/>
      <c r="I47" s="910"/>
      <c r="J47" s="910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910"/>
      <c r="V47" s="910"/>
      <c r="W47" s="910"/>
      <c r="X47" s="910"/>
    </row>
    <row r="48" spans="1:25" s="283" customFormat="1" ht="22.5" customHeight="1">
      <c r="A48" s="934" t="s">
        <v>686</v>
      </c>
      <c r="B48" s="935"/>
      <c r="C48" s="935"/>
      <c r="D48" s="935"/>
      <c r="E48" s="935"/>
      <c r="F48" s="935"/>
      <c r="G48" s="935"/>
      <c r="H48" s="935"/>
      <c r="I48" s="935"/>
      <c r="J48" s="935"/>
      <c r="K48" s="935"/>
      <c r="L48" s="935"/>
      <c r="M48" s="935"/>
      <c r="N48" s="935"/>
      <c r="O48" s="935"/>
      <c r="P48" s="935"/>
      <c r="Q48" s="935"/>
      <c r="R48" s="935"/>
      <c r="S48" s="935"/>
      <c r="T48" s="935"/>
      <c r="U48" s="935"/>
      <c r="V48" s="935"/>
      <c r="W48" s="935"/>
      <c r="X48" s="936"/>
      <c r="Y48" s="284"/>
    </row>
    <row r="49" spans="1:24" s="277" customFormat="1" ht="5.0999999999999996" customHeight="1">
      <c r="A49" s="910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0"/>
      <c r="P49" s="910"/>
      <c r="Q49" s="910"/>
      <c r="R49" s="910"/>
      <c r="S49" s="910"/>
      <c r="T49" s="910"/>
      <c r="U49" s="910"/>
      <c r="V49" s="910"/>
      <c r="W49" s="910"/>
      <c r="X49" s="910"/>
    </row>
    <row r="50" spans="1:24" ht="15.6" hidden="1" customHeight="1">
      <c r="A50" s="910">
        <v>1</v>
      </c>
      <c r="B50" s="930" t="s">
        <v>687</v>
      </c>
      <c r="C50" s="931" t="s">
        <v>688</v>
      </c>
      <c r="D50" s="913" t="s">
        <v>689</v>
      </c>
      <c r="E50" s="914" t="s">
        <v>673</v>
      </c>
      <c r="F50" s="914" t="s">
        <v>690</v>
      </c>
      <c r="G50" s="914" t="s">
        <v>691</v>
      </c>
      <c r="H50" s="286" t="s">
        <v>408</v>
      </c>
      <c r="I50" s="286" t="s">
        <v>408</v>
      </c>
      <c r="J50" s="908" t="s">
        <v>0</v>
      </c>
      <c r="K50" s="904">
        <f t="shared" ref="K50" si="68">L50+O50</f>
        <v>20579</v>
      </c>
      <c r="L50" s="904">
        <f t="shared" ref="L50" si="69">M50+N50</f>
        <v>0</v>
      </c>
      <c r="M50" s="906">
        <v>0</v>
      </c>
      <c r="N50" s="906">
        <v>0</v>
      </c>
      <c r="O50" s="904">
        <f t="shared" ref="O50" si="70">P50+S50+V50</f>
        <v>20579</v>
      </c>
      <c r="P50" s="904">
        <f t="shared" ref="P50" si="71">Q50+R50</f>
        <v>20579</v>
      </c>
      <c r="Q50" s="906">
        <v>2000</v>
      </c>
      <c r="R50" s="906">
        <v>18579</v>
      </c>
      <c r="S50" s="904">
        <f t="shared" ref="S50" si="72">T50+U50</f>
        <v>0</v>
      </c>
      <c r="T50" s="906">
        <v>0</v>
      </c>
      <c r="U50" s="906">
        <v>0</v>
      </c>
      <c r="V50" s="904">
        <f t="shared" ref="V50" si="73">W50+X50</f>
        <v>0</v>
      </c>
      <c r="W50" s="906">
        <v>0</v>
      </c>
      <c r="X50" s="906">
        <v>0</v>
      </c>
    </row>
    <row r="51" spans="1:24" ht="15.6" hidden="1" customHeight="1">
      <c r="A51" s="910"/>
      <c r="B51" s="930"/>
      <c r="C51" s="932"/>
      <c r="D51" s="913"/>
      <c r="E51" s="914"/>
      <c r="F51" s="914"/>
      <c r="G51" s="914"/>
      <c r="H51" s="286" t="s">
        <v>408</v>
      </c>
      <c r="I51" s="286" t="s">
        <v>408</v>
      </c>
      <c r="J51" s="909"/>
      <c r="K51" s="905"/>
      <c r="L51" s="905"/>
      <c r="M51" s="907"/>
      <c r="N51" s="907"/>
      <c r="O51" s="905"/>
      <c r="P51" s="905"/>
      <c r="Q51" s="907"/>
      <c r="R51" s="907"/>
      <c r="S51" s="905"/>
      <c r="T51" s="907"/>
      <c r="U51" s="907"/>
      <c r="V51" s="905"/>
      <c r="W51" s="907"/>
      <c r="X51" s="907"/>
    </row>
    <row r="52" spans="1:24" ht="15.6" hidden="1" customHeight="1">
      <c r="A52" s="910"/>
      <c r="B52" s="930"/>
      <c r="C52" s="932"/>
      <c r="D52" s="913"/>
      <c r="E52" s="914"/>
      <c r="F52" s="914"/>
      <c r="G52" s="914"/>
      <c r="H52" s="286" t="s">
        <v>408</v>
      </c>
      <c r="I52" s="286" t="s">
        <v>408</v>
      </c>
      <c r="J52" s="286" t="s">
        <v>1</v>
      </c>
      <c r="K52" s="288">
        <f t="shared" ref="K52" si="74">L52+O52</f>
        <v>0</v>
      </c>
      <c r="L52" s="288">
        <f t="shared" ref="L52" si="75">M52+N52</f>
        <v>0</v>
      </c>
      <c r="M52" s="289">
        <v>0</v>
      </c>
      <c r="N52" s="289">
        <v>0</v>
      </c>
      <c r="O52" s="288">
        <f t="shared" ref="O52" si="76">P52+S52+V52</f>
        <v>0</v>
      </c>
      <c r="P52" s="288">
        <f t="shared" ref="P52" si="77">Q52+R52</f>
        <v>0</v>
      </c>
      <c r="Q52" s="289">
        <v>0</v>
      </c>
      <c r="R52" s="289">
        <v>0</v>
      </c>
      <c r="S52" s="288">
        <f t="shared" ref="S52" si="78">T52+U52</f>
        <v>0</v>
      </c>
      <c r="T52" s="289">
        <v>0</v>
      </c>
      <c r="U52" s="289">
        <v>0</v>
      </c>
      <c r="V52" s="288">
        <f t="shared" ref="V52" si="79">W52+X52</f>
        <v>0</v>
      </c>
      <c r="W52" s="289">
        <v>0</v>
      </c>
      <c r="X52" s="289">
        <v>0</v>
      </c>
    </row>
    <row r="53" spans="1:24" ht="15.6" hidden="1" customHeight="1">
      <c r="A53" s="910"/>
      <c r="B53" s="930"/>
      <c r="C53" s="932"/>
      <c r="D53" s="913"/>
      <c r="E53" s="914"/>
      <c r="F53" s="914"/>
      <c r="G53" s="914"/>
      <c r="H53" s="286" t="s">
        <v>408</v>
      </c>
      <c r="I53" s="286" t="s">
        <v>408</v>
      </c>
      <c r="J53" s="908" t="s">
        <v>2</v>
      </c>
      <c r="K53" s="904">
        <f t="shared" ref="K53:X53" si="80">K50+K52</f>
        <v>20579</v>
      </c>
      <c r="L53" s="904">
        <f t="shared" si="80"/>
        <v>0</v>
      </c>
      <c r="M53" s="906">
        <f t="shared" si="80"/>
        <v>0</v>
      </c>
      <c r="N53" s="906">
        <f t="shared" si="80"/>
        <v>0</v>
      </c>
      <c r="O53" s="904">
        <f t="shared" si="80"/>
        <v>20579</v>
      </c>
      <c r="P53" s="904">
        <f t="shared" si="80"/>
        <v>20579</v>
      </c>
      <c r="Q53" s="906">
        <f t="shared" si="80"/>
        <v>2000</v>
      </c>
      <c r="R53" s="906">
        <f t="shared" si="80"/>
        <v>18579</v>
      </c>
      <c r="S53" s="904">
        <f t="shared" si="80"/>
        <v>0</v>
      </c>
      <c r="T53" s="906">
        <f t="shared" si="80"/>
        <v>0</v>
      </c>
      <c r="U53" s="906">
        <f t="shared" si="80"/>
        <v>0</v>
      </c>
      <c r="V53" s="904">
        <f t="shared" si="80"/>
        <v>0</v>
      </c>
      <c r="W53" s="906">
        <f t="shared" si="80"/>
        <v>0</v>
      </c>
      <c r="X53" s="906">
        <f t="shared" si="80"/>
        <v>0</v>
      </c>
    </row>
    <row r="54" spans="1:24" ht="15.6" hidden="1" customHeight="1">
      <c r="A54" s="910"/>
      <c r="B54" s="930"/>
      <c r="C54" s="933"/>
      <c r="D54" s="913"/>
      <c r="E54" s="914"/>
      <c r="F54" s="914"/>
      <c r="G54" s="914"/>
      <c r="H54" s="286" t="s">
        <v>408</v>
      </c>
      <c r="I54" s="286" t="s">
        <v>408</v>
      </c>
      <c r="J54" s="909"/>
      <c r="K54" s="905"/>
      <c r="L54" s="905"/>
      <c r="M54" s="907"/>
      <c r="N54" s="907"/>
      <c r="O54" s="905"/>
      <c r="P54" s="905"/>
      <c r="Q54" s="907"/>
      <c r="R54" s="907"/>
      <c r="S54" s="905"/>
      <c r="T54" s="907"/>
      <c r="U54" s="907"/>
      <c r="V54" s="905"/>
      <c r="W54" s="907"/>
      <c r="X54" s="907"/>
    </row>
    <row r="55" spans="1:24" hidden="1">
      <c r="A55" s="910">
        <v>2</v>
      </c>
      <c r="B55" s="930" t="s">
        <v>692</v>
      </c>
      <c r="C55" s="931" t="s">
        <v>693</v>
      </c>
      <c r="D55" s="913" t="s">
        <v>694</v>
      </c>
      <c r="E55" s="914" t="s">
        <v>673</v>
      </c>
      <c r="F55" s="914" t="s">
        <v>695</v>
      </c>
      <c r="G55" s="914" t="s">
        <v>691</v>
      </c>
      <c r="H55" s="286" t="s">
        <v>408</v>
      </c>
      <c r="I55" s="286" t="s">
        <v>408</v>
      </c>
      <c r="J55" s="908" t="s">
        <v>0</v>
      </c>
      <c r="K55" s="904">
        <f t="shared" ref="K55" si="81">L55+O55</f>
        <v>37802</v>
      </c>
      <c r="L55" s="904">
        <f t="shared" ref="L55" si="82">M55+N55</f>
        <v>0</v>
      </c>
      <c r="M55" s="906">
        <v>0</v>
      </c>
      <c r="N55" s="906">
        <v>0</v>
      </c>
      <c r="O55" s="904">
        <f t="shared" ref="O55" si="83">P55+S55+V55</f>
        <v>37802</v>
      </c>
      <c r="P55" s="904">
        <f t="shared" ref="P55" si="84">Q55+R55</f>
        <v>37802</v>
      </c>
      <c r="Q55" s="906">
        <v>3186</v>
      </c>
      <c r="R55" s="906">
        <v>34616</v>
      </c>
      <c r="S55" s="904">
        <f t="shared" ref="S55" si="85">T55+U55</f>
        <v>0</v>
      </c>
      <c r="T55" s="906">
        <v>0</v>
      </c>
      <c r="U55" s="906">
        <v>0</v>
      </c>
      <c r="V55" s="904">
        <f t="shared" ref="V55" si="86">W55+X55</f>
        <v>0</v>
      </c>
      <c r="W55" s="906">
        <v>0</v>
      </c>
      <c r="X55" s="906">
        <v>0</v>
      </c>
    </row>
    <row r="56" spans="1:24" hidden="1">
      <c r="A56" s="910"/>
      <c r="B56" s="930"/>
      <c r="C56" s="932"/>
      <c r="D56" s="913"/>
      <c r="E56" s="914"/>
      <c r="F56" s="914"/>
      <c r="G56" s="914"/>
      <c r="H56" s="286" t="s">
        <v>408</v>
      </c>
      <c r="I56" s="286" t="s">
        <v>408</v>
      </c>
      <c r="J56" s="909"/>
      <c r="K56" s="905"/>
      <c r="L56" s="905"/>
      <c r="M56" s="907"/>
      <c r="N56" s="907"/>
      <c r="O56" s="905"/>
      <c r="P56" s="905"/>
      <c r="Q56" s="907"/>
      <c r="R56" s="907"/>
      <c r="S56" s="905"/>
      <c r="T56" s="907"/>
      <c r="U56" s="907"/>
      <c r="V56" s="905"/>
      <c r="W56" s="907"/>
      <c r="X56" s="907"/>
    </row>
    <row r="57" spans="1:24" hidden="1">
      <c r="A57" s="910"/>
      <c r="B57" s="930"/>
      <c r="C57" s="932"/>
      <c r="D57" s="913"/>
      <c r="E57" s="914"/>
      <c r="F57" s="914"/>
      <c r="G57" s="914"/>
      <c r="H57" s="286" t="s">
        <v>408</v>
      </c>
      <c r="I57" s="286" t="s">
        <v>408</v>
      </c>
      <c r="J57" s="286" t="s">
        <v>1</v>
      </c>
      <c r="K57" s="288">
        <f t="shared" ref="K57" si="87">L57+O57</f>
        <v>0</v>
      </c>
      <c r="L57" s="288">
        <f t="shared" ref="L57" si="88">M57+N57</f>
        <v>0</v>
      </c>
      <c r="M57" s="289">
        <v>0</v>
      </c>
      <c r="N57" s="289">
        <v>0</v>
      </c>
      <c r="O57" s="288">
        <f t="shared" ref="O57" si="89">P57+S57+V57</f>
        <v>0</v>
      </c>
      <c r="P57" s="288">
        <f t="shared" ref="P57" si="90">Q57+R57</f>
        <v>0</v>
      </c>
      <c r="Q57" s="289">
        <v>0</v>
      </c>
      <c r="R57" s="289">
        <v>0</v>
      </c>
      <c r="S57" s="288">
        <f t="shared" ref="S57" si="91">T57+U57</f>
        <v>0</v>
      </c>
      <c r="T57" s="289">
        <v>0</v>
      </c>
      <c r="U57" s="289">
        <v>0</v>
      </c>
      <c r="V57" s="288">
        <f t="shared" ref="V57" si="92">W57+X57</f>
        <v>0</v>
      </c>
      <c r="W57" s="289">
        <v>0</v>
      </c>
      <c r="X57" s="289">
        <v>0</v>
      </c>
    </row>
    <row r="58" spans="1:24" hidden="1">
      <c r="A58" s="910"/>
      <c r="B58" s="930"/>
      <c r="C58" s="932"/>
      <c r="D58" s="913"/>
      <c r="E58" s="914"/>
      <c r="F58" s="914"/>
      <c r="G58" s="914"/>
      <c r="H58" s="286" t="s">
        <v>408</v>
      </c>
      <c r="I58" s="286" t="s">
        <v>408</v>
      </c>
      <c r="J58" s="908" t="s">
        <v>2</v>
      </c>
      <c r="K58" s="904">
        <f t="shared" ref="K58:X58" si="93">K55+K57</f>
        <v>37802</v>
      </c>
      <c r="L58" s="904">
        <f>L55+L57</f>
        <v>0</v>
      </c>
      <c r="M58" s="906">
        <f t="shared" si="93"/>
        <v>0</v>
      </c>
      <c r="N58" s="906">
        <f t="shared" si="93"/>
        <v>0</v>
      </c>
      <c r="O58" s="904">
        <f t="shared" si="93"/>
        <v>37802</v>
      </c>
      <c r="P58" s="904">
        <f t="shared" si="93"/>
        <v>37802</v>
      </c>
      <c r="Q58" s="906">
        <f t="shared" si="93"/>
        <v>3186</v>
      </c>
      <c r="R58" s="906">
        <f t="shared" si="93"/>
        <v>34616</v>
      </c>
      <c r="S58" s="904">
        <f t="shared" si="93"/>
        <v>0</v>
      </c>
      <c r="T58" s="906">
        <f t="shared" si="93"/>
        <v>0</v>
      </c>
      <c r="U58" s="906">
        <f t="shared" si="93"/>
        <v>0</v>
      </c>
      <c r="V58" s="904">
        <f t="shared" si="93"/>
        <v>0</v>
      </c>
      <c r="W58" s="906">
        <f t="shared" si="93"/>
        <v>0</v>
      </c>
      <c r="X58" s="906">
        <f t="shared" si="93"/>
        <v>0</v>
      </c>
    </row>
    <row r="59" spans="1:24" hidden="1">
      <c r="A59" s="910"/>
      <c r="B59" s="930"/>
      <c r="C59" s="933"/>
      <c r="D59" s="913"/>
      <c r="E59" s="914"/>
      <c r="F59" s="914"/>
      <c r="G59" s="914"/>
      <c r="H59" s="286" t="s">
        <v>408</v>
      </c>
      <c r="I59" s="286" t="s">
        <v>408</v>
      </c>
      <c r="J59" s="909"/>
      <c r="K59" s="905"/>
      <c r="L59" s="905"/>
      <c r="M59" s="907"/>
      <c r="N59" s="907"/>
      <c r="O59" s="905"/>
      <c r="P59" s="905"/>
      <c r="Q59" s="907"/>
      <c r="R59" s="907"/>
      <c r="S59" s="905"/>
      <c r="T59" s="907"/>
      <c r="U59" s="907"/>
      <c r="V59" s="905"/>
      <c r="W59" s="907"/>
      <c r="X59" s="907"/>
    </row>
    <row r="60" spans="1:24" ht="14.85" hidden="1" customHeight="1">
      <c r="A60" s="910">
        <v>2</v>
      </c>
      <c r="B60" s="911" t="s">
        <v>696</v>
      </c>
      <c r="C60" s="931" t="s">
        <v>688</v>
      </c>
      <c r="D60" s="913" t="s">
        <v>697</v>
      </c>
      <c r="E60" s="914" t="s">
        <v>673</v>
      </c>
      <c r="F60" s="914" t="s">
        <v>698</v>
      </c>
      <c r="G60" s="914" t="s">
        <v>691</v>
      </c>
      <c r="H60" s="286" t="s">
        <v>408</v>
      </c>
      <c r="I60" s="286" t="s">
        <v>408</v>
      </c>
      <c r="J60" s="908" t="s">
        <v>0</v>
      </c>
      <c r="K60" s="904">
        <f t="shared" ref="K60" si="94">L60+O60</f>
        <v>58071</v>
      </c>
      <c r="L60" s="904">
        <f t="shared" ref="L60" si="95">M60+N60</f>
        <v>0</v>
      </c>
      <c r="M60" s="906">
        <v>0</v>
      </c>
      <c r="N60" s="906">
        <v>0</v>
      </c>
      <c r="O60" s="904">
        <f t="shared" ref="O60" si="96">P60+S60+V60</f>
        <v>58071</v>
      </c>
      <c r="P60" s="904">
        <f t="shared" ref="P60" si="97">Q60+R60</f>
        <v>58071</v>
      </c>
      <c r="Q60" s="906">
        <v>746</v>
      </c>
      <c r="R60" s="906">
        <v>57325</v>
      </c>
      <c r="S60" s="904">
        <f t="shared" ref="S60" si="98">T60+U60</f>
        <v>0</v>
      </c>
      <c r="T60" s="906">
        <v>0</v>
      </c>
      <c r="U60" s="906">
        <v>0</v>
      </c>
      <c r="V60" s="904">
        <f t="shared" ref="V60" si="99">W60+X60</f>
        <v>0</v>
      </c>
      <c r="W60" s="906">
        <v>0</v>
      </c>
      <c r="X60" s="906">
        <v>0</v>
      </c>
    </row>
    <row r="61" spans="1:24" ht="14.85" hidden="1" customHeight="1">
      <c r="A61" s="910"/>
      <c r="B61" s="911"/>
      <c r="C61" s="932"/>
      <c r="D61" s="913"/>
      <c r="E61" s="914"/>
      <c r="F61" s="914"/>
      <c r="G61" s="914"/>
      <c r="H61" s="286" t="s">
        <v>408</v>
      </c>
      <c r="I61" s="286" t="s">
        <v>408</v>
      </c>
      <c r="J61" s="909"/>
      <c r="K61" s="905"/>
      <c r="L61" s="905"/>
      <c r="M61" s="907"/>
      <c r="N61" s="907"/>
      <c r="O61" s="905"/>
      <c r="P61" s="905"/>
      <c r="Q61" s="907"/>
      <c r="R61" s="907"/>
      <c r="S61" s="905"/>
      <c r="T61" s="907"/>
      <c r="U61" s="907"/>
      <c r="V61" s="905"/>
      <c r="W61" s="907"/>
      <c r="X61" s="907"/>
    </row>
    <row r="62" spans="1:24" ht="14.85" hidden="1" customHeight="1">
      <c r="A62" s="910"/>
      <c r="B62" s="911"/>
      <c r="C62" s="932"/>
      <c r="D62" s="913"/>
      <c r="E62" s="914"/>
      <c r="F62" s="914"/>
      <c r="G62" s="914"/>
      <c r="H62" s="286" t="s">
        <v>408</v>
      </c>
      <c r="I62" s="286" t="s">
        <v>408</v>
      </c>
      <c r="J62" s="286" t="s">
        <v>1</v>
      </c>
      <c r="K62" s="288">
        <f t="shared" ref="K62" si="100">L62+O62</f>
        <v>0</v>
      </c>
      <c r="L62" s="288">
        <f t="shared" ref="L62" si="101">M62+N62</f>
        <v>0</v>
      </c>
      <c r="M62" s="289">
        <v>0</v>
      </c>
      <c r="N62" s="289">
        <v>0</v>
      </c>
      <c r="O62" s="288">
        <f t="shared" ref="O62" si="102">P62+S62+V62</f>
        <v>0</v>
      </c>
      <c r="P62" s="288">
        <f t="shared" ref="P62" si="103">Q62+R62</f>
        <v>0</v>
      </c>
      <c r="Q62" s="289">
        <v>0</v>
      </c>
      <c r="R62" s="289">
        <v>0</v>
      </c>
      <c r="S62" s="288">
        <f t="shared" ref="S62" si="104">T62+U62</f>
        <v>0</v>
      </c>
      <c r="T62" s="289">
        <v>0</v>
      </c>
      <c r="U62" s="289">
        <v>0</v>
      </c>
      <c r="V62" s="288">
        <f t="shared" ref="V62" si="105">W62+X62</f>
        <v>0</v>
      </c>
      <c r="W62" s="289">
        <v>0</v>
      </c>
      <c r="X62" s="289">
        <v>0</v>
      </c>
    </row>
    <row r="63" spans="1:24" ht="14.85" hidden="1" customHeight="1">
      <c r="A63" s="910"/>
      <c r="B63" s="911"/>
      <c r="C63" s="932"/>
      <c r="D63" s="913"/>
      <c r="E63" s="914"/>
      <c r="F63" s="914"/>
      <c r="G63" s="914"/>
      <c r="H63" s="286" t="s">
        <v>408</v>
      </c>
      <c r="I63" s="286" t="s">
        <v>408</v>
      </c>
      <c r="J63" s="908" t="s">
        <v>2</v>
      </c>
      <c r="K63" s="904">
        <f t="shared" ref="K63:X63" si="106">K60+K62</f>
        <v>58071</v>
      </c>
      <c r="L63" s="904">
        <f t="shared" si="106"/>
        <v>0</v>
      </c>
      <c r="M63" s="906">
        <f t="shared" si="106"/>
        <v>0</v>
      </c>
      <c r="N63" s="906">
        <f t="shared" si="106"/>
        <v>0</v>
      </c>
      <c r="O63" s="904">
        <f t="shared" si="106"/>
        <v>58071</v>
      </c>
      <c r="P63" s="904">
        <f t="shared" si="106"/>
        <v>58071</v>
      </c>
      <c r="Q63" s="906">
        <f t="shared" si="106"/>
        <v>746</v>
      </c>
      <c r="R63" s="906">
        <f t="shared" si="106"/>
        <v>57325</v>
      </c>
      <c r="S63" s="904">
        <f t="shared" si="106"/>
        <v>0</v>
      </c>
      <c r="T63" s="906">
        <f t="shared" si="106"/>
        <v>0</v>
      </c>
      <c r="U63" s="906">
        <f t="shared" si="106"/>
        <v>0</v>
      </c>
      <c r="V63" s="904">
        <f t="shared" si="106"/>
        <v>0</v>
      </c>
      <c r="W63" s="906">
        <f t="shared" si="106"/>
        <v>0</v>
      </c>
      <c r="X63" s="906">
        <f t="shared" si="106"/>
        <v>0</v>
      </c>
    </row>
    <row r="64" spans="1:24" ht="14.85" hidden="1" customHeight="1">
      <c r="A64" s="910"/>
      <c r="B64" s="911"/>
      <c r="C64" s="933"/>
      <c r="D64" s="913"/>
      <c r="E64" s="914"/>
      <c r="F64" s="914"/>
      <c r="G64" s="914"/>
      <c r="H64" s="286" t="s">
        <v>408</v>
      </c>
      <c r="I64" s="286" t="s">
        <v>408</v>
      </c>
      <c r="J64" s="909"/>
      <c r="K64" s="905"/>
      <c r="L64" s="905"/>
      <c r="M64" s="907"/>
      <c r="N64" s="907"/>
      <c r="O64" s="905"/>
      <c r="P64" s="905"/>
      <c r="Q64" s="907"/>
      <c r="R64" s="907"/>
      <c r="S64" s="905"/>
      <c r="T64" s="907"/>
      <c r="U64" s="907"/>
      <c r="V64" s="905"/>
      <c r="W64" s="907"/>
      <c r="X64" s="907"/>
    </row>
    <row r="65" spans="1:24" ht="15.6" hidden="1" customHeight="1">
      <c r="A65" s="910">
        <v>3</v>
      </c>
      <c r="B65" s="930" t="s">
        <v>699</v>
      </c>
      <c r="C65" s="931" t="s">
        <v>700</v>
      </c>
      <c r="D65" s="913" t="s">
        <v>701</v>
      </c>
      <c r="E65" s="914" t="s">
        <v>673</v>
      </c>
      <c r="F65" s="914" t="s">
        <v>702</v>
      </c>
      <c r="G65" s="914" t="s">
        <v>691</v>
      </c>
      <c r="H65" s="286" t="s">
        <v>408</v>
      </c>
      <c r="I65" s="286" t="s">
        <v>408</v>
      </c>
      <c r="J65" s="908" t="s">
        <v>0</v>
      </c>
      <c r="K65" s="904">
        <f t="shared" ref="K65" si="107">L65+O65</f>
        <v>22881</v>
      </c>
      <c r="L65" s="904">
        <f t="shared" ref="L65" si="108">M65+N65</f>
        <v>0</v>
      </c>
      <c r="M65" s="906">
        <v>0</v>
      </c>
      <c r="N65" s="906">
        <v>0</v>
      </c>
      <c r="O65" s="904">
        <f t="shared" ref="O65" si="109">P65+S65+V65</f>
        <v>22881</v>
      </c>
      <c r="P65" s="904">
        <f t="shared" ref="P65" si="110">Q65+R65</f>
        <v>22881</v>
      </c>
      <c r="Q65" s="906">
        <v>5081</v>
      </c>
      <c r="R65" s="906">
        <v>17800</v>
      </c>
      <c r="S65" s="904">
        <f t="shared" ref="S65" si="111">T65+U65</f>
        <v>0</v>
      </c>
      <c r="T65" s="906">
        <v>0</v>
      </c>
      <c r="U65" s="906">
        <v>0</v>
      </c>
      <c r="V65" s="904">
        <f t="shared" ref="V65" si="112">W65+X65</f>
        <v>0</v>
      </c>
      <c r="W65" s="906">
        <v>0</v>
      </c>
      <c r="X65" s="906">
        <v>0</v>
      </c>
    </row>
    <row r="66" spans="1:24" ht="15.6" hidden="1" customHeight="1">
      <c r="A66" s="910"/>
      <c r="B66" s="930"/>
      <c r="C66" s="932"/>
      <c r="D66" s="913"/>
      <c r="E66" s="914"/>
      <c r="F66" s="914"/>
      <c r="G66" s="914"/>
      <c r="H66" s="286" t="s">
        <v>408</v>
      </c>
      <c r="I66" s="286" t="s">
        <v>408</v>
      </c>
      <c r="J66" s="909"/>
      <c r="K66" s="905"/>
      <c r="L66" s="905"/>
      <c r="M66" s="907"/>
      <c r="N66" s="907"/>
      <c r="O66" s="905"/>
      <c r="P66" s="905"/>
      <c r="Q66" s="907"/>
      <c r="R66" s="907"/>
      <c r="S66" s="905"/>
      <c r="T66" s="907"/>
      <c r="U66" s="907"/>
      <c r="V66" s="905"/>
      <c r="W66" s="907"/>
      <c r="X66" s="907"/>
    </row>
    <row r="67" spans="1:24" ht="15.6" hidden="1" customHeight="1">
      <c r="A67" s="910"/>
      <c r="B67" s="930"/>
      <c r="C67" s="932"/>
      <c r="D67" s="913"/>
      <c r="E67" s="914"/>
      <c r="F67" s="914"/>
      <c r="G67" s="914"/>
      <c r="H67" s="286" t="s">
        <v>408</v>
      </c>
      <c r="I67" s="286" t="s">
        <v>408</v>
      </c>
      <c r="J67" s="286" t="s">
        <v>1</v>
      </c>
      <c r="K67" s="288">
        <f t="shared" ref="K67" si="113">L67+O67</f>
        <v>0</v>
      </c>
      <c r="L67" s="288">
        <f t="shared" ref="L67" si="114">M67+N67</f>
        <v>0</v>
      </c>
      <c r="M67" s="289">
        <v>0</v>
      </c>
      <c r="N67" s="289">
        <v>0</v>
      </c>
      <c r="O67" s="288">
        <f t="shared" ref="O67" si="115">P67+S67+V67</f>
        <v>0</v>
      </c>
      <c r="P67" s="288">
        <f t="shared" ref="P67" si="116">Q67+R67</f>
        <v>0</v>
      </c>
      <c r="Q67" s="289">
        <v>0</v>
      </c>
      <c r="R67" s="289">
        <v>0</v>
      </c>
      <c r="S67" s="288">
        <f t="shared" ref="S67" si="117">T67+U67</f>
        <v>0</v>
      </c>
      <c r="T67" s="289">
        <v>0</v>
      </c>
      <c r="U67" s="289">
        <v>0</v>
      </c>
      <c r="V67" s="288">
        <f t="shared" ref="V67" si="118">W67+X67</f>
        <v>0</v>
      </c>
      <c r="W67" s="289">
        <v>0</v>
      </c>
      <c r="X67" s="289">
        <v>0</v>
      </c>
    </row>
    <row r="68" spans="1:24" ht="15.6" hidden="1" customHeight="1">
      <c r="A68" s="910"/>
      <c r="B68" s="930"/>
      <c r="C68" s="932"/>
      <c r="D68" s="913"/>
      <c r="E68" s="914"/>
      <c r="F68" s="914"/>
      <c r="G68" s="914"/>
      <c r="H68" s="286" t="s">
        <v>408</v>
      </c>
      <c r="I68" s="286" t="s">
        <v>408</v>
      </c>
      <c r="J68" s="908" t="s">
        <v>2</v>
      </c>
      <c r="K68" s="904">
        <f t="shared" ref="K68:X68" si="119">K65+K67</f>
        <v>22881</v>
      </c>
      <c r="L68" s="904">
        <f t="shared" si="119"/>
        <v>0</v>
      </c>
      <c r="M68" s="906">
        <f t="shared" si="119"/>
        <v>0</v>
      </c>
      <c r="N68" s="906">
        <f t="shared" si="119"/>
        <v>0</v>
      </c>
      <c r="O68" s="904">
        <f t="shared" si="119"/>
        <v>22881</v>
      </c>
      <c r="P68" s="904">
        <f t="shared" si="119"/>
        <v>22881</v>
      </c>
      <c r="Q68" s="906">
        <f t="shared" si="119"/>
        <v>5081</v>
      </c>
      <c r="R68" s="906">
        <f t="shared" si="119"/>
        <v>17800</v>
      </c>
      <c r="S68" s="904">
        <f t="shared" si="119"/>
        <v>0</v>
      </c>
      <c r="T68" s="906">
        <f t="shared" si="119"/>
        <v>0</v>
      </c>
      <c r="U68" s="906">
        <f t="shared" si="119"/>
        <v>0</v>
      </c>
      <c r="V68" s="904">
        <f t="shared" si="119"/>
        <v>0</v>
      </c>
      <c r="W68" s="906">
        <f t="shared" si="119"/>
        <v>0</v>
      </c>
      <c r="X68" s="906">
        <f t="shared" si="119"/>
        <v>0</v>
      </c>
    </row>
    <row r="69" spans="1:24" ht="15.6" hidden="1" customHeight="1">
      <c r="A69" s="910"/>
      <c r="B69" s="930"/>
      <c r="C69" s="933"/>
      <c r="D69" s="913"/>
      <c r="E69" s="914"/>
      <c r="F69" s="914"/>
      <c r="G69" s="914"/>
      <c r="H69" s="286" t="s">
        <v>408</v>
      </c>
      <c r="I69" s="286" t="s">
        <v>408</v>
      </c>
      <c r="J69" s="909"/>
      <c r="K69" s="905"/>
      <c r="L69" s="905"/>
      <c r="M69" s="907"/>
      <c r="N69" s="907"/>
      <c r="O69" s="905"/>
      <c r="P69" s="905"/>
      <c r="Q69" s="907"/>
      <c r="R69" s="907"/>
      <c r="S69" s="905"/>
      <c r="T69" s="907"/>
      <c r="U69" s="907"/>
      <c r="V69" s="905"/>
      <c r="W69" s="907"/>
      <c r="X69" s="907"/>
    </row>
    <row r="70" spans="1:24" ht="14.85" customHeight="1">
      <c r="A70" s="910">
        <v>1</v>
      </c>
      <c r="B70" s="911" t="s">
        <v>703</v>
      </c>
      <c r="C70" s="931" t="s">
        <v>704</v>
      </c>
      <c r="D70" s="913" t="s">
        <v>705</v>
      </c>
      <c r="E70" s="914" t="s">
        <v>673</v>
      </c>
      <c r="F70" s="914" t="s">
        <v>706</v>
      </c>
      <c r="G70" s="914" t="s">
        <v>691</v>
      </c>
      <c r="H70" s="286" t="s">
        <v>408</v>
      </c>
      <c r="I70" s="286" t="s">
        <v>408</v>
      </c>
      <c r="J70" s="908" t="s">
        <v>0</v>
      </c>
      <c r="K70" s="904">
        <f t="shared" ref="K70" si="120">L70+O70</f>
        <v>2598741</v>
      </c>
      <c r="L70" s="904">
        <f t="shared" ref="L70" si="121">M70+N70</f>
        <v>0</v>
      </c>
      <c r="M70" s="906">
        <v>0</v>
      </c>
      <c r="N70" s="906">
        <v>0</v>
      </c>
      <c r="O70" s="904">
        <f t="shared" ref="O70" si="122">P70+S70+V70</f>
        <v>2598741</v>
      </c>
      <c r="P70" s="904">
        <f t="shared" ref="P70" si="123">Q70+R70</f>
        <v>2598741</v>
      </c>
      <c r="Q70" s="906">
        <v>352737</v>
      </c>
      <c r="R70" s="906">
        <v>2246004</v>
      </c>
      <c r="S70" s="904">
        <f t="shared" ref="S70" si="124">T70+U70</f>
        <v>0</v>
      </c>
      <c r="T70" s="906">
        <v>0</v>
      </c>
      <c r="U70" s="906">
        <v>0</v>
      </c>
      <c r="V70" s="904">
        <f t="shared" ref="V70" si="125">W70+X70</f>
        <v>0</v>
      </c>
      <c r="W70" s="906">
        <v>0</v>
      </c>
      <c r="X70" s="906">
        <v>0</v>
      </c>
    </row>
    <row r="71" spans="1:24" ht="14.85" customHeight="1">
      <c r="A71" s="910"/>
      <c r="B71" s="911"/>
      <c r="C71" s="932"/>
      <c r="D71" s="913"/>
      <c r="E71" s="914"/>
      <c r="F71" s="914"/>
      <c r="G71" s="914"/>
      <c r="H71" s="286" t="s">
        <v>408</v>
      </c>
      <c r="I71" s="286" t="s">
        <v>408</v>
      </c>
      <c r="J71" s="909"/>
      <c r="K71" s="905"/>
      <c r="L71" s="905"/>
      <c r="M71" s="907"/>
      <c r="N71" s="907"/>
      <c r="O71" s="905"/>
      <c r="P71" s="905"/>
      <c r="Q71" s="907"/>
      <c r="R71" s="907"/>
      <c r="S71" s="905"/>
      <c r="T71" s="907"/>
      <c r="U71" s="907"/>
      <c r="V71" s="905"/>
      <c r="W71" s="907"/>
      <c r="X71" s="907"/>
    </row>
    <row r="72" spans="1:24" ht="14.85" customHeight="1">
      <c r="A72" s="910"/>
      <c r="B72" s="911"/>
      <c r="C72" s="932"/>
      <c r="D72" s="913"/>
      <c r="E72" s="914"/>
      <c r="F72" s="914"/>
      <c r="G72" s="914"/>
      <c r="H72" s="286" t="s">
        <v>408</v>
      </c>
      <c r="I72" s="286" t="s">
        <v>408</v>
      </c>
      <c r="J72" s="286" t="s">
        <v>1</v>
      </c>
      <c r="K72" s="288">
        <f t="shared" ref="K72" si="126">L72+O72</f>
        <v>4470841</v>
      </c>
      <c r="L72" s="288">
        <f t="shared" ref="L72" si="127">M72+N72</f>
        <v>0</v>
      </c>
      <c r="M72" s="289">
        <v>0</v>
      </c>
      <c r="N72" s="289">
        <v>0</v>
      </c>
      <c r="O72" s="288">
        <f t="shared" ref="O72" si="128">P72+S72+V72</f>
        <v>4470841</v>
      </c>
      <c r="P72" s="288">
        <f t="shared" ref="P72" si="129">Q72+R72</f>
        <v>4470841</v>
      </c>
      <c r="Q72" s="289">
        <v>-249854</v>
      </c>
      <c r="R72" s="289">
        <v>4720695</v>
      </c>
      <c r="S72" s="288">
        <f t="shared" ref="S72" si="130">T72+U72</f>
        <v>0</v>
      </c>
      <c r="T72" s="289">
        <v>0</v>
      </c>
      <c r="U72" s="289">
        <v>0</v>
      </c>
      <c r="V72" s="288">
        <f t="shared" ref="V72" si="131">W72+X72</f>
        <v>0</v>
      </c>
      <c r="W72" s="289">
        <v>0</v>
      </c>
      <c r="X72" s="289">
        <v>0</v>
      </c>
    </row>
    <row r="73" spans="1:24" ht="14.85" customHeight="1">
      <c r="A73" s="910"/>
      <c r="B73" s="911"/>
      <c r="C73" s="932"/>
      <c r="D73" s="913"/>
      <c r="E73" s="914"/>
      <c r="F73" s="914"/>
      <c r="G73" s="914"/>
      <c r="H73" s="286" t="s">
        <v>408</v>
      </c>
      <c r="I73" s="286" t="s">
        <v>408</v>
      </c>
      <c r="J73" s="908" t="s">
        <v>2</v>
      </c>
      <c r="K73" s="904">
        <f t="shared" ref="K73:X73" si="132">K70+K72</f>
        <v>7069582</v>
      </c>
      <c r="L73" s="904">
        <f t="shared" si="132"/>
        <v>0</v>
      </c>
      <c r="M73" s="906">
        <f t="shared" si="132"/>
        <v>0</v>
      </c>
      <c r="N73" s="906">
        <f t="shared" si="132"/>
        <v>0</v>
      </c>
      <c r="O73" s="904">
        <f t="shared" si="132"/>
        <v>7069582</v>
      </c>
      <c r="P73" s="904">
        <f t="shared" si="132"/>
        <v>7069582</v>
      </c>
      <c r="Q73" s="906">
        <f t="shared" si="132"/>
        <v>102883</v>
      </c>
      <c r="R73" s="906">
        <f t="shared" si="132"/>
        <v>6966699</v>
      </c>
      <c r="S73" s="904">
        <f t="shared" si="132"/>
        <v>0</v>
      </c>
      <c r="T73" s="906">
        <f t="shared" si="132"/>
        <v>0</v>
      </c>
      <c r="U73" s="906">
        <f t="shared" si="132"/>
        <v>0</v>
      </c>
      <c r="V73" s="904">
        <f t="shared" si="132"/>
        <v>0</v>
      </c>
      <c r="W73" s="906">
        <f t="shared" si="132"/>
        <v>0</v>
      </c>
      <c r="X73" s="906">
        <f t="shared" si="132"/>
        <v>0</v>
      </c>
    </row>
    <row r="74" spans="1:24" ht="14.85" customHeight="1">
      <c r="A74" s="910"/>
      <c r="B74" s="911"/>
      <c r="C74" s="933"/>
      <c r="D74" s="913"/>
      <c r="E74" s="914"/>
      <c r="F74" s="914"/>
      <c r="G74" s="914"/>
      <c r="H74" s="286" t="s">
        <v>408</v>
      </c>
      <c r="I74" s="286" t="s">
        <v>408</v>
      </c>
      <c r="J74" s="909"/>
      <c r="K74" s="905"/>
      <c r="L74" s="905"/>
      <c r="M74" s="907"/>
      <c r="N74" s="907"/>
      <c r="O74" s="905"/>
      <c r="P74" s="905"/>
      <c r="Q74" s="907"/>
      <c r="R74" s="907"/>
      <c r="S74" s="905"/>
      <c r="T74" s="907"/>
      <c r="U74" s="907"/>
      <c r="V74" s="905"/>
      <c r="W74" s="907"/>
      <c r="X74" s="907"/>
    </row>
    <row r="75" spans="1:24" ht="14.85" customHeight="1">
      <c r="A75" s="910">
        <v>2</v>
      </c>
      <c r="B75" s="911" t="s">
        <v>707</v>
      </c>
      <c r="C75" s="931" t="s">
        <v>708</v>
      </c>
      <c r="D75" s="913" t="s">
        <v>709</v>
      </c>
      <c r="E75" s="914" t="s">
        <v>673</v>
      </c>
      <c r="F75" s="914" t="s">
        <v>710</v>
      </c>
      <c r="G75" s="914" t="s">
        <v>691</v>
      </c>
      <c r="H75" s="286" t="s">
        <v>408</v>
      </c>
      <c r="I75" s="286" t="s">
        <v>408</v>
      </c>
      <c r="J75" s="908" t="s">
        <v>0</v>
      </c>
      <c r="K75" s="904">
        <f t="shared" ref="K75" si="133">L75+O75</f>
        <v>837027</v>
      </c>
      <c r="L75" s="904">
        <f t="shared" ref="L75" si="134">M75+N75</f>
        <v>0</v>
      </c>
      <c r="M75" s="906">
        <v>0</v>
      </c>
      <c r="N75" s="906">
        <v>0</v>
      </c>
      <c r="O75" s="904">
        <f t="shared" ref="O75" si="135">P75+S75+V75</f>
        <v>837027</v>
      </c>
      <c r="P75" s="904">
        <f t="shared" ref="P75" si="136">Q75+R75</f>
        <v>837027</v>
      </c>
      <c r="Q75" s="906">
        <v>24088</v>
      </c>
      <c r="R75" s="906">
        <v>812939</v>
      </c>
      <c r="S75" s="904">
        <f t="shared" ref="S75" si="137">T75+U75</f>
        <v>0</v>
      </c>
      <c r="T75" s="906">
        <v>0</v>
      </c>
      <c r="U75" s="906">
        <v>0</v>
      </c>
      <c r="V75" s="904">
        <f t="shared" ref="V75" si="138">W75+X75</f>
        <v>0</v>
      </c>
      <c r="W75" s="906">
        <v>0</v>
      </c>
      <c r="X75" s="906">
        <v>0</v>
      </c>
    </row>
    <row r="76" spans="1:24" ht="14.85" customHeight="1">
      <c r="A76" s="910"/>
      <c r="B76" s="911"/>
      <c r="C76" s="932"/>
      <c r="D76" s="913"/>
      <c r="E76" s="914"/>
      <c r="F76" s="914"/>
      <c r="G76" s="914"/>
      <c r="H76" s="286" t="s">
        <v>408</v>
      </c>
      <c r="I76" s="286" t="s">
        <v>408</v>
      </c>
      <c r="J76" s="909"/>
      <c r="K76" s="905"/>
      <c r="L76" s="905"/>
      <c r="M76" s="907"/>
      <c r="N76" s="907"/>
      <c r="O76" s="905"/>
      <c r="P76" s="905"/>
      <c r="Q76" s="907"/>
      <c r="R76" s="907"/>
      <c r="S76" s="905"/>
      <c r="T76" s="907"/>
      <c r="U76" s="907"/>
      <c r="V76" s="905"/>
      <c r="W76" s="907"/>
      <c r="X76" s="907"/>
    </row>
    <row r="77" spans="1:24" ht="14.85" customHeight="1">
      <c r="A77" s="910"/>
      <c r="B77" s="911"/>
      <c r="C77" s="932"/>
      <c r="D77" s="913"/>
      <c r="E77" s="914"/>
      <c r="F77" s="914"/>
      <c r="G77" s="914"/>
      <c r="H77" s="286" t="s">
        <v>408</v>
      </c>
      <c r="I77" s="286" t="s">
        <v>408</v>
      </c>
      <c r="J77" s="286" t="s">
        <v>1</v>
      </c>
      <c r="K77" s="288">
        <f t="shared" ref="K77" si="139">L77+O77</f>
        <v>649942</v>
      </c>
      <c r="L77" s="288">
        <f t="shared" ref="L77" si="140">M77+N77</f>
        <v>0</v>
      </c>
      <c r="M77" s="289">
        <v>0</v>
      </c>
      <c r="N77" s="289">
        <v>0</v>
      </c>
      <c r="O77" s="288">
        <f t="shared" ref="O77" si="141">P77+S77+V77</f>
        <v>649942</v>
      </c>
      <c r="P77" s="288">
        <f t="shared" ref="P77" si="142">Q77+R77</f>
        <v>649942</v>
      </c>
      <c r="Q77" s="289">
        <v>3333</v>
      </c>
      <c r="R77" s="289">
        <v>646609</v>
      </c>
      <c r="S77" s="288">
        <f t="shared" ref="S77" si="143">T77+U77</f>
        <v>0</v>
      </c>
      <c r="T77" s="289">
        <v>0</v>
      </c>
      <c r="U77" s="289">
        <v>0</v>
      </c>
      <c r="V77" s="288">
        <f t="shared" ref="V77" si="144">W77+X77</f>
        <v>0</v>
      </c>
      <c r="W77" s="289">
        <v>0</v>
      </c>
      <c r="X77" s="289">
        <v>0</v>
      </c>
    </row>
    <row r="78" spans="1:24" ht="14.85" customHeight="1">
      <c r="A78" s="910"/>
      <c r="B78" s="911"/>
      <c r="C78" s="932"/>
      <c r="D78" s="913"/>
      <c r="E78" s="914"/>
      <c r="F78" s="914"/>
      <c r="G78" s="914"/>
      <c r="H78" s="286" t="s">
        <v>408</v>
      </c>
      <c r="I78" s="286" t="s">
        <v>408</v>
      </c>
      <c r="J78" s="908" t="s">
        <v>2</v>
      </c>
      <c r="K78" s="904">
        <f t="shared" ref="K78:X78" si="145">K75+K77</f>
        <v>1486969</v>
      </c>
      <c r="L78" s="904">
        <f t="shared" si="145"/>
        <v>0</v>
      </c>
      <c r="M78" s="906">
        <f t="shared" si="145"/>
        <v>0</v>
      </c>
      <c r="N78" s="906">
        <f t="shared" si="145"/>
        <v>0</v>
      </c>
      <c r="O78" s="904">
        <f t="shared" si="145"/>
        <v>1486969</v>
      </c>
      <c r="P78" s="904">
        <f t="shared" si="145"/>
        <v>1486969</v>
      </c>
      <c r="Q78" s="906">
        <f t="shared" si="145"/>
        <v>27421</v>
      </c>
      <c r="R78" s="906">
        <f t="shared" si="145"/>
        <v>1459548</v>
      </c>
      <c r="S78" s="904">
        <f t="shared" si="145"/>
        <v>0</v>
      </c>
      <c r="T78" s="906">
        <f t="shared" si="145"/>
        <v>0</v>
      </c>
      <c r="U78" s="906">
        <f t="shared" si="145"/>
        <v>0</v>
      </c>
      <c r="V78" s="904">
        <f t="shared" si="145"/>
        <v>0</v>
      </c>
      <c r="W78" s="906">
        <f t="shared" si="145"/>
        <v>0</v>
      </c>
      <c r="X78" s="906">
        <f t="shared" si="145"/>
        <v>0</v>
      </c>
    </row>
    <row r="79" spans="1:24" ht="14.85" customHeight="1">
      <c r="A79" s="910"/>
      <c r="B79" s="911"/>
      <c r="C79" s="933"/>
      <c r="D79" s="913"/>
      <c r="E79" s="914"/>
      <c r="F79" s="914"/>
      <c r="G79" s="914"/>
      <c r="H79" s="286" t="s">
        <v>408</v>
      </c>
      <c r="I79" s="286" t="s">
        <v>408</v>
      </c>
      <c r="J79" s="909"/>
      <c r="K79" s="905"/>
      <c r="L79" s="905"/>
      <c r="M79" s="907"/>
      <c r="N79" s="907"/>
      <c r="O79" s="905"/>
      <c r="P79" s="905"/>
      <c r="Q79" s="907"/>
      <c r="R79" s="907"/>
      <c r="S79" s="905"/>
      <c r="T79" s="907"/>
      <c r="U79" s="907"/>
      <c r="V79" s="905"/>
      <c r="W79" s="907"/>
      <c r="X79" s="907"/>
    </row>
    <row r="80" spans="1:24" ht="14.85" customHeight="1">
      <c r="A80" s="910">
        <v>3</v>
      </c>
      <c r="B80" s="911" t="s">
        <v>711</v>
      </c>
      <c r="C80" s="931" t="s">
        <v>712</v>
      </c>
      <c r="D80" s="913" t="s">
        <v>713</v>
      </c>
      <c r="E80" s="914" t="s">
        <v>673</v>
      </c>
      <c r="F80" s="914" t="s">
        <v>690</v>
      </c>
      <c r="G80" s="914" t="s">
        <v>691</v>
      </c>
      <c r="H80" s="286" t="s">
        <v>408</v>
      </c>
      <c r="I80" s="286" t="s">
        <v>408</v>
      </c>
      <c r="J80" s="908" t="s">
        <v>0</v>
      </c>
      <c r="K80" s="904">
        <f t="shared" ref="K80" si="146">L80+O80</f>
        <v>1827142</v>
      </c>
      <c r="L80" s="904">
        <f t="shared" ref="L80" si="147">M80+N80</f>
        <v>0</v>
      </c>
      <c r="M80" s="906">
        <v>0</v>
      </c>
      <c r="N80" s="906">
        <v>0</v>
      </c>
      <c r="O80" s="904">
        <f t="shared" ref="O80" si="148">P80+S80+V80</f>
        <v>1827142</v>
      </c>
      <c r="P80" s="904">
        <f t="shared" ref="P80" si="149">Q80+R80</f>
        <v>1827142</v>
      </c>
      <c r="Q80" s="906">
        <v>55912</v>
      </c>
      <c r="R80" s="906">
        <v>1771230</v>
      </c>
      <c r="S80" s="904">
        <f t="shared" ref="S80" si="150">T80+U80</f>
        <v>0</v>
      </c>
      <c r="T80" s="906">
        <v>0</v>
      </c>
      <c r="U80" s="906">
        <v>0</v>
      </c>
      <c r="V80" s="904">
        <f t="shared" ref="V80" si="151">W80+X80</f>
        <v>0</v>
      </c>
      <c r="W80" s="906">
        <v>0</v>
      </c>
      <c r="X80" s="906">
        <v>0</v>
      </c>
    </row>
    <row r="81" spans="1:24" ht="14.85" customHeight="1">
      <c r="A81" s="910"/>
      <c r="B81" s="911"/>
      <c r="C81" s="932"/>
      <c r="D81" s="913"/>
      <c r="E81" s="914"/>
      <c r="F81" s="914"/>
      <c r="G81" s="914"/>
      <c r="H81" s="286" t="s">
        <v>408</v>
      </c>
      <c r="I81" s="286" t="s">
        <v>408</v>
      </c>
      <c r="J81" s="909"/>
      <c r="K81" s="905"/>
      <c r="L81" s="905"/>
      <c r="M81" s="907"/>
      <c r="N81" s="907"/>
      <c r="O81" s="905"/>
      <c r="P81" s="905"/>
      <c r="Q81" s="907"/>
      <c r="R81" s="907"/>
      <c r="S81" s="905"/>
      <c r="T81" s="907"/>
      <c r="U81" s="907"/>
      <c r="V81" s="905"/>
      <c r="W81" s="907"/>
      <c r="X81" s="907"/>
    </row>
    <row r="82" spans="1:24" ht="14.85" customHeight="1">
      <c r="A82" s="910"/>
      <c r="B82" s="911"/>
      <c r="C82" s="932"/>
      <c r="D82" s="913"/>
      <c r="E82" s="914"/>
      <c r="F82" s="914"/>
      <c r="G82" s="914"/>
      <c r="H82" s="286" t="s">
        <v>408</v>
      </c>
      <c r="I82" s="286" t="s">
        <v>408</v>
      </c>
      <c r="J82" s="286" t="s">
        <v>1</v>
      </c>
      <c r="K82" s="288">
        <f t="shared" ref="K82" si="152">L82+O82</f>
        <v>284569</v>
      </c>
      <c r="L82" s="288">
        <f t="shared" ref="L82" si="153">M82+N82</f>
        <v>0</v>
      </c>
      <c r="M82" s="289">
        <v>0</v>
      </c>
      <c r="N82" s="289">
        <v>0</v>
      </c>
      <c r="O82" s="288">
        <f t="shared" ref="O82" si="154">P82+S82+V82</f>
        <v>284569</v>
      </c>
      <c r="P82" s="288">
        <f t="shared" ref="P82" si="155">Q82+R82</f>
        <v>284569</v>
      </c>
      <c r="Q82" s="289">
        <v>0</v>
      </c>
      <c r="R82" s="289">
        <v>284569</v>
      </c>
      <c r="S82" s="288">
        <f t="shared" ref="S82" si="156">T82+U82</f>
        <v>0</v>
      </c>
      <c r="T82" s="289">
        <v>0</v>
      </c>
      <c r="U82" s="289">
        <v>0</v>
      </c>
      <c r="V82" s="288">
        <f t="shared" ref="V82" si="157">W82+X82</f>
        <v>0</v>
      </c>
      <c r="W82" s="289">
        <v>0</v>
      </c>
      <c r="X82" s="289">
        <v>0</v>
      </c>
    </row>
    <row r="83" spans="1:24" ht="14.85" customHeight="1">
      <c r="A83" s="910"/>
      <c r="B83" s="911"/>
      <c r="C83" s="932"/>
      <c r="D83" s="913"/>
      <c r="E83" s="914"/>
      <c r="F83" s="914"/>
      <c r="G83" s="914"/>
      <c r="H83" s="286" t="s">
        <v>408</v>
      </c>
      <c r="I83" s="286" t="s">
        <v>408</v>
      </c>
      <c r="J83" s="908" t="s">
        <v>2</v>
      </c>
      <c r="K83" s="904">
        <f t="shared" ref="K83:X83" si="158">K80+K82</f>
        <v>2111711</v>
      </c>
      <c r="L83" s="904">
        <f t="shared" si="158"/>
        <v>0</v>
      </c>
      <c r="M83" s="906">
        <f t="shared" si="158"/>
        <v>0</v>
      </c>
      <c r="N83" s="906">
        <f t="shared" si="158"/>
        <v>0</v>
      </c>
      <c r="O83" s="904">
        <f t="shared" si="158"/>
        <v>2111711</v>
      </c>
      <c r="P83" s="904">
        <f t="shared" si="158"/>
        <v>2111711</v>
      </c>
      <c r="Q83" s="906">
        <f t="shared" si="158"/>
        <v>55912</v>
      </c>
      <c r="R83" s="906">
        <f t="shared" si="158"/>
        <v>2055799</v>
      </c>
      <c r="S83" s="904">
        <f t="shared" si="158"/>
        <v>0</v>
      </c>
      <c r="T83" s="906">
        <f t="shared" si="158"/>
        <v>0</v>
      </c>
      <c r="U83" s="906">
        <f t="shared" si="158"/>
        <v>0</v>
      </c>
      <c r="V83" s="904">
        <f t="shared" si="158"/>
        <v>0</v>
      </c>
      <c r="W83" s="906">
        <f t="shared" si="158"/>
        <v>0</v>
      </c>
      <c r="X83" s="906">
        <f t="shared" si="158"/>
        <v>0</v>
      </c>
    </row>
    <row r="84" spans="1:24" ht="14.85" customHeight="1">
      <c r="A84" s="910"/>
      <c r="B84" s="911"/>
      <c r="C84" s="933"/>
      <c r="D84" s="913"/>
      <c r="E84" s="914"/>
      <c r="F84" s="914"/>
      <c r="G84" s="914"/>
      <c r="H84" s="286" t="s">
        <v>408</v>
      </c>
      <c r="I84" s="286" t="s">
        <v>408</v>
      </c>
      <c r="J84" s="909"/>
      <c r="K84" s="905"/>
      <c r="L84" s="905"/>
      <c r="M84" s="907"/>
      <c r="N84" s="907"/>
      <c r="O84" s="905"/>
      <c r="P84" s="905"/>
      <c r="Q84" s="907"/>
      <c r="R84" s="907"/>
      <c r="S84" s="905"/>
      <c r="T84" s="907"/>
      <c r="U84" s="907"/>
      <c r="V84" s="905"/>
      <c r="W84" s="907"/>
      <c r="X84" s="907"/>
    </row>
    <row r="85" spans="1:24" ht="14.85" hidden="1" customHeight="1">
      <c r="A85" s="910">
        <v>6</v>
      </c>
      <c r="B85" s="930" t="s">
        <v>714</v>
      </c>
      <c r="C85" s="931" t="s">
        <v>715</v>
      </c>
      <c r="D85" s="913" t="s">
        <v>716</v>
      </c>
      <c r="E85" s="914" t="s">
        <v>673</v>
      </c>
      <c r="F85" s="914" t="s">
        <v>717</v>
      </c>
      <c r="G85" s="914" t="s">
        <v>691</v>
      </c>
      <c r="H85" s="286" t="s">
        <v>408</v>
      </c>
      <c r="I85" s="286" t="s">
        <v>408</v>
      </c>
      <c r="J85" s="908" t="s">
        <v>0</v>
      </c>
      <c r="K85" s="904">
        <f t="shared" ref="K85" si="159">L85+O85</f>
        <v>117362</v>
      </c>
      <c r="L85" s="904">
        <f t="shared" ref="L85" si="160">M85+N85</f>
        <v>0</v>
      </c>
      <c r="M85" s="906">
        <v>0</v>
      </c>
      <c r="N85" s="906">
        <v>0</v>
      </c>
      <c r="O85" s="904">
        <f t="shared" ref="O85" si="161">P85+S85+V85</f>
        <v>117362</v>
      </c>
      <c r="P85" s="904">
        <f t="shared" ref="P85" si="162">Q85+R85</f>
        <v>117362</v>
      </c>
      <c r="Q85" s="906">
        <v>12</v>
      </c>
      <c r="R85" s="906">
        <v>117350</v>
      </c>
      <c r="S85" s="904">
        <f t="shared" ref="S85" si="163">T85+U85</f>
        <v>0</v>
      </c>
      <c r="T85" s="906">
        <v>0</v>
      </c>
      <c r="U85" s="906">
        <v>0</v>
      </c>
      <c r="V85" s="904">
        <f t="shared" ref="V85" si="164">W85+X85</f>
        <v>0</v>
      </c>
      <c r="W85" s="906">
        <v>0</v>
      </c>
      <c r="X85" s="906">
        <v>0</v>
      </c>
    </row>
    <row r="86" spans="1:24" ht="14.85" hidden="1" customHeight="1">
      <c r="A86" s="910"/>
      <c r="B86" s="930"/>
      <c r="C86" s="932"/>
      <c r="D86" s="913"/>
      <c r="E86" s="914"/>
      <c r="F86" s="914"/>
      <c r="G86" s="914"/>
      <c r="H86" s="286" t="s">
        <v>408</v>
      </c>
      <c r="I86" s="286" t="s">
        <v>408</v>
      </c>
      <c r="J86" s="909"/>
      <c r="K86" s="905"/>
      <c r="L86" s="905"/>
      <c r="M86" s="907"/>
      <c r="N86" s="907"/>
      <c r="O86" s="905"/>
      <c r="P86" s="905"/>
      <c r="Q86" s="907"/>
      <c r="R86" s="907"/>
      <c r="S86" s="905"/>
      <c r="T86" s="907"/>
      <c r="U86" s="907"/>
      <c r="V86" s="905"/>
      <c r="W86" s="907"/>
      <c r="X86" s="907"/>
    </row>
    <row r="87" spans="1:24" ht="14.85" hidden="1" customHeight="1">
      <c r="A87" s="910"/>
      <c r="B87" s="930"/>
      <c r="C87" s="932"/>
      <c r="D87" s="913"/>
      <c r="E87" s="914"/>
      <c r="F87" s="914"/>
      <c r="G87" s="914"/>
      <c r="H87" s="286" t="s">
        <v>408</v>
      </c>
      <c r="I87" s="286" t="s">
        <v>408</v>
      </c>
      <c r="J87" s="286" t="s">
        <v>1</v>
      </c>
      <c r="K87" s="288">
        <f t="shared" ref="K87" si="165">L87+O87</f>
        <v>0</v>
      </c>
      <c r="L87" s="288">
        <f t="shared" ref="L87" si="166">M87+N87</f>
        <v>0</v>
      </c>
      <c r="M87" s="289">
        <v>0</v>
      </c>
      <c r="N87" s="289">
        <v>0</v>
      </c>
      <c r="O87" s="288">
        <f t="shared" ref="O87" si="167">P87+S87+V87</f>
        <v>0</v>
      </c>
      <c r="P87" s="288">
        <f t="shared" ref="P87" si="168">Q87+R87</f>
        <v>0</v>
      </c>
      <c r="Q87" s="289">
        <v>0</v>
      </c>
      <c r="R87" s="289">
        <v>0</v>
      </c>
      <c r="S87" s="288">
        <f t="shared" ref="S87" si="169">T87+U87</f>
        <v>0</v>
      </c>
      <c r="T87" s="289">
        <v>0</v>
      </c>
      <c r="U87" s="289">
        <v>0</v>
      </c>
      <c r="V87" s="288">
        <f t="shared" ref="V87" si="170">W87+X87</f>
        <v>0</v>
      </c>
      <c r="W87" s="289">
        <v>0</v>
      </c>
      <c r="X87" s="289">
        <v>0</v>
      </c>
    </row>
    <row r="88" spans="1:24" ht="14.85" hidden="1" customHeight="1">
      <c r="A88" s="910"/>
      <c r="B88" s="930"/>
      <c r="C88" s="932"/>
      <c r="D88" s="913"/>
      <c r="E88" s="914"/>
      <c r="F88" s="914"/>
      <c r="G88" s="914"/>
      <c r="H88" s="286" t="s">
        <v>408</v>
      </c>
      <c r="I88" s="286" t="s">
        <v>408</v>
      </c>
      <c r="J88" s="908" t="s">
        <v>2</v>
      </c>
      <c r="K88" s="904">
        <f t="shared" ref="K88:X88" si="171">K85+K87</f>
        <v>117362</v>
      </c>
      <c r="L88" s="904">
        <f t="shared" si="171"/>
        <v>0</v>
      </c>
      <c r="M88" s="906">
        <f t="shared" si="171"/>
        <v>0</v>
      </c>
      <c r="N88" s="906">
        <f t="shared" si="171"/>
        <v>0</v>
      </c>
      <c r="O88" s="904">
        <f t="shared" si="171"/>
        <v>117362</v>
      </c>
      <c r="P88" s="904">
        <f t="shared" si="171"/>
        <v>117362</v>
      </c>
      <c r="Q88" s="906">
        <f t="shared" si="171"/>
        <v>12</v>
      </c>
      <c r="R88" s="906">
        <f t="shared" si="171"/>
        <v>117350</v>
      </c>
      <c r="S88" s="904">
        <f t="shared" si="171"/>
        <v>0</v>
      </c>
      <c r="T88" s="906">
        <f t="shared" si="171"/>
        <v>0</v>
      </c>
      <c r="U88" s="906">
        <f t="shared" si="171"/>
        <v>0</v>
      </c>
      <c r="V88" s="904">
        <f t="shared" si="171"/>
        <v>0</v>
      </c>
      <c r="W88" s="906">
        <f t="shared" si="171"/>
        <v>0</v>
      </c>
      <c r="X88" s="906">
        <f t="shared" si="171"/>
        <v>0</v>
      </c>
    </row>
    <row r="89" spans="1:24" ht="14.85" hidden="1" customHeight="1">
      <c r="A89" s="910"/>
      <c r="B89" s="930"/>
      <c r="C89" s="933"/>
      <c r="D89" s="913"/>
      <c r="E89" s="914"/>
      <c r="F89" s="914"/>
      <c r="G89" s="914"/>
      <c r="H89" s="286" t="s">
        <v>408</v>
      </c>
      <c r="I89" s="286" t="s">
        <v>408</v>
      </c>
      <c r="J89" s="909"/>
      <c r="K89" s="905"/>
      <c r="L89" s="905"/>
      <c r="M89" s="907"/>
      <c r="N89" s="907"/>
      <c r="O89" s="905"/>
      <c r="P89" s="905"/>
      <c r="Q89" s="907"/>
      <c r="R89" s="907"/>
      <c r="S89" s="905"/>
      <c r="T89" s="907"/>
      <c r="U89" s="907"/>
      <c r="V89" s="905"/>
      <c r="W89" s="907"/>
      <c r="X89" s="907"/>
    </row>
    <row r="90" spans="1:24" ht="14.85" hidden="1" customHeight="1">
      <c r="A90" s="910">
        <v>7</v>
      </c>
      <c r="B90" s="930" t="s">
        <v>718</v>
      </c>
      <c r="C90" s="931" t="s">
        <v>719</v>
      </c>
      <c r="D90" s="913" t="s">
        <v>720</v>
      </c>
      <c r="E90" s="914" t="s">
        <v>673</v>
      </c>
      <c r="F90" s="914" t="s">
        <v>721</v>
      </c>
      <c r="G90" s="914" t="s">
        <v>691</v>
      </c>
      <c r="H90" s="286" t="s">
        <v>408</v>
      </c>
      <c r="I90" s="286" t="s">
        <v>408</v>
      </c>
      <c r="J90" s="908" t="s">
        <v>0</v>
      </c>
      <c r="K90" s="904">
        <f t="shared" ref="K90" si="172">L90+O90</f>
        <v>2955</v>
      </c>
      <c r="L90" s="904">
        <f t="shared" ref="L90" si="173">M90+N90</f>
        <v>0</v>
      </c>
      <c r="M90" s="906">
        <v>0</v>
      </c>
      <c r="N90" s="906">
        <v>0</v>
      </c>
      <c r="O90" s="904">
        <f t="shared" ref="O90" si="174">P90+S90+V90</f>
        <v>2955</v>
      </c>
      <c r="P90" s="904">
        <f t="shared" ref="P90" si="175">Q90+R90</f>
        <v>2955</v>
      </c>
      <c r="Q90" s="906">
        <v>99</v>
      </c>
      <c r="R90" s="906">
        <v>2856</v>
      </c>
      <c r="S90" s="904">
        <f t="shared" ref="S90" si="176">T90+U90</f>
        <v>0</v>
      </c>
      <c r="T90" s="906">
        <v>0</v>
      </c>
      <c r="U90" s="906">
        <v>0</v>
      </c>
      <c r="V90" s="904">
        <f t="shared" ref="V90" si="177">W90+X90</f>
        <v>0</v>
      </c>
      <c r="W90" s="906">
        <v>0</v>
      </c>
      <c r="X90" s="906">
        <v>0</v>
      </c>
    </row>
    <row r="91" spans="1:24" ht="14.85" hidden="1" customHeight="1">
      <c r="A91" s="910"/>
      <c r="B91" s="930"/>
      <c r="C91" s="932"/>
      <c r="D91" s="913"/>
      <c r="E91" s="914"/>
      <c r="F91" s="914"/>
      <c r="G91" s="914"/>
      <c r="H91" s="286" t="s">
        <v>408</v>
      </c>
      <c r="I91" s="286" t="s">
        <v>408</v>
      </c>
      <c r="J91" s="909"/>
      <c r="K91" s="905"/>
      <c r="L91" s="905"/>
      <c r="M91" s="907"/>
      <c r="N91" s="907"/>
      <c r="O91" s="905"/>
      <c r="P91" s="905"/>
      <c r="Q91" s="907"/>
      <c r="R91" s="907"/>
      <c r="S91" s="905"/>
      <c r="T91" s="907"/>
      <c r="U91" s="907"/>
      <c r="V91" s="905"/>
      <c r="W91" s="907"/>
      <c r="X91" s="907"/>
    </row>
    <row r="92" spans="1:24" ht="14.85" hidden="1" customHeight="1">
      <c r="A92" s="910"/>
      <c r="B92" s="930"/>
      <c r="C92" s="932"/>
      <c r="D92" s="913"/>
      <c r="E92" s="914"/>
      <c r="F92" s="914"/>
      <c r="G92" s="914"/>
      <c r="H92" s="286" t="s">
        <v>408</v>
      </c>
      <c r="I92" s="286" t="s">
        <v>408</v>
      </c>
      <c r="J92" s="286" t="s">
        <v>1</v>
      </c>
      <c r="K92" s="288">
        <f t="shared" ref="K92" si="178">L92+O92</f>
        <v>0</v>
      </c>
      <c r="L92" s="288">
        <f t="shared" ref="L92" si="179">M92+N92</f>
        <v>0</v>
      </c>
      <c r="M92" s="289">
        <v>0</v>
      </c>
      <c r="N92" s="289">
        <v>0</v>
      </c>
      <c r="O92" s="288">
        <f t="shared" ref="O92" si="180">P92+S92+V92</f>
        <v>0</v>
      </c>
      <c r="P92" s="288">
        <f t="shared" ref="P92" si="181">Q92+R92</f>
        <v>0</v>
      </c>
      <c r="Q92" s="289">
        <v>0</v>
      </c>
      <c r="R92" s="289">
        <v>0</v>
      </c>
      <c r="S92" s="288">
        <f t="shared" ref="S92" si="182">T92+U92</f>
        <v>0</v>
      </c>
      <c r="T92" s="289">
        <v>0</v>
      </c>
      <c r="U92" s="289">
        <v>0</v>
      </c>
      <c r="V92" s="288">
        <f t="shared" ref="V92" si="183">W92+X92</f>
        <v>0</v>
      </c>
      <c r="W92" s="289">
        <v>0</v>
      </c>
      <c r="X92" s="289">
        <v>0</v>
      </c>
    </row>
    <row r="93" spans="1:24" ht="14.85" hidden="1" customHeight="1">
      <c r="A93" s="910"/>
      <c r="B93" s="930"/>
      <c r="C93" s="932"/>
      <c r="D93" s="913"/>
      <c r="E93" s="914"/>
      <c r="F93" s="914"/>
      <c r="G93" s="914"/>
      <c r="H93" s="286" t="s">
        <v>408</v>
      </c>
      <c r="I93" s="286" t="s">
        <v>408</v>
      </c>
      <c r="J93" s="908" t="s">
        <v>2</v>
      </c>
      <c r="K93" s="904">
        <f t="shared" ref="K93:X93" si="184">K90+K92</f>
        <v>2955</v>
      </c>
      <c r="L93" s="904">
        <f t="shared" si="184"/>
        <v>0</v>
      </c>
      <c r="M93" s="906">
        <f t="shared" si="184"/>
        <v>0</v>
      </c>
      <c r="N93" s="906">
        <f t="shared" si="184"/>
        <v>0</v>
      </c>
      <c r="O93" s="904">
        <f t="shared" si="184"/>
        <v>2955</v>
      </c>
      <c r="P93" s="904">
        <f t="shared" si="184"/>
        <v>2955</v>
      </c>
      <c r="Q93" s="906">
        <f t="shared" si="184"/>
        <v>99</v>
      </c>
      <c r="R93" s="906">
        <f t="shared" si="184"/>
        <v>2856</v>
      </c>
      <c r="S93" s="904">
        <f t="shared" si="184"/>
        <v>0</v>
      </c>
      <c r="T93" s="906">
        <f t="shared" si="184"/>
        <v>0</v>
      </c>
      <c r="U93" s="906">
        <f t="shared" si="184"/>
        <v>0</v>
      </c>
      <c r="V93" s="904">
        <f t="shared" si="184"/>
        <v>0</v>
      </c>
      <c r="W93" s="906">
        <f t="shared" si="184"/>
        <v>0</v>
      </c>
      <c r="X93" s="906">
        <f t="shared" si="184"/>
        <v>0</v>
      </c>
    </row>
    <row r="94" spans="1:24" ht="14.85" hidden="1" customHeight="1">
      <c r="A94" s="910"/>
      <c r="B94" s="930"/>
      <c r="C94" s="933"/>
      <c r="D94" s="913"/>
      <c r="E94" s="914"/>
      <c r="F94" s="914"/>
      <c r="G94" s="914"/>
      <c r="H94" s="286" t="s">
        <v>408</v>
      </c>
      <c r="I94" s="286" t="s">
        <v>408</v>
      </c>
      <c r="J94" s="909"/>
      <c r="K94" s="905"/>
      <c r="L94" s="905"/>
      <c r="M94" s="907"/>
      <c r="N94" s="907"/>
      <c r="O94" s="905"/>
      <c r="P94" s="905"/>
      <c r="Q94" s="907"/>
      <c r="R94" s="907"/>
      <c r="S94" s="905"/>
      <c r="T94" s="907"/>
      <c r="U94" s="907"/>
      <c r="V94" s="905"/>
      <c r="W94" s="907"/>
      <c r="X94" s="907"/>
    </row>
    <row r="95" spans="1:24" ht="14.85" customHeight="1">
      <c r="A95" s="910">
        <v>4</v>
      </c>
      <c r="B95" s="911" t="s">
        <v>722</v>
      </c>
      <c r="C95" s="931" t="s">
        <v>712</v>
      </c>
      <c r="D95" s="913" t="s">
        <v>723</v>
      </c>
      <c r="E95" s="914" t="s">
        <v>673</v>
      </c>
      <c r="F95" s="914" t="s">
        <v>690</v>
      </c>
      <c r="G95" s="914" t="s">
        <v>691</v>
      </c>
      <c r="H95" s="286" t="s">
        <v>408</v>
      </c>
      <c r="I95" s="286" t="s">
        <v>408</v>
      </c>
      <c r="J95" s="908" t="s">
        <v>0</v>
      </c>
      <c r="K95" s="904">
        <f t="shared" ref="K95" si="185">L95+O95</f>
        <v>1338989</v>
      </c>
      <c r="L95" s="904">
        <f t="shared" ref="L95" si="186">M95+N95</f>
        <v>0</v>
      </c>
      <c r="M95" s="906">
        <v>0</v>
      </c>
      <c r="N95" s="906">
        <v>0</v>
      </c>
      <c r="O95" s="904">
        <f t="shared" ref="O95" si="187">P95+S95+V95</f>
        <v>1338989</v>
      </c>
      <c r="P95" s="904">
        <f t="shared" ref="P95" si="188">Q95+R95</f>
        <v>1338989</v>
      </c>
      <c r="Q95" s="906">
        <v>0</v>
      </c>
      <c r="R95" s="906">
        <v>1338989</v>
      </c>
      <c r="S95" s="904">
        <f t="shared" ref="S95" si="189">T95+U95</f>
        <v>0</v>
      </c>
      <c r="T95" s="906">
        <v>0</v>
      </c>
      <c r="U95" s="906">
        <v>0</v>
      </c>
      <c r="V95" s="904">
        <f t="shared" ref="V95" si="190">W95+X95</f>
        <v>0</v>
      </c>
      <c r="W95" s="906">
        <v>0</v>
      </c>
      <c r="X95" s="906">
        <v>0</v>
      </c>
    </row>
    <row r="96" spans="1:24" ht="14.85" customHeight="1">
      <c r="A96" s="910"/>
      <c r="B96" s="911"/>
      <c r="C96" s="932"/>
      <c r="D96" s="913"/>
      <c r="E96" s="914"/>
      <c r="F96" s="914"/>
      <c r="G96" s="914"/>
      <c r="H96" s="286" t="s">
        <v>408</v>
      </c>
      <c r="I96" s="286" t="s">
        <v>408</v>
      </c>
      <c r="J96" s="909"/>
      <c r="K96" s="905"/>
      <c r="L96" s="905"/>
      <c r="M96" s="907"/>
      <c r="N96" s="907"/>
      <c r="O96" s="905"/>
      <c r="P96" s="905"/>
      <c r="Q96" s="907"/>
      <c r="R96" s="907"/>
      <c r="S96" s="905"/>
      <c r="T96" s="907"/>
      <c r="U96" s="907"/>
      <c r="V96" s="905"/>
      <c r="W96" s="907"/>
      <c r="X96" s="907"/>
    </row>
    <row r="97" spans="1:24" ht="14.85" customHeight="1">
      <c r="A97" s="910"/>
      <c r="B97" s="911"/>
      <c r="C97" s="932"/>
      <c r="D97" s="913"/>
      <c r="E97" s="914"/>
      <c r="F97" s="914"/>
      <c r="G97" s="914"/>
      <c r="H97" s="286" t="s">
        <v>408</v>
      </c>
      <c r="I97" s="286" t="s">
        <v>408</v>
      </c>
      <c r="J97" s="286" t="s">
        <v>1</v>
      </c>
      <c r="K97" s="288">
        <f t="shared" ref="K97" si="191">L97+O97</f>
        <v>4415</v>
      </c>
      <c r="L97" s="288">
        <f t="shared" ref="L97" si="192">M97+N97</f>
        <v>0</v>
      </c>
      <c r="M97" s="289">
        <v>0</v>
      </c>
      <c r="N97" s="289">
        <v>0</v>
      </c>
      <c r="O97" s="288">
        <f t="shared" ref="O97" si="193">P97+S97+V97</f>
        <v>4415</v>
      </c>
      <c r="P97" s="288">
        <f t="shared" ref="P97" si="194">Q97+R97</f>
        <v>4415</v>
      </c>
      <c r="Q97" s="289">
        <v>276</v>
      </c>
      <c r="R97" s="289">
        <v>4139</v>
      </c>
      <c r="S97" s="288">
        <f t="shared" ref="S97" si="195">T97+U97</f>
        <v>0</v>
      </c>
      <c r="T97" s="289">
        <v>0</v>
      </c>
      <c r="U97" s="289">
        <v>0</v>
      </c>
      <c r="V97" s="288">
        <f t="shared" ref="V97" si="196">W97+X97</f>
        <v>0</v>
      </c>
      <c r="W97" s="289">
        <v>0</v>
      </c>
      <c r="X97" s="289">
        <v>0</v>
      </c>
    </row>
    <row r="98" spans="1:24" ht="14.85" customHeight="1">
      <c r="A98" s="910"/>
      <c r="B98" s="911"/>
      <c r="C98" s="932"/>
      <c r="D98" s="913"/>
      <c r="E98" s="914"/>
      <c r="F98" s="914"/>
      <c r="G98" s="914"/>
      <c r="H98" s="286" t="s">
        <v>408</v>
      </c>
      <c r="I98" s="286" t="s">
        <v>408</v>
      </c>
      <c r="J98" s="908" t="s">
        <v>2</v>
      </c>
      <c r="K98" s="904">
        <f t="shared" ref="K98:X98" si="197">K95+K97</f>
        <v>1343404</v>
      </c>
      <c r="L98" s="904">
        <f t="shared" si="197"/>
        <v>0</v>
      </c>
      <c r="M98" s="906">
        <f t="shared" si="197"/>
        <v>0</v>
      </c>
      <c r="N98" s="906">
        <f t="shared" si="197"/>
        <v>0</v>
      </c>
      <c r="O98" s="904">
        <f t="shared" si="197"/>
        <v>1343404</v>
      </c>
      <c r="P98" s="904">
        <f t="shared" si="197"/>
        <v>1343404</v>
      </c>
      <c r="Q98" s="906">
        <f t="shared" si="197"/>
        <v>276</v>
      </c>
      <c r="R98" s="906">
        <f t="shared" si="197"/>
        <v>1343128</v>
      </c>
      <c r="S98" s="904">
        <f t="shared" si="197"/>
        <v>0</v>
      </c>
      <c r="T98" s="906">
        <f t="shared" si="197"/>
        <v>0</v>
      </c>
      <c r="U98" s="906">
        <f t="shared" si="197"/>
        <v>0</v>
      </c>
      <c r="V98" s="904">
        <f t="shared" si="197"/>
        <v>0</v>
      </c>
      <c r="W98" s="906">
        <f t="shared" si="197"/>
        <v>0</v>
      </c>
      <c r="X98" s="906">
        <f t="shared" si="197"/>
        <v>0</v>
      </c>
    </row>
    <row r="99" spans="1:24" ht="14.85" customHeight="1">
      <c r="A99" s="910"/>
      <c r="B99" s="911"/>
      <c r="C99" s="933"/>
      <c r="D99" s="913"/>
      <c r="E99" s="914"/>
      <c r="F99" s="914"/>
      <c r="G99" s="914"/>
      <c r="H99" s="286" t="s">
        <v>408</v>
      </c>
      <c r="I99" s="286" t="s">
        <v>408</v>
      </c>
      <c r="J99" s="909"/>
      <c r="K99" s="905"/>
      <c r="L99" s="905"/>
      <c r="M99" s="907"/>
      <c r="N99" s="907"/>
      <c r="O99" s="905"/>
      <c r="P99" s="905"/>
      <c r="Q99" s="907"/>
      <c r="R99" s="907"/>
      <c r="S99" s="905"/>
      <c r="T99" s="907"/>
      <c r="U99" s="907"/>
      <c r="V99" s="905"/>
      <c r="W99" s="907"/>
      <c r="X99" s="907"/>
    </row>
    <row r="100" spans="1:24" ht="15" customHeight="1">
      <c r="A100" s="910">
        <v>5</v>
      </c>
      <c r="B100" s="930" t="s">
        <v>724</v>
      </c>
      <c r="C100" s="931" t="s">
        <v>725</v>
      </c>
      <c r="D100" s="913" t="s">
        <v>726</v>
      </c>
      <c r="E100" s="914" t="s">
        <v>673</v>
      </c>
      <c r="F100" s="914" t="s">
        <v>690</v>
      </c>
      <c r="G100" s="914" t="s">
        <v>691</v>
      </c>
      <c r="H100" s="286" t="s">
        <v>408</v>
      </c>
      <c r="I100" s="286" t="s">
        <v>408</v>
      </c>
      <c r="J100" s="908" t="s">
        <v>0</v>
      </c>
      <c r="K100" s="904">
        <f t="shared" ref="K100" si="198">L100+O100</f>
        <v>227736</v>
      </c>
      <c r="L100" s="904">
        <f t="shared" ref="L100" si="199">M100+N100</f>
        <v>0</v>
      </c>
      <c r="M100" s="906">
        <v>0</v>
      </c>
      <c r="N100" s="906">
        <v>0</v>
      </c>
      <c r="O100" s="904">
        <f t="shared" ref="O100" si="200">P100+S100+V100</f>
        <v>227736</v>
      </c>
      <c r="P100" s="904">
        <f t="shared" ref="P100" si="201">Q100+R100</f>
        <v>227736</v>
      </c>
      <c r="Q100" s="906">
        <v>1436</v>
      </c>
      <c r="R100" s="906">
        <v>226300</v>
      </c>
      <c r="S100" s="904">
        <f t="shared" ref="S100" si="202">T100+U100</f>
        <v>0</v>
      </c>
      <c r="T100" s="906">
        <v>0</v>
      </c>
      <c r="U100" s="906">
        <v>0</v>
      </c>
      <c r="V100" s="904">
        <f t="shared" ref="V100" si="203">W100+X100</f>
        <v>0</v>
      </c>
      <c r="W100" s="906">
        <v>0</v>
      </c>
      <c r="X100" s="906">
        <v>0</v>
      </c>
    </row>
    <row r="101" spans="1:24" ht="15" customHeight="1">
      <c r="A101" s="910"/>
      <c r="B101" s="930"/>
      <c r="C101" s="932"/>
      <c r="D101" s="913"/>
      <c r="E101" s="914"/>
      <c r="F101" s="914"/>
      <c r="G101" s="914"/>
      <c r="H101" s="286" t="s">
        <v>408</v>
      </c>
      <c r="I101" s="286" t="s">
        <v>408</v>
      </c>
      <c r="J101" s="909"/>
      <c r="K101" s="905"/>
      <c r="L101" s="905"/>
      <c r="M101" s="907"/>
      <c r="N101" s="907"/>
      <c r="O101" s="905"/>
      <c r="P101" s="905"/>
      <c r="Q101" s="907"/>
      <c r="R101" s="907"/>
      <c r="S101" s="905"/>
      <c r="T101" s="907"/>
      <c r="U101" s="907"/>
      <c r="V101" s="905"/>
      <c r="W101" s="907"/>
      <c r="X101" s="907"/>
    </row>
    <row r="102" spans="1:24" ht="15" customHeight="1">
      <c r="A102" s="910"/>
      <c r="B102" s="930"/>
      <c r="C102" s="932"/>
      <c r="D102" s="913"/>
      <c r="E102" s="914"/>
      <c r="F102" s="914"/>
      <c r="G102" s="914"/>
      <c r="H102" s="286" t="s">
        <v>408</v>
      </c>
      <c r="I102" s="286" t="s">
        <v>408</v>
      </c>
      <c r="J102" s="286" t="s">
        <v>1</v>
      </c>
      <c r="K102" s="288">
        <f t="shared" ref="K102" si="204">L102+O102</f>
        <v>948</v>
      </c>
      <c r="L102" s="288">
        <f t="shared" ref="L102" si="205">M102+N102</f>
        <v>0</v>
      </c>
      <c r="M102" s="289">
        <v>0</v>
      </c>
      <c r="N102" s="289">
        <v>0</v>
      </c>
      <c r="O102" s="288">
        <f t="shared" ref="O102" si="206">P102+S102+V102</f>
        <v>948</v>
      </c>
      <c r="P102" s="288">
        <f t="shared" ref="P102" si="207">Q102+R102</f>
        <v>948</v>
      </c>
      <c r="Q102" s="289">
        <v>948</v>
      </c>
      <c r="R102" s="289">
        <v>0</v>
      </c>
      <c r="S102" s="288">
        <f t="shared" ref="S102" si="208">T102+U102</f>
        <v>0</v>
      </c>
      <c r="T102" s="289">
        <v>0</v>
      </c>
      <c r="U102" s="289">
        <v>0</v>
      </c>
      <c r="V102" s="288">
        <f t="shared" ref="V102" si="209">W102+X102</f>
        <v>0</v>
      </c>
      <c r="W102" s="289">
        <v>0</v>
      </c>
      <c r="X102" s="289">
        <v>0</v>
      </c>
    </row>
    <row r="103" spans="1:24" ht="15" customHeight="1">
      <c r="A103" s="910"/>
      <c r="B103" s="930"/>
      <c r="C103" s="932"/>
      <c r="D103" s="913"/>
      <c r="E103" s="914"/>
      <c r="F103" s="914"/>
      <c r="G103" s="914"/>
      <c r="H103" s="286" t="s">
        <v>408</v>
      </c>
      <c r="I103" s="286" t="s">
        <v>408</v>
      </c>
      <c r="J103" s="908" t="s">
        <v>2</v>
      </c>
      <c r="K103" s="904">
        <f t="shared" ref="K103:X103" si="210">K100+K102</f>
        <v>228684</v>
      </c>
      <c r="L103" s="904">
        <f t="shared" si="210"/>
        <v>0</v>
      </c>
      <c r="M103" s="906">
        <f t="shared" si="210"/>
        <v>0</v>
      </c>
      <c r="N103" s="906">
        <f t="shared" si="210"/>
        <v>0</v>
      </c>
      <c r="O103" s="904">
        <f t="shared" si="210"/>
        <v>228684</v>
      </c>
      <c r="P103" s="904">
        <f t="shared" si="210"/>
        <v>228684</v>
      </c>
      <c r="Q103" s="906">
        <f t="shared" si="210"/>
        <v>2384</v>
      </c>
      <c r="R103" s="906">
        <f t="shared" si="210"/>
        <v>226300</v>
      </c>
      <c r="S103" s="904">
        <f t="shared" si="210"/>
        <v>0</v>
      </c>
      <c r="T103" s="906">
        <f t="shared" si="210"/>
        <v>0</v>
      </c>
      <c r="U103" s="906">
        <f t="shared" si="210"/>
        <v>0</v>
      </c>
      <c r="V103" s="904">
        <f t="shared" si="210"/>
        <v>0</v>
      </c>
      <c r="W103" s="906">
        <f t="shared" si="210"/>
        <v>0</v>
      </c>
      <c r="X103" s="906">
        <f t="shared" si="210"/>
        <v>0</v>
      </c>
    </row>
    <row r="104" spans="1:24" ht="15" customHeight="1">
      <c r="A104" s="910"/>
      <c r="B104" s="930"/>
      <c r="C104" s="933"/>
      <c r="D104" s="913"/>
      <c r="E104" s="914"/>
      <c r="F104" s="914"/>
      <c r="G104" s="914"/>
      <c r="H104" s="286" t="s">
        <v>408</v>
      </c>
      <c r="I104" s="286" t="s">
        <v>408</v>
      </c>
      <c r="J104" s="909"/>
      <c r="K104" s="905"/>
      <c r="L104" s="905"/>
      <c r="M104" s="907"/>
      <c r="N104" s="907"/>
      <c r="O104" s="905"/>
      <c r="P104" s="905"/>
      <c r="Q104" s="907"/>
      <c r="R104" s="907"/>
      <c r="S104" s="905"/>
      <c r="T104" s="907"/>
      <c r="U104" s="907"/>
      <c r="V104" s="905"/>
      <c r="W104" s="907"/>
      <c r="X104" s="907"/>
    </row>
    <row r="105" spans="1:24" ht="15.75" customHeight="1">
      <c r="A105" s="910">
        <v>6</v>
      </c>
      <c r="B105" s="911" t="s">
        <v>727</v>
      </c>
      <c r="C105" s="912" t="s">
        <v>728</v>
      </c>
      <c r="D105" s="913" t="s">
        <v>729</v>
      </c>
      <c r="E105" s="914" t="s">
        <v>411</v>
      </c>
      <c r="F105" s="914" t="s">
        <v>730</v>
      </c>
      <c r="G105" s="914" t="s">
        <v>691</v>
      </c>
      <c r="H105" s="286" t="s">
        <v>408</v>
      </c>
      <c r="I105" s="286" t="s">
        <v>408</v>
      </c>
      <c r="J105" s="908" t="s">
        <v>0</v>
      </c>
      <c r="K105" s="904">
        <f t="shared" ref="K105" si="211">L105+O105</f>
        <v>99570</v>
      </c>
      <c r="L105" s="904">
        <f t="shared" ref="L105" si="212">M105+N105</f>
        <v>0</v>
      </c>
      <c r="M105" s="906">
        <v>0</v>
      </c>
      <c r="N105" s="906">
        <v>0</v>
      </c>
      <c r="O105" s="904">
        <f t="shared" ref="O105" si="213">P105+S105+V105</f>
        <v>99570</v>
      </c>
      <c r="P105" s="904">
        <f t="shared" ref="P105" si="214">Q105+R105</f>
        <v>99570</v>
      </c>
      <c r="Q105" s="906">
        <v>99570</v>
      </c>
      <c r="R105" s="906">
        <v>0</v>
      </c>
      <c r="S105" s="904">
        <f t="shared" ref="S105" si="215">T105+U105</f>
        <v>0</v>
      </c>
      <c r="T105" s="906">
        <v>0</v>
      </c>
      <c r="U105" s="906">
        <v>0</v>
      </c>
      <c r="V105" s="904">
        <f t="shared" ref="V105" si="216">W105+X105</f>
        <v>0</v>
      </c>
      <c r="W105" s="906">
        <v>0</v>
      </c>
      <c r="X105" s="906">
        <v>0</v>
      </c>
    </row>
    <row r="106" spans="1:24" ht="15.75" customHeight="1">
      <c r="A106" s="910"/>
      <c r="B106" s="911"/>
      <c r="C106" s="912"/>
      <c r="D106" s="913"/>
      <c r="E106" s="914"/>
      <c r="F106" s="914"/>
      <c r="G106" s="914"/>
      <c r="H106" s="286" t="s">
        <v>408</v>
      </c>
      <c r="I106" s="286" t="s">
        <v>408</v>
      </c>
      <c r="J106" s="909"/>
      <c r="K106" s="905"/>
      <c r="L106" s="905"/>
      <c r="M106" s="907"/>
      <c r="N106" s="907"/>
      <c r="O106" s="905"/>
      <c r="P106" s="905"/>
      <c r="Q106" s="907"/>
      <c r="R106" s="907"/>
      <c r="S106" s="905"/>
      <c r="T106" s="907"/>
      <c r="U106" s="907"/>
      <c r="V106" s="905"/>
      <c r="W106" s="907"/>
      <c r="X106" s="907"/>
    </row>
    <row r="107" spans="1:24" ht="15.75" customHeight="1">
      <c r="A107" s="910"/>
      <c r="B107" s="911"/>
      <c r="C107" s="912"/>
      <c r="D107" s="913"/>
      <c r="E107" s="914"/>
      <c r="F107" s="914"/>
      <c r="G107" s="914"/>
      <c r="H107" s="286" t="s">
        <v>408</v>
      </c>
      <c r="I107" s="286" t="s">
        <v>408</v>
      </c>
      <c r="J107" s="286" t="s">
        <v>1</v>
      </c>
      <c r="K107" s="288">
        <f t="shared" ref="K107" si="217">L107+O107</f>
        <v>-70216</v>
      </c>
      <c r="L107" s="288">
        <f t="shared" ref="L107" si="218">M107+N107</f>
        <v>0</v>
      </c>
      <c r="M107" s="289">
        <v>0</v>
      </c>
      <c r="N107" s="289">
        <v>0</v>
      </c>
      <c r="O107" s="288">
        <f t="shared" ref="O107" si="219">P107+S107+V107</f>
        <v>-70216</v>
      </c>
      <c r="P107" s="288">
        <f t="shared" ref="P107" si="220">Q107+R107</f>
        <v>-70216</v>
      </c>
      <c r="Q107" s="289">
        <v>-70216</v>
      </c>
      <c r="R107" s="289">
        <v>0</v>
      </c>
      <c r="S107" s="288">
        <f t="shared" ref="S107" si="221">T107+U107</f>
        <v>0</v>
      </c>
      <c r="T107" s="289">
        <v>0</v>
      </c>
      <c r="U107" s="289">
        <v>0</v>
      </c>
      <c r="V107" s="288">
        <f t="shared" ref="V107" si="222">W107+X107</f>
        <v>0</v>
      </c>
      <c r="W107" s="289">
        <v>0</v>
      </c>
      <c r="X107" s="289">
        <v>0</v>
      </c>
    </row>
    <row r="108" spans="1:24" ht="15.75" customHeight="1">
      <c r="A108" s="910"/>
      <c r="B108" s="911"/>
      <c r="C108" s="912"/>
      <c r="D108" s="913"/>
      <c r="E108" s="914"/>
      <c r="F108" s="914"/>
      <c r="G108" s="914"/>
      <c r="H108" s="286" t="s">
        <v>408</v>
      </c>
      <c r="I108" s="286" t="s">
        <v>408</v>
      </c>
      <c r="J108" s="908" t="s">
        <v>2</v>
      </c>
      <c r="K108" s="904">
        <f t="shared" ref="K108:X108" si="223">K105+K107</f>
        <v>29354</v>
      </c>
      <c r="L108" s="904">
        <f t="shared" si="223"/>
        <v>0</v>
      </c>
      <c r="M108" s="906">
        <f t="shared" si="223"/>
        <v>0</v>
      </c>
      <c r="N108" s="906">
        <f t="shared" si="223"/>
        <v>0</v>
      </c>
      <c r="O108" s="904">
        <f t="shared" si="223"/>
        <v>29354</v>
      </c>
      <c r="P108" s="904">
        <f t="shared" si="223"/>
        <v>29354</v>
      </c>
      <c r="Q108" s="906">
        <f t="shared" si="223"/>
        <v>29354</v>
      </c>
      <c r="R108" s="906">
        <f t="shared" si="223"/>
        <v>0</v>
      </c>
      <c r="S108" s="904">
        <f t="shared" si="223"/>
        <v>0</v>
      </c>
      <c r="T108" s="906">
        <f t="shared" si="223"/>
        <v>0</v>
      </c>
      <c r="U108" s="906">
        <f t="shared" si="223"/>
        <v>0</v>
      </c>
      <c r="V108" s="904">
        <f t="shared" si="223"/>
        <v>0</v>
      </c>
      <c r="W108" s="906">
        <f t="shared" si="223"/>
        <v>0</v>
      </c>
      <c r="X108" s="906">
        <f t="shared" si="223"/>
        <v>0</v>
      </c>
    </row>
    <row r="109" spans="1:24" ht="15.75" customHeight="1">
      <c r="A109" s="910"/>
      <c r="B109" s="911"/>
      <c r="C109" s="912"/>
      <c r="D109" s="913"/>
      <c r="E109" s="914"/>
      <c r="F109" s="914"/>
      <c r="G109" s="914"/>
      <c r="H109" s="286" t="s">
        <v>408</v>
      </c>
      <c r="I109" s="286" t="s">
        <v>408</v>
      </c>
      <c r="J109" s="909"/>
      <c r="K109" s="905"/>
      <c r="L109" s="905"/>
      <c r="M109" s="907"/>
      <c r="N109" s="907"/>
      <c r="O109" s="905"/>
      <c r="P109" s="905"/>
      <c r="Q109" s="907"/>
      <c r="R109" s="907"/>
      <c r="S109" s="905"/>
      <c r="T109" s="907"/>
      <c r="U109" s="907"/>
      <c r="V109" s="905"/>
      <c r="W109" s="907"/>
      <c r="X109" s="907"/>
    </row>
    <row r="110" spans="1:24" ht="15.75" customHeight="1">
      <c r="A110" s="910">
        <v>7</v>
      </c>
      <c r="B110" s="911" t="s">
        <v>731</v>
      </c>
      <c r="C110" s="912" t="s">
        <v>728</v>
      </c>
      <c r="D110" s="913" t="s">
        <v>732</v>
      </c>
      <c r="E110" s="914" t="s">
        <v>411</v>
      </c>
      <c r="F110" s="914" t="s">
        <v>733</v>
      </c>
      <c r="G110" s="914" t="s">
        <v>691</v>
      </c>
      <c r="H110" s="286" t="s">
        <v>408</v>
      </c>
      <c r="I110" s="286" t="s">
        <v>408</v>
      </c>
      <c r="J110" s="908" t="s">
        <v>0</v>
      </c>
      <c r="K110" s="904">
        <f t="shared" ref="K110" si="224">L110+O110</f>
        <v>204491</v>
      </c>
      <c r="L110" s="904">
        <f t="shared" ref="L110" si="225">M110+N110</f>
        <v>0</v>
      </c>
      <c r="M110" s="906">
        <v>0</v>
      </c>
      <c r="N110" s="906">
        <v>0</v>
      </c>
      <c r="O110" s="904">
        <f t="shared" ref="O110" si="226">P110+S110+V110</f>
        <v>204491</v>
      </c>
      <c r="P110" s="904">
        <f t="shared" ref="P110" si="227">Q110+R110</f>
        <v>204491</v>
      </c>
      <c r="Q110" s="906">
        <v>204491</v>
      </c>
      <c r="R110" s="906">
        <v>0</v>
      </c>
      <c r="S110" s="904">
        <f t="shared" ref="S110" si="228">T110+U110</f>
        <v>0</v>
      </c>
      <c r="T110" s="906">
        <v>0</v>
      </c>
      <c r="U110" s="906">
        <v>0</v>
      </c>
      <c r="V110" s="904">
        <f t="shared" ref="V110" si="229">W110+X110</f>
        <v>0</v>
      </c>
      <c r="W110" s="906">
        <v>0</v>
      </c>
      <c r="X110" s="906">
        <v>0</v>
      </c>
    </row>
    <row r="111" spans="1:24" ht="15.75" customHeight="1">
      <c r="A111" s="910"/>
      <c r="B111" s="911"/>
      <c r="C111" s="912"/>
      <c r="D111" s="913"/>
      <c r="E111" s="914"/>
      <c r="F111" s="914"/>
      <c r="G111" s="914"/>
      <c r="H111" s="286" t="s">
        <v>408</v>
      </c>
      <c r="I111" s="286" t="s">
        <v>408</v>
      </c>
      <c r="J111" s="909"/>
      <c r="K111" s="905"/>
      <c r="L111" s="905"/>
      <c r="M111" s="907"/>
      <c r="N111" s="907"/>
      <c r="O111" s="905"/>
      <c r="P111" s="905"/>
      <c r="Q111" s="907"/>
      <c r="R111" s="907"/>
      <c r="S111" s="905"/>
      <c r="T111" s="907"/>
      <c r="U111" s="907"/>
      <c r="V111" s="905"/>
      <c r="W111" s="907"/>
      <c r="X111" s="907"/>
    </row>
    <row r="112" spans="1:24" ht="15.75" customHeight="1">
      <c r="A112" s="910"/>
      <c r="B112" s="911"/>
      <c r="C112" s="912"/>
      <c r="D112" s="913"/>
      <c r="E112" s="914"/>
      <c r="F112" s="914"/>
      <c r="G112" s="914"/>
      <c r="H112" s="286" t="s">
        <v>408</v>
      </c>
      <c r="I112" s="286" t="s">
        <v>408</v>
      </c>
      <c r="J112" s="286" t="s">
        <v>1</v>
      </c>
      <c r="K112" s="288">
        <f t="shared" ref="K112" si="230">L112+O112</f>
        <v>-204491</v>
      </c>
      <c r="L112" s="288">
        <f t="shared" ref="L112" si="231">M112+N112</f>
        <v>0</v>
      </c>
      <c r="M112" s="289">
        <v>0</v>
      </c>
      <c r="N112" s="289">
        <v>0</v>
      </c>
      <c r="O112" s="288">
        <f t="shared" ref="O112" si="232">P112+S112+V112</f>
        <v>-204491</v>
      </c>
      <c r="P112" s="288">
        <f t="shared" ref="P112" si="233">Q112+R112</f>
        <v>-204491</v>
      </c>
      <c r="Q112" s="289">
        <v>-204491</v>
      </c>
      <c r="R112" s="289">
        <v>0</v>
      </c>
      <c r="S112" s="288">
        <f t="shared" ref="S112" si="234">T112+U112</f>
        <v>0</v>
      </c>
      <c r="T112" s="289">
        <v>0</v>
      </c>
      <c r="U112" s="289">
        <v>0</v>
      </c>
      <c r="V112" s="288">
        <f t="shared" ref="V112" si="235">W112+X112</f>
        <v>0</v>
      </c>
      <c r="W112" s="289">
        <v>0</v>
      </c>
      <c r="X112" s="289">
        <v>0</v>
      </c>
    </row>
    <row r="113" spans="1:24" ht="15.75" customHeight="1">
      <c r="A113" s="910"/>
      <c r="B113" s="911"/>
      <c r="C113" s="912"/>
      <c r="D113" s="913"/>
      <c r="E113" s="914"/>
      <c r="F113" s="914"/>
      <c r="G113" s="914"/>
      <c r="H113" s="286" t="s">
        <v>408</v>
      </c>
      <c r="I113" s="286" t="s">
        <v>408</v>
      </c>
      <c r="J113" s="908" t="s">
        <v>2</v>
      </c>
      <c r="K113" s="904">
        <f t="shared" ref="K113:X113" si="236">K110+K112</f>
        <v>0</v>
      </c>
      <c r="L113" s="904">
        <f t="shared" si="236"/>
        <v>0</v>
      </c>
      <c r="M113" s="906">
        <f t="shared" si="236"/>
        <v>0</v>
      </c>
      <c r="N113" s="906">
        <f t="shared" si="236"/>
        <v>0</v>
      </c>
      <c r="O113" s="904">
        <f t="shared" si="236"/>
        <v>0</v>
      </c>
      <c r="P113" s="904">
        <f t="shared" si="236"/>
        <v>0</v>
      </c>
      <c r="Q113" s="906">
        <f t="shared" si="236"/>
        <v>0</v>
      </c>
      <c r="R113" s="906">
        <f t="shared" si="236"/>
        <v>0</v>
      </c>
      <c r="S113" s="904">
        <f t="shared" si="236"/>
        <v>0</v>
      </c>
      <c r="T113" s="906">
        <f t="shared" si="236"/>
        <v>0</v>
      </c>
      <c r="U113" s="906">
        <f t="shared" si="236"/>
        <v>0</v>
      </c>
      <c r="V113" s="904">
        <f t="shared" si="236"/>
        <v>0</v>
      </c>
      <c r="W113" s="906">
        <f t="shared" si="236"/>
        <v>0</v>
      </c>
      <c r="X113" s="906">
        <f t="shared" si="236"/>
        <v>0</v>
      </c>
    </row>
    <row r="114" spans="1:24" ht="15.75" customHeight="1">
      <c r="A114" s="910"/>
      <c r="B114" s="911"/>
      <c r="C114" s="912"/>
      <c r="D114" s="913"/>
      <c r="E114" s="914"/>
      <c r="F114" s="914"/>
      <c r="G114" s="914"/>
      <c r="H114" s="286" t="s">
        <v>408</v>
      </c>
      <c r="I114" s="286" t="s">
        <v>408</v>
      </c>
      <c r="J114" s="909"/>
      <c r="K114" s="905"/>
      <c r="L114" s="905"/>
      <c r="M114" s="907"/>
      <c r="N114" s="907"/>
      <c r="O114" s="905"/>
      <c r="P114" s="905"/>
      <c r="Q114" s="907"/>
      <c r="R114" s="907"/>
      <c r="S114" s="905"/>
      <c r="T114" s="907"/>
      <c r="U114" s="907"/>
      <c r="V114" s="905"/>
      <c r="W114" s="907"/>
      <c r="X114" s="907"/>
    </row>
    <row r="115" spans="1:24" ht="15.75" customHeight="1">
      <c r="A115" s="910">
        <v>8</v>
      </c>
      <c r="B115" s="930" t="s">
        <v>734</v>
      </c>
      <c r="C115" s="912" t="s">
        <v>735</v>
      </c>
      <c r="D115" s="913" t="s">
        <v>736</v>
      </c>
      <c r="E115" s="914" t="s">
        <v>411</v>
      </c>
      <c r="F115" s="914" t="s">
        <v>737</v>
      </c>
      <c r="G115" s="914" t="s">
        <v>691</v>
      </c>
      <c r="H115" s="286" t="s">
        <v>408</v>
      </c>
      <c r="I115" s="286" t="s">
        <v>408</v>
      </c>
      <c r="J115" s="908" t="s">
        <v>0</v>
      </c>
      <c r="K115" s="904">
        <f t="shared" ref="K115" si="237">L115+O115</f>
        <v>48873</v>
      </c>
      <c r="L115" s="904">
        <f t="shared" ref="L115" si="238">M115+N115</f>
        <v>0</v>
      </c>
      <c r="M115" s="906">
        <v>0</v>
      </c>
      <c r="N115" s="906">
        <v>0</v>
      </c>
      <c r="O115" s="904">
        <f t="shared" ref="O115" si="239">P115+S115+V115</f>
        <v>48873</v>
      </c>
      <c r="P115" s="904">
        <f t="shared" ref="P115" si="240">Q115+R115</f>
        <v>48873</v>
      </c>
      <c r="Q115" s="906">
        <v>48873</v>
      </c>
      <c r="R115" s="906">
        <v>0</v>
      </c>
      <c r="S115" s="904">
        <f t="shared" ref="S115" si="241">T115+U115</f>
        <v>0</v>
      </c>
      <c r="T115" s="906">
        <v>0</v>
      </c>
      <c r="U115" s="906">
        <v>0</v>
      </c>
      <c r="V115" s="904">
        <f t="shared" ref="V115" si="242">W115+X115</f>
        <v>0</v>
      </c>
      <c r="W115" s="906">
        <v>0</v>
      </c>
      <c r="X115" s="906">
        <v>0</v>
      </c>
    </row>
    <row r="116" spans="1:24" ht="15.75" customHeight="1">
      <c r="A116" s="910"/>
      <c r="B116" s="930"/>
      <c r="C116" s="912"/>
      <c r="D116" s="913"/>
      <c r="E116" s="914"/>
      <c r="F116" s="914"/>
      <c r="G116" s="914"/>
      <c r="H116" s="286" t="s">
        <v>408</v>
      </c>
      <c r="I116" s="286" t="s">
        <v>408</v>
      </c>
      <c r="J116" s="909"/>
      <c r="K116" s="905"/>
      <c r="L116" s="905"/>
      <c r="M116" s="907"/>
      <c r="N116" s="907"/>
      <c r="O116" s="905"/>
      <c r="P116" s="905"/>
      <c r="Q116" s="907"/>
      <c r="R116" s="907"/>
      <c r="S116" s="905"/>
      <c r="T116" s="907"/>
      <c r="U116" s="907"/>
      <c r="V116" s="905"/>
      <c r="W116" s="907"/>
      <c r="X116" s="907"/>
    </row>
    <row r="117" spans="1:24" ht="15.75" customHeight="1">
      <c r="A117" s="910"/>
      <c r="B117" s="930"/>
      <c r="C117" s="912"/>
      <c r="D117" s="913"/>
      <c r="E117" s="914"/>
      <c r="F117" s="914"/>
      <c r="G117" s="914"/>
      <c r="H117" s="286" t="s">
        <v>408</v>
      </c>
      <c r="I117" s="286" t="s">
        <v>408</v>
      </c>
      <c r="J117" s="286" t="s">
        <v>1</v>
      </c>
      <c r="K117" s="288">
        <f t="shared" ref="K117" si="243">L117+O117</f>
        <v>-35984</v>
      </c>
      <c r="L117" s="288">
        <f t="shared" ref="L117" si="244">M117+N117</f>
        <v>0</v>
      </c>
      <c r="M117" s="289">
        <v>0</v>
      </c>
      <c r="N117" s="289">
        <v>0</v>
      </c>
      <c r="O117" s="288">
        <f t="shared" ref="O117" si="245">P117+S117+V117</f>
        <v>-35984</v>
      </c>
      <c r="P117" s="288">
        <f t="shared" ref="P117" si="246">Q117+R117</f>
        <v>-35984</v>
      </c>
      <c r="Q117" s="289">
        <v>-35984</v>
      </c>
      <c r="R117" s="289">
        <v>0</v>
      </c>
      <c r="S117" s="288">
        <f t="shared" ref="S117" si="247">T117+U117</f>
        <v>0</v>
      </c>
      <c r="T117" s="289">
        <v>0</v>
      </c>
      <c r="U117" s="289">
        <v>0</v>
      </c>
      <c r="V117" s="288">
        <f t="shared" ref="V117" si="248">W117+X117</f>
        <v>0</v>
      </c>
      <c r="W117" s="289">
        <v>0</v>
      </c>
      <c r="X117" s="289">
        <v>0</v>
      </c>
    </row>
    <row r="118" spans="1:24" ht="15.75" customHeight="1">
      <c r="A118" s="910"/>
      <c r="B118" s="930"/>
      <c r="C118" s="912"/>
      <c r="D118" s="913"/>
      <c r="E118" s="914"/>
      <c r="F118" s="914"/>
      <c r="G118" s="914"/>
      <c r="H118" s="286" t="s">
        <v>408</v>
      </c>
      <c r="I118" s="286" t="s">
        <v>408</v>
      </c>
      <c r="J118" s="908" t="s">
        <v>2</v>
      </c>
      <c r="K118" s="904">
        <f t="shared" ref="K118:X118" si="249">K115+K117</f>
        <v>12889</v>
      </c>
      <c r="L118" s="904">
        <f t="shared" si="249"/>
        <v>0</v>
      </c>
      <c r="M118" s="906">
        <f t="shared" si="249"/>
        <v>0</v>
      </c>
      <c r="N118" s="906">
        <f t="shared" si="249"/>
        <v>0</v>
      </c>
      <c r="O118" s="904">
        <f t="shared" si="249"/>
        <v>12889</v>
      </c>
      <c r="P118" s="904">
        <f t="shared" si="249"/>
        <v>12889</v>
      </c>
      <c r="Q118" s="906">
        <f t="shared" si="249"/>
        <v>12889</v>
      </c>
      <c r="R118" s="906">
        <f t="shared" si="249"/>
        <v>0</v>
      </c>
      <c r="S118" s="904">
        <f t="shared" si="249"/>
        <v>0</v>
      </c>
      <c r="T118" s="906">
        <f t="shared" si="249"/>
        <v>0</v>
      </c>
      <c r="U118" s="906">
        <f t="shared" si="249"/>
        <v>0</v>
      </c>
      <c r="V118" s="904">
        <f t="shared" si="249"/>
        <v>0</v>
      </c>
      <c r="W118" s="906">
        <f t="shared" si="249"/>
        <v>0</v>
      </c>
      <c r="X118" s="906">
        <f t="shared" si="249"/>
        <v>0</v>
      </c>
    </row>
    <row r="119" spans="1:24" ht="15.75" customHeight="1">
      <c r="A119" s="910"/>
      <c r="B119" s="930"/>
      <c r="C119" s="912"/>
      <c r="D119" s="913"/>
      <c r="E119" s="914"/>
      <c r="F119" s="914"/>
      <c r="G119" s="914"/>
      <c r="H119" s="286" t="s">
        <v>408</v>
      </c>
      <c r="I119" s="286" t="s">
        <v>408</v>
      </c>
      <c r="J119" s="909"/>
      <c r="K119" s="905"/>
      <c r="L119" s="905"/>
      <c r="M119" s="907"/>
      <c r="N119" s="907"/>
      <c r="O119" s="905"/>
      <c r="P119" s="905"/>
      <c r="Q119" s="907"/>
      <c r="R119" s="907"/>
      <c r="S119" s="905"/>
      <c r="T119" s="907"/>
      <c r="U119" s="907"/>
      <c r="V119" s="905"/>
      <c r="W119" s="907"/>
      <c r="X119" s="907"/>
    </row>
    <row r="120" spans="1:24" ht="14.25" customHeight="1">
      <c r="A120" s="915">
        <v>9</v>
      </c>
      <c r="B120" s="918" t="s">
        <v>738</v>
      </c>
      <c r="C120" s="921" t="s">
        <v>739</v>
      </c>
      <c r="D120" s="924" t="s">
        <v>740</v>
      </c>
      <c r="E120" s="927" t="s">
        <v>411</v>
      </c>
      <c r="F120" s="927" t="s">
        <v>730</v>
      </c>
      <c r="G120" s="927" t="s">
        <v>691</v>
      </c>
      <c r="H120" s="286" t="s">
        <v>408</v>
      </c>
      <c r="I120" s="286" t="s">
        <v>408</v>
      </c>
      <c r="J120" s="908" t="s">
        <v>0</v>
      </c>
      <c r="K120" s="904">
        <f t="shared" ref="K120" si="250">L120+O120</f>
        <v>145434</v>
      </c>
      <c r="L120" s="904">
        <f t="shared" ref="L120" si="251">M120+N120</f>
        <v>0</v>
      </c>
      <c r="M120" s="906">
        <v>0</v>
      </c>
      <c r="N120" s="906">
        <v>0</v>
      </c>
      <c r="O120" s="904">
        <f t="shared" ref="O120" si="252">P120+S120+V120</f>
        <v>145434</v>
      </c>
      <c r="P120" s="904">
        <f t="shared" ref="P120" si="253">Q120+R120</f>
        <v>145434</v>
      </c>
      <c r="Q120" s="906">
        <v>145434</v>
      </c>
      <c r="R120" s="906">
        <v>0</v>
      </c>
      <c r="S120" s="904">
        <f t="shared" ref="S120" si="254">T120+U120</f>
        <v>0</v>
      </c>
      <c r="T120" s="906">
        <v>0</v>
      </c>
      <c r="U120" s="906">
        <v>0</v>
      </c>
      <c r="V120" s="904">
        <f t="shared" ref="V120" si="255">W120+X120</f>
        <v>0</v>
      </c>
      <c r="W120" s="906">
        <v>0</v>
      </c>
      <c r="X120" s="906">
        <v>0</v>
      </c>
    </row>
    <row r="121" spans="1:24" ht="14.25" customHeight="1">
      <c r="A121" s="916"/>
      <c r="B121" s="919"/>
      <c r="C121" s="922"/>
      <c r="D121" s="925"/>
      <c r="E121" s="928"/>
      <c r="F121" s="928"/>
      <c r="G121" s="928"/>
      <c r="H121" s="286" t="s">
        <v>408</v>
      </c>
      <c r="I121" s="286" t="s">
        <v>408</v>
      </c>
      <c r="J121" s="909"/>
      <c r="K121" s="905"/>
      <c r="L121" s="905"/>
      <c r="M121" s="907"/>
      <c r="N121" s="907"/>
      <c r="O121" s="905"/>
      <c r="P121" s="905"/>
      <c r="Q121" s="907"/>
      <c r="R121" s="907"/>
      <c r="S121" s="905"/>
      <c r="T121" s="907"/>
      <c r="U121" s="907"/>
      <c r="V121" s="905"/>
      <c r="W121" s="907"/>
      <c r="X121" s="907"/>
    </row>
    <row r="122" spans="1:24" ht="14.25" customHeight="1">
      <c r="A122" s="916"/>
      <c r="B122" s="919"/>
      <c r="C122" s="922"/>
      <c r="D122" s="925"/>
      <c r="E122" s="928"/>
      <c r="F122" s="928"/>
      <c r="G122" s="928"/>
      <c r="H122" s="286" t="s">
        <v>408</v>
      </c>
      <c r="I122" s="286" t="s">
        <v>408</v>
      </c>
      <c r="J122" s="286" t="s">
        <v>1</v>
      </c>
      <c r="K122" s="288">
        <f t="shared" ref="K122" si="256">L122+O122</f>
        <v>-59768</v>
      </c>
      <c r="L122" s="288">
        <f t="shared" ref="L122" si="257">M122+N122</f>
        <v>0</v>
      </c>
      <c r="M122" s="289">
        <v>0</v>
      </c>
      <c r="N122" s="289">
        <v>0</v>
      </c>
      <c r="O122" s="288">
        <f t="shared" ref="O122" si="258">P122+S122+V122</f>
        <v>-59768</v>
      </c>
      <c r="P122" s="288">
        <f t="shared" ref="P122" si="259">Q122+R122</f>
        <v>-59768</v>
      </c>
      <c r="Q122" s="289">
        <v>-59768</v>
      </c>
      <c r="R122" s="289">
        <v>0</v>
      </c>
      <c r="S122" s="288">
        <f t="shared" ref="S122" si="260">T122+U122</f>
        <v>0</v>
      </c>
      <c r="T122" s="289">
        <v>0</v>
      </c>
      <c r="U122" s="289">
        <v>0</v>
      </c>
      <c r="V122" s="288">
        <f t="shared" ref="V122" si="261">W122+X122</f>
        <v>0</v>
      </c>
      <c r="W122" s="289">
        <v>0</v>
      </c>
      <c r="X122" s="289">
        <v>0</v>
      </c>
    </row>
    <row r="123" spans="1:24" ht="14.25" customHeight="1">
      <c r="A123" s="916"/>
      <c r="B123" s="919"/>
      <c r="C123" s="922"/>
      <c r="D123" s="925"/>
      <c r="E123" s="928"/>
      <c r="F123" s="928"/>
      <c r="G123" s="928"/>
      <c r="H123" s="286" t="s">
        <v>408</v>
      </c>
      <c r="I123" s="286" t="s">
        <v>408</v>
      </c>
      <c r="J123" s="908" t="s">
        <v>2</v>
      </c>
      <c r="K123" s="904">
        <f t="shared" ref="K123:X123" si="262">K120+K122</f>
        <v>85666</v>
      </c>
      <c r="L123" s="904">
        <f t="shared" si="262"/>
        <v>0</v>
      </c>
      <c r="M123" s="906">
        <f t="shared" si="262"/>
        <v>0</v>
      </c>
      <c r="N123" s="906">
        <f t="shared" si="262"/>
        <v>0</v>
      </c>
      <c r="O123" s="904">
        <f t="shared" si="262"/>
        <v>85666</v>
      </c>
      <c r="P123" s="904">
        <f t="shared" si="262"/>
        <v>85666</v>
      </c>
      <c r="Q123" s="906">
        <f t="shared" si="262"/>
        <v>85666</v>
      </c>
      <c r="R123" s="906">
        <f t="shared" si="262"/>
        <v>0</v>
      </c>
      <c r="S123" s="904">
        <f t="shared" si="262"/>
        <v>0</v>
      </c>
      <c r="T123" s="906">
        <f t="shared" si="262"/>
        <v>0</v>
      </c>
      <c r="U123" s="906">
        <f t="shared" si="262"/>
        <v>0</v>
      </c>
      <c r="V123" s="904">
        <f t="shared" si="262"/>
        <v>0</v>
      </c>
      <c r="W123" s="906">
        <f t="shared" si="262"/>
        <v>0</v>
      </c>
      <c r="X123" s="906">
        <f t="shared" si="262"/>
        <v>0</v>
      </c>
    </row>
    <row r="124" spans="1:24" ht="14.25" customHeight="1">
      <c r="A124" s="917"/>
      <c r="B124" s="920"/>
      <c r="C124" s="923"/>
      <c r="D124" s="926"/>
      <c r="E124" s="929"/>
      <c r="F124" s="929"/>
      <c r="G124" s="929"/>
      <c r="H124" s="286" t="s">
        <v>408</v>
      </c>
      <c r="I124" s="286" t="s">
        <v>408</v>
      </c>
      <c r="J124" s="909"/>
      <c r="K124" s="905"/>
      <c r="L124" s="905"/>
      <c r="M124" s="907"/>
      <c r="N124" s="907"/>
      <c r="O124" s="905"/>
      <c r="P124" s="905"/>
      <c r="Q124" s="907"/>
      <c r="R124" s="907"/>
      <c r="S124" s="905"/>
      <c r="T124" s="907"/>
      <c r="U124" s="907"/>
      <c r="V124" s="905"/>
      <c r="W124" s="907"/>
      <c r="X124" s="907"/>
    </row>
    <row r="125" spans="1:24" ht="14.85" customHeight="1">
      <c r="A125" s="910">
        <v>10</v>
      </c>
      <c r="B125" s="911" t="s">
        <v>741</v>
      </c>
      <c r="C125" s="912" t="s">
        <v>739</v>
      </c>
      <c r="D125" s="913" t="s">
        <v>742</v>
      </c>
      <c r="E125" s="914" t="s">
        <v>411</v>
      </c>
      <c r="F125" s="914" t="s">
        <v>737</v>
      </c>
      <c r="G125" s="914" t="s">
        <v>691</v>
      </c>
      <c r="H125" s="286" t="s">
        <v>408</v>
      </c>
      <c r="I125" s="286" t="s">
        <v>408</v>
      </c>
      <c r="J125" s="908" t="s">
        <v>0</v>
      </c>
      <c r="K125" s="904">
        <f t="shared" ref="K125" si="263">L125+O125</f>
        <v>1935192</v>
      </c>
      <c r="L125" s="904">
        <f t="shared" ref="L125" si="264">M125+N125</f>
        <v>0</v>
      </c>
      <c r="M125" s="906">
        <v>0</v>
      </c>
      <c r="N125" s="906">
        <v>0</v>
      </c>
      <c r="O125" s="904">
        <f t="shared" ref="O125" si="265">P125+S125+V125</f>
        <v>1935192</v>
      </c>
      <c r="P125" s="904">
        <f t="shared" ref="P125" si="266">Q125+R125</f>
        <v>1935192</v>
      </c>
      <c r="Q125" s="906">
        <v>1923432</v>
      </c>
      <c r="R125" s="906">
        <v>11760</v>
      </c>
      <c r="S125" s="904">
        <f t="shared" ref="S125" si="267">T125+U125</f>
        <v>0</v>
      </c>
      <c r="T125" s="906">
        <v>0</v>
      </c>
      <c r="U125" s="906">
        <v>0</v>
      </c>
      <c r="V125" s="904">
        <f t="shared" ref="V125" si="268">W125+X125</f>
        <v>0</v>
      </c>
      <c r="W125" s="906">
        <v>0</v>
      </c>
      <c r="X125" s="906">
        <v>0</v>
      </c>
    </row>
    <row r="126" spans="1:24" ht="14.85" customHeight="1">
      <c r="A126" s="910"/>
      <c r="B126" s="911"/>
      <c r="C126" s="912"/>
      <c r="D126" s="913"/>
      <c r="E126" s="914"/>
      <c r="F126" s="914"/>
      <c r="G126" s="914"/>
      <c r="H126" s="286" t="s">
        <v>408</v>
      </c>
      <c r="I126" s="286" t="s">
        <v>408</v>
      </c>
      <c r="J126" s="909"/>
      <c r="K126" s="905"/>
      <c r="L126" s="905"/>
      <c r="M126" s="907"/>
      <c r="N126" s="907"/>
      <c r="O126" s="905"/>
      <c r="P126" s="905"/>
      <c r="Q126" s="907"/>
      <c r="R126" s="907"/>
      <c r="S126" s="905"/>
      <c r="T126" s="907"/>
      <c r="U126" s="907"/>
      <c r="V126" s="905"/>
      <c r="W126" s="907"/>
      <c r="X126" s="907"/>
    </row>
    <row r="127" spans="1:24" ht="14.85" customHeight="1">
      <c r="A127" s="910"/>
      <c r="B127" s="911"/>
      <c r="C127" s="912"/>
      <c r="D127" s="913"/>
      <c r="E127" s="914"/>
      <c r="F127" s="914"/>
      <c r="G127" s="914"/>
      <c r="H127" s="286" t="s">
        <v>408</v>
      </c>
      <c r="I127" s="286" t="s">
        <v>408</v>
      </c>
      <c r="J127" s="286" t="s">
        <v>1</v>
      </c>
      <c r="K127" s="288">
        <f t="shared" ref="K127" si="269">L127+O127</f>
        <v>-1527048</v>
      </c>
      <c r="L127" s="288">
        <f t="shared" ref="L127" si="270">M127+N127</f>
        <v>0</v>
      </c>
      <c r="M127" s="289">
        <v>0</v>
      </c>
      <c r="N127" s="289">
        <v>0</v>
      </c>
      <c r="O127" s="288">
        <f t="shared" ref="O127" si="271">P127+S127+V127</f>
        <v>-1527048</v>
      </c>
      <c r="P127" s="288">
        <f t="shared" ref="P127" si="272">Q127+R127</f>
        <v>-1527048</v>
      </c>
      <c r="Q127" s="289">
        <v>-1527048</v>
      </c>
      <c r="R127" s="289">
        <v>0</v>
      </c>
      <c r="S127" s="288">
        <f t="shared" ref="S127" si="273">T127+U127</f>
        <v>0</v>
      </c>
      <c r="T127" s="289">
        <v>0</v>
      </c>
      <c r="U127" s="289">
        <v>0</v>
      </c>
      <c r="V127" s="288">
        <f t="shared" ref="V127" si="274">W127+X127</f>
        <v>0</v>
      </c>
      <c r="W127" s="289">
        <v>0</v>
      </c>
      <c r="X127" s="289">
        <v>0</v>
      </c>
    </row>
    <row r="128" spans="1:24" ht="14.85" customHeight="1">
      <c r="A128" s="910"/>
      <c r="B128" s="911"/>
      <c r="C128" s="912"/>
      <c r="D128" s="913"/>
      <c r="E128" s="914"/>
      <c r="F128" s="914"/>
      <c r="G128" s="914"/>
      <c r="H128" s="286" t="s">
        <v>408</v>
      </c>
      <c r="I128" s="286" t="s">
        <v>408</v>
      </c>
      <c r="J128" s="908" t="s">
        <v>2</v>
      </c>
      <c r="K128" s="904">
        <f t="shared" ref="K128:X128" si="275">K125+K127</f>
        <v>408144</v>
      </c>
      <c r="L128" s="904">
        <f t="shared" si="275"/>
        <v>0</v>
      </c>
      <c r="M128" s="906">
        <f t="shared" si="275"/>
        <v>0</v>
      </c>
      <c r="N128" s="906">
        <f t="shared" si="275"/>
        <v>0</v>
      </c>
      <c r="O128" s="904">
        <f t="shared" si="275"/>
        <v>408144</v>
      </c>
      <c r="P128" s="904">
        <f t="shared" si="275"/>
        <v>408144</v>
      </c>
      <c r="Q128" s="906">
        <f t="shared" si="275"/>
        <v>396384</v>
      </c>
      <c r="R128" s="906">
        <f t="shared" si="275"/>
        <v>11760</v>
      </c>
      <c r="S128" s="904">
        <f t="shared" si="275"/>
        <v>0</v>
      </c>
      <c r="T128" s="906">
        <f t="shared" si="275"/>
        <v>0</v>
      </c>
      <c r="U128" s="906">
        <f t="shared" si="275"/>
        <v>0</v>
      </c>
      <c r="V128" s="904">
        <f t="shared" si="275"/>
        <v>0</v>
      </c>
      <c r="W128" s="906">
        <f t="shared" si="275"/>
        <v>0</v>
      </c>
      <c r="X128" s="906">
        <f t="shared" si="275"/>
        <v>0</v>
      </c>
    </row>
    <row r="129" spans="1:24" ht="14.85" customHeight="1">
      <c r="A129" s="910"/>
      <c r="B129" s="911"/>
      <c r="C129" s="912"/>
      <c r="D129" s="913"/>
      <c r="E129" s="914"/>
      <c r="F129" s="914"/>
      <c r="G129" s="914"/>
      <c r="H129" s="286" t="s">
        <v>408</v>
      </c>
      <c r="I129" s="286" t="s">
        <v>408</v>
      </c>
      <c r="J129" s="909"/>
      <c r="K129" s="905"/>
      <c r="L129" s="905"/>
      <c r="M129" s="907"/>
      <c r="N129" s="907"/>
      <c r="O129" s="905"/>
      <c r="P129" s="905"/>
      <c r="Q129" s="907"/>
      <c r="R129" s="907"/>
      <c r="S129" s="905"/>
      <c r="T129" s="907"/>
      <c r="U129" s="907"/>
      <c r="V129" s="905"/>
      <c r="W129" s="907"/>
      <c r="X129" s="907"/>
    </row>
    <row r="130" spans="1:24" ht="14.25" hidden="1" customHeight="1">
      <c r="A130" s="910">
        <v>14</v>
      </c>
      <c r="B130" s="911" t="s">
        <v>743</v>
      </c>
      <c r="C130" s="912" t="s">
        <v>744</v>
      </c>
      <c r="D130" s="913" t="s">
        <v>745</v>
      </c>
      <c r="E130" s="914" t="s">
        <v>411</v>
      </c>
      <c r="F130" s="914" t="s">
        <v>746</v>
      </c>
      <c r="G130" s="914" t="s">
        <v>691</v>
      </c>
      <c r="H130" s="286" t="s">
        <v>408</v>
      </c>
      <c r="I130" s="286" t="s">
        <v>408</v>
      </c>
      <c r="J130" s="908" t="s">
        <v>0</v>
      </c>
      <c r="K130" s="904">
        <f t="shared" ref="K130" si="276">L130+O130</f>
        <v>39599</v>
      </c>
      <c r="L130" s="904">
        <f t="shared" ref="L130" si="277">M130+N130</f>
        <v>0</v>
      </c>
      <c r="M130" s="906">
        <v>0</v>
      </c>
      <c r="N130" s="906">
        <v>0</v>
      </c>
      <c r="O130" s="904">
        <f t="shared" ref="O130" si="278">P130+S130+V130</f>
        <v>39599</v>
      </c>
      <c r="P130" s="904">
        <f t="shared" ref="P130" si="279">Q130+R130</f>
        <v>39599</v>
      </c>
      <c r="Q130" s="906">
        <v>39599</v>
      </c>
      <c r="R130" s="906">
        <v>0</v>
      </c>
      <c r="S130" s="904">
        <f t="shared" ref="S130" si="280">T130+U130</f>
        <v>0</v>
      </c>
      <c r="T130" s="906">
        <v>0</v>
      </c>
      <c r="U130" s="906">
        <v>0</v>
      </c>
      <c r="V130" s="904">
        <f t="shared" ref="V130" si="281">W130+X130</f>
        <v>0</v>
      </c>
      <c r="W130" s="906">
        <v>0</v>
      </c>
      <c r="X130" s="906">
        <v>0</v>
      </c>
    </row>
    <row r="131" spans="1:24" ht="14.25" hidden="1" customHeight="1">
      <c r="A131" s="910"/>
      <c r="B131" s="911"/>
      <c r="C131" s="912"/>
      <c r="D131" s="913"/>
      <c r="E131" s="914"/>
      <c r="F131" s="914"/>
      <c r="G131" s="914"/>
      <c r="H131" s="286" t="s">
        <v>408</v>
      </c>
      <c r="I131" s="286" t="s">
        <v>408</v>
      </c>
      <c r="J131" s="909"/>
      <c r="K131" s="905"/>
      <c r="L131" s="905"/>
      <c r="M131" s="907"/>
      <c r="N131" s="907"/>
      <c r="O131" s="905"/>
      <c r="P131" s="905"/>
      <c r="Q131" s="907"/>
      <c r="R131" s="907"/>
      <c r="S131" s="905"/>
      <c r="T131" s="907"/>
      <c r="U131" s="907"/>
      <c r="V131" s="905"/>
      <c r="W131" s="907"/>
      <c r="X131" s="907"/>
    </row>
    <row r="132" spans="1:24" ht="14.25" hidden="1" customHeight="1">
      <c r="A132" s="910"/>
      <c r="B132" s="911"/>
      <c r="C132" s="912"/>
      <c r="D132" s="913"/>
      <c r="E132" s="914"/>
      <c r="F132" s="914"/>
      <c r="G132" s="914"/>
      <c r="H132" s="286" t="s">
        <v>408</v>
      </c>
      <c r="I132" s="286" t="s">
        <v>408</v>
      </c>
      <c r="J132" s="286" t="s">
        <v>1</v>
      </c>
      <c r="K132" s="288">
        <f t="shared" ref="K132" si="282">L132+O132</f>
        <v>0</v>
      </c>
      <c r="L132" s="288">
        <f t="shared" ref="L132" si="283">M132+N132</f>
        <v>0</v>
      </c>
      <c r="M132" s="289">
        <v>0</v>
      </c>
      <c r="N132" s="289">
        <v>0</v>
      </c>
      <c r="O132" s="288">
        <f t="shared" ref="O132" si="284">P132+S132+V132</f>
        <v>0</v>
      </c>
      <c r="P132" s="288">
        <f t="shared" ref="P132" si="285">Q132+R132</f>
        <v>0</v>
      </c>
      <c r="Q132" s="289">
        <v>0</v>
      </c>
      <c r="R132" s="289">
        <v>0</v>
      </c>
      <c r="S132" s="288">
        <f t="shared" ref="S132" si="286">T132+U132</f>
        <v>0</v>
      </c>
      <c r="T132" s="289">
        <v>0</v>
      </c>
      <c r="U132" s="289">
        <v>0</v>
      </c>
      <c r="V132" s="288">
        <f t="shared" ref="V132" si="287">W132+X132</f>
        <v>0</v>
      </c>
      <c r="W132" s="289">
        <v>0</v>
      </c>
      <c r="X132" s="289">
        <v>0</v>
      </c>
    </row>
    <row r="133" spans="1:24" ht="14.25" hidden="1" customHeight="1">
      <c r="A133" s="910"/>
      <c r="B133" s="911"/>
      <c r="C133" s="912"/>
      <c r="D133" s="913"/>
      <c r="E133" s="914"/>
      <c r="F133" s="914"/>
      <c r="G133" s="914"/>
      <c r="H133" s="286" t="s">
        <v>408</v>
      </c>
      <c r="I133" s="286" t="s">
        <v>408</v>
      </c>
      <c r="J133" s="908" t="s">
        <v>2</v>
      </c>
      <c r="K133" s="904">
        <f t="shared" ref="K133:X133" si="288">K130+K132</f>
        <v>39599</v>
      </c>
      <c r="L133" s="904">
        <f t="shared" si="288"/>
        <v>0</v>
      </c>
      <c r="M133" s="906">
        <f t="shared" si="288"/>
        <v>0</v>
      </c>
      <c r="N133" s="906">
        <f t="shared" si="288"/>
        <v>0</v>
      </c>
      <c r="O133" s="904">
        <f t="shared" si="288"/>
        <v>39599</v>
      </c>
      <c r="P133" s="904">
        <f t="shared" si="288"/>
        <v>39599</v>
      </c>
      <c r="Q133" s="906">
        <f t="shared" si="288"/>
        <v>39599</v>
      </c>
      <c r="R133" s="906">
        <f t="shared" si="288"/>
        <v>0</v>
      </c>
      <c r="S133" s="904">
        <f t="shared" si="288"/>
        <v>0</v>
      </c>
      <c r="T133" s="906">
        <f t="shared" si="288"/>
        <v>0</v>
      </c>
      <c r="U133" s="906">
        <f t="shared" si="288"/>
        <v>0</v>
      </c>
      <c r="V133" s="904">
        <f t="shared" si="288"/>
        <v>0</v>
      </c>
      <c r="W133" s="906">
        <f t="shared" si="288"/>
        <v>0</v>
      </c>
      <c r="X133" s="906">
        <f t="shared" si="288"/>
        <v>0</v>
      </c>
    </row>
    <row r="134" spans="1:24" ht="14.25" hidden="1" customHeight="1">
      <c r="A134" s="910"/>
      <c r="B134" s="911"/>
      <c r="C134" s="912"/>
      <c r="D134" s="913"/>
      <c r="E134" s="914"/>
      <c r="F134" s="914"/>
      <c r="G134" s="914"/>
      <c r="H134" s="286" t="s">
        <v>408</v>
      </c>
      <c r="I134" s="286" t="s">
        <v>408</v>
      </c>
      <c r="J134" s="909"/>
      <c r="K134" s="905"/>
      <c r="L134" s="905"/>
      <c r="M134" s="907"/>
      <c r="N134" s="907"/>
      <c r="O134" s="905"/>
      <c r="P134" s="905"/>
      <c r="Q134" s="907"/>
      <c r="R134" s="907"/>
      <c r="S134" s="905"/>
      <c r="T134" s="907"/>
      <c r="U134" s="907"/>
      <c r="V134" s="905"/>
      <c r="W134" s="907"/>
      <c r="X134" s="907"/>
    </row>
    <row r="135" spans="1:24" ht="14.85" hidden="1" customHeight="1">
      <c r="A135" s="910">
        <v>15</v>
      </c>
      <c r="B135" s="911" t="s">
        <v>747</v>
      </c>
      <c r="C135" s="912" t="s">
        <v>748</v>
      </c>
      <c r="D135" s="913" t="s">
        <v>749</v>
      </c>
      <c r="E135" s="914" t="s">
        <v>411</v>
      </c>
      <c r="F135" s="914" t="s">
        <v>750</v>
      </c>
      <c r="G135" s="914" t="s">
        <v>691</v>
      </c>
      <c r="H135" s="286" t="s">
        <v>408</v>
      </c>
      <c r="I135" s="286" t="s">
        <v>408</v>
      </c>
      <c r="J135" s="908" t="s">
        <v>0</v>
      </c>
      <c r="K135" s="904">
        <f t="shared" ref="K135" si="289">L135+O135</f>
        <v>82372</v>
      </c>
      <c r="L135" s="904">
        <f t="shared" ref="L135" si="290">M135+N135</f>
        <v>0</v>
      </c>
      <c r="M135" s="906">
        <v>0</v>
      </c>
      <c r="N135" s="906">
        <v>0</v>
      </c>
      <c r="O135" s="904">
        <f t="shared" ref="O135" si="291">P135+S135+V135</f>
        <v>82372</v>
      </c>
      <c r="P135" s="904">
        <f t="shared" ref="P135" si="292">Q135+R135</f>
        <v>82372</v>
      </c>
      <c r="Q135" s="906">
        <v>82372</v>
      </c>
      <c r="R135" s="906">
        <v>0</v>
      </c>
      <c r="S135" s="904">
        <f t="shared" ref="S135" si="293">T135+U135</f>
        <v>0</v>
      </c>
      <c r="T135" s="906">
        <v>0</v>
      </c>
      <c r="U135" s="906">
        <v>0</v>
      </c>
      <c r="V135" s="904">
        <f t="shared" ref="V135" si="294">W135+X135</f>
        <v>0</v>
      </c>
      <c r="W135" s="906">
        <v>0</v>
      </c>
      <c r="X135" s="906">
        <v>0</v>
      </c>
    </row>
    <row r="136" spans="1:24" ht="14.85" hidden="1" customHeight="1">
      <c r="A136" s="910"/>
      <c r="B136" s="911"/>
      <c r="C136" s="912"/>
      <c r="D136" s="913"/>
      <c r="E136" s="914"/>
      <c r="F136" s="914"/>
      <c r="G136" s="914"/>
      <c r="H136" s="286" t="s">
        <v>408</v>
      </c>
      <c r="I136" s="286" t="s">
        <v>408</v>
      </c>
      <c r="J136" s="909"/>
      <c r="K136" s="905"/>
      <c r="L136" s="905"/>
      <c r="M136" s="907"/>
      <c r="N136" s="907"/>
      <c r="O136" s="905"/>
      <c r="P136" s="905"/>
      <c r="Q136" s="907"/>
      <c r="R136" s="907"/>
      <c r="S136" s="905"/>
      <c r="T136" s="907"/>
      <c r="U136" s="907"/>
      <c r="V136" s="905"/>
      <c r="W136" s="907"/>
      <c r="X136" s="907"/>
    </row>
    <row r="137" spans="1:24" ht="14.85" hidden="1" customHeight="1">
      <c r="A137" s="910"/>
      <c r="B137" s="911"/>
      <c r="C137" s="912"/>
      <c r="D137" s="913"/>
      <c r="E137" s="914"/>
      <c r="F137" s="914"/>
      <c r="G137" s="914"/>
      <c r="H137" s="286" t="s">
        <v>408</v>
      </c>
      <c r="I137" s="286" t="s">
        <v>408</v>
      </c>
      <c r="J137" s="286" t="s">
        <v>1</v>
      </c>
      <c r="K137" s="288">
        <f t="shared" ref="K137" si="295">L137+O137</f>
        <v>0</v>
      </c>
      <c r="L137" s="288">
        <f t="shared" ref="L137" si="296">M137+N137</f>
        <v>0</v>
      </c>
      <c r="M137" s="289">
        <v>0</v>
      </c>
      <c r="N137" s="289">
        <v>0</v>
      </c>
      <c r="O137" s="288">
        <f t="shared" ref="O137" si="297">P137+S137+V137</f>
        <v>0</v>
      </c>
      <c r="P137" s="288">
        <f t="shared" ref="P137" si="298">Q137+R137</f>
        <v>0</v>
      </c>
      <c r="Q137" s="289">
        <v>0</v>
      </c>
      <c r="R137" s="289">
        <v>0</v>
      </c>
      <c r="S137" s="288">
        <f t="shared" ref="S137" si="299">T137+U137</f>
        <v>0</v>
      </c>
      <c r="T137" s="289">
        <v>0</v>
      </c>
      <c r="U137" s="289">
        <v>0</v>
      </c>
      <c r="V137" s="288">
        <f t="shared" ref="V137" si="300">W137+X137</f>
        <v>0</v>
      </c>
      <c r="W137" s="289">
        <v>0</v>
      </c>
      <c r="X137" s="289">
        <v>0</v>
      </c>
    </row>
    <row r="138" spans="1:24" ht="14.85" hidden="1" customHeight="1">
      <c r="A138" s="910"/>
      <c r="B138" s="911"/>
      <c r="C138" s="912"/>
      <c r="D138" s="913"/>
      <c r="E138" s="914"/>
      <c r="F138" s="914"/>
      <c r="G138" s="914"/>
      <c r="H138" s="286" t="s">
        <v>408</v>
      </c>
      <c r="I138" s="286" t="s">
        <v>408</v>
      </c>
      <c r="J138" s="908" t="s">
        <v>2</v>
      </c>
      <c r="K138" s="904">
        <f t="shared" ref="K138:X138" si="301">K135+K137</f>
        <v>82372</v>
      </c>
      <c r="L138" s="904">
        <f t="shared" si="301"/>
        <v>0</v>
      </c>
      <c r="M138" s="906">
        <f t="shared" si="301"/>
        <v>0</v>
      </c>
      <c r="N138" s="906">
        <f t="shared" si="301"/>
        <v>0</v>
      </c>
      <c r="O138" s="904">
        <f t="shared" si="301"/>
        <v>82372</v>
      </c>
      <c r="P138" s="904">
        <f t="shared" si="301"/>
        <v>82372</v>
      </c>
      <c r="Q138" s="906">
        <f t="shared" si="301"/>
        <v>82372</v>
      </c>
      <c r="R138" s="906">
        <f t="shared" si="301"/>
        <v>0</v>
      </c>
      <c r="S138" s="904">
        <f t="shared" si="301"/>
        <v>0</v>
      </c>
      <c r="T138" s="906">
        <f t="shared" si="301"/>
        <v>0</v>
      </c>
      <c r="U138" s="906">
        <f t="shared" si="301"/>
        <v>0</v>
      </c>
      <c r="V138" s="904">
        <f t="shared" si="301"/>
        <v>0</v>
      </c>
      <c r="W138" s="906">
        <f t="shared" si="301"/>
        <v>0</v>
      </c>
      <c r="X138" s="906">
        <f t="shared" si="301"/>
        <v>0</v>
      </c>
    </row>
    <row r="139" spans="1:24" ht="14.85" hidden="1" customHeight="1">
      <c r="A139" s="910"/>
      <c r="B139" s="911"/>
      <c r="C139" s="912"/>
      <c r="D139" s="913"/>
      <c r="E139" s="914"/>
      <c r="F139" s="914"/>
      <c r="G139" s="914"/>
      <c r="H139" s="286" t="s">
        <v>408</v>
      </c>
      <c r="I139" s="286" t="s">
        <v>408</v>
      </c>
      <c r="J139" s="909"/>
      <c r="K139" s="905"/>
      <c r="L139" s="905"/>
      <c r="M139" s="907"/>
      <c r="N139" s="907"/>
      <c r="O139" s="905"/>
      <c r="P139" s="905"/>
      <c r="Q139" s="907"/>
      <c r="R139" s="907"/>
      <c r="S139" s="905"/>
      <c r="T139" s="907"/>
      <c r="U139" s="907"/>
      <c r="V139" s="905"/>
      <c r="W139" s="907"/>
      <c r="X139" s="907"/>
    </row>
    <row r="140" spans="1:24" ht="15.75" customHeight="1">
      <c r="A140" s="910">
        <v>11</v>
      </c>
      <c r="B140" s="911" t="s">
        <v>751</v>
      </c>
      <c r="C140" s="912" t="s">
        <v>752</v>
      </c>
      <c r="D140" s="913" t="s">
        <v>753</v>
      </c>
      <c r="E140" s="914" t="s">
        <v>411</v>
      </c>
      <c r="F140" s="914" t="s">
        <v>750</v>
      </c>
      <c r="G140" s="914" t="s">
        <v>691</v>
      </c>
      <c r="H140" s="286" t="s">
        <v>408</v>
      </c>
      <c r="I140" s="286" t="s">
        <v>408</v>
      </c>
      <c r="J140" s="908" t="s">
        <v>0</v>
      </c>
      <c r="K140" s="904">
        <f t="shared" ref="K140" si="302">L140+O140</f>
        <v>34468</v>
      </c>
      <c r="L140" s="904">
        <f t="shared" ref="L140" si="303">M140+N140</f>
        <v>0</v>
      </c>
      <c r="M140" s="906">
        <v>0</v>
      </c>
      <c r="N140" s="906">
        <v>0</v>
      </c>
      <c r="O140" s="904">
        <f t="shared" ref="O140" si="304">P140+S140+V140</f>
        <v>34468</v>
      </c>
      <c r="P140" s="904">
        <f t="shared" ref="P140" si="305">Q140+R140</f>
        <v>34468</v>
      </c>
      <c r="Q140" s="906">
        <v>34468</v>
      </c>
      <c r="R140" s="906">
        <v>0</v>
      </c>
      <c r="S140" s="904">
        <f t="shared" ref="S140" si="306">T140+U140</f>
        <v>0</v>
      </c>
      <c r="T140" s="906">
        <v>0</v>
      </c>
      <c r="U140" s="906">
        <v>0</v>
      </c>
      <c r="V140" s="904">
        <f t="shared" ref="V140" si="307">W140+X140</f>
        <v>0</v>
      </c>
      <c r="W140" s="906">
        <v>0</v>
      </c>
      <c r="X140" s="906">
        <v>0</v>
      </c>
    </row>
    <row r="141" spans="1:24" ht="15.75" customHeight="1">
      <c r="A141" s="910"/>
      <c r="B141" s="911"/>
      <c r="C141" s="912"/>
      <c r="D141" s="913"/>
      <c r="E141" s="914"/>
      <c r="F141" s="914"/>
      <c r="G141" s="914"/>
      <c r="H141" s="286" t="s">
        <v>408</v>
      </c>
      <c r="I141" s="286" t="s">
        <v>408</v>
      </c>
      <c r="J141" s="909"/>
      <c r="K141" s="905"/>
      <c r="L141" s="905"/>
      <c r="M141" s="907"/>
      <c r="N141" s="907"/>
      <c r="O141" s="905"/>
      <c r="P141" s="905"/>
      <c r="Q141" s="907"/>
      <c r="R141" s="907"/>
      <c r="S141" s="905"/>
      <c r="T141" s="907"/>
      <c r="U141" s="907"/>
      <c r="V141" s="905"/>
      <c r="W141" s="907"/>
      <c r="X141" s="907"/>
    </row>
    <row r="142" spans="1:24" ht="15.75" customHeight="1">
      <c r="A142" s="910"/>
      <c r="B142" s="911"/>
      <c r="C142" s="912"/>
      <c r="D142" s="913"/>
      <c r="E142" s="914"/>
      <c r="F142" s="914"/>
      <c r="G142" s="914"/>
      <c r="H142" s="286" t="s">
        <v>408</v>
      </c>
      <c r="I142" s="286" t="s">
        <v>408</v>
      </c>
      <c r="J142" s="286" t="s">
        <v>1</v>
      </c>
      <c r="K142" s="288">
        <f t="shared" ref="K142" si="308">L142+O142</f>
        <v>-30733</v>
      </c>
      <c r="L142" s="288">
        <f t="shared" ref="L142" si="309">M142+N142</f>
        <v>0</v>
      </c>
      <c r="M142" s="289">
        <v>0</v>
      </c>
      <c r="N142" s="289">
        <v>0</v>
      </c>
      <c r="O142" s="288">
        <f t="shared" ref="O142" si="310">P142+S142+V142</f>
        <v>-30733</v>
      </c>
      <c r="P142" s="288">
        <f t="shared" ref="P142" si="311">Q142+R142</f>
        <v>-30733</v>
      </c>
      <c r="Q142" s="289">
        <v>-30733</v>
      </c>
      <c r="R142" s="289">
        <v>0</v>
      </c>
      <c r="S142" s="288">
        <f t="shared" ref="S142" si="312">T142+U142</f>
        <v>0</v>
      </c>
      <c r="T142" s="289">
        <v>0</v>
      </c>
      <c r="U142" s="289">
        <v>0</v>
      </c>
      <c r="V142" s="288">
        <f t="shared" ref="V142" si="313">W142+X142</f>
        <v>0</v>
      </c>
      <c r="W142" s="289">
        <v>0</v>
      </c>
      <c r="X142" s="289">
        <v>0</v>
      </c>
    </row>
    <row r="143" spans="1:24" ht="15.75" customHeight="1">
      <c r="A143" s="910"/>
      <c r="B143" s="911"/>
      <c r="C143" s="912"/>
      <c r="D143" s="913"/>
      <c r="E143" s="914"/>
      <c r="F143" s="914"/>
      <c r="G143" s="914"/>
      <c r="H143" s="286" t="s">
        <v>408</v>
      </c>
      <c r="I143" s="286" t="s">
        <v>408</v>
      </c>
      <c r="J143" s="908" t="s">
        <v>2</v>
      </c>
      <c r="K143" s="904">
        <f t="shared" ref="K143:X143" si="314">K140+K142</f>
        <v>3735</v>
      </c>
      <c r="L143" s="904">
        <f t="shared" si="314"/>
        <v>0</v>
      </c>
      <c r="M143" s="906">
        <f t="shared" si="314"/>
        <v>0</v>
      </c>
      <c r="N143" s="906">
        <f t="shared" si="314"/>
        <v>0</v>
      </c>
      <c r="O143" s="904">
        <f t="shared" si="314"/>
        <v>3735</v>
      </c>
      <c r="P143" s="904">
        <f t="shared" si="314"/>
        <v>3735</v>
      </c>
      <c r="Q143" s="906">
        <f t="shared" si="314"/>
        <v>3735</v>
      </c>
      <c r="R143" s="906">
        <f t="shared" si="314"/>
        <v>0</v>
      </c>
      <c r="S143" s="904">
        <f t="shared" si="314"/>
        <v>0</v>
      </c>
      <c r="T143" s="906">
        <f t="shared" si="314"/>
        <v>0</v>
      </c>
      <c r="U143" s="906">
        <f t="shared" si="314"/>
        <v>0</v>
      </c>
      <c r="V143" s="904">
        <f t="shared" si="314"/>
        <v>0</v>
      </c>
      <c r="W143" s="906">
        <f t="shared" si="314"/>
        <v>0</v>
      </c>
      <c r="X143" s="906">
        <f t="shared" si="314"/>
        <v>0</v>
      </c>
    </row>
    <row r="144" spans="1:24" ht="15.75" customHeight="1">
      <c r="A144" s="910"/>
      <c r="B144" s="911"/>
      <c r="C144" s="912"/>
      <c r="D144" s="913"/>
      <c r="E144" s="914"/>
      <c r="F144" s="914"/>
      <c r="G144" s="914"/>
      <c r="H144" s="286" t="s">
        <v>408</v>
      </c>
      <c r="I144" s="286" t="s">
        <v>408</v>
      </c>
      <c r="J144" s="909"/>
      <c r="K144" s="905"/>
      <c r="L144" s="905"/>
      <c r="M144" s="907"/>
      <c r="N144" s="907"/>
      <c r="O144" s="905"/>
      <c r="P144" s="905"/>
      <c r="Q144" s="907"/>
      <c r="R144" s="907"/>
      <c r="S144" s="905"/>
      <c r="T144" s="907"/>
      <c r="U144" s="907"/>
      <c r="V144" s="905"/>
      <c r="W144" s="907"/>
      <c r="X144" s="907"/>
    </row>
    <row r="145" spans="1:24" ht="15.75" hidden="1" customHeight="1">
      <c r="A145" s="910">
        <v>10</v>
      </c>
      <c r="B145" s="911" t="s">
        <v>754</v>
      </c>
      <c r="C145" s="912" t="s">
        <v>752</v>
      </c>
      <c r="D145" s="913" t="s">
        <v>755</v>
      </c>
      <c r="E145" s="914" t="s">
        <v>411</v>
      </c>
      <c r="F145" s="914" t="s">
        <v>756</v>
      </c>
      <c r="G145" s="914" t="s">
        <v>691</v>
      </c>
      <c r="H145" s="286" t="s">
        <v>408</v>
      </c>
      <c r="I145" s="286" t="s">
        <v>408</v>
      </c>
      <c r="J145" s="908" t="s">
        <v>0</v>
      </c>
      <c r="K145" s="904">
        <f t="shared" ref="K145" si="315">L145+O145</f>
        <v>1</v>
      </c>
      <c r="L145" s="904">
        <f t="shared" ref="L145" si="316">M145+N145</f>
        <v>0</v>
      </c>
      <c r="M145" s="906">
        <v>0</v>
      </c>
      <c r="N145" s="906">
        <v>0</v>
      </c>
      <c r="O145" s="904">
        <f t="shared" ref="O145" si="317">P145+S145+V145</f>
        <v>1</v>
      </c>
      <c r="P145" s="904">
        <f t="shared" ref="P145" si="318">Q145+R145</f>
        <v>1</v>
      </c>
      <c r="Q145" s="906">
        <v>1</v>
      </c>
      <c r="R145" s="906">
        <v>0</v>
      </c>
      <c r="S145" s="904">
        <f t="shared" ref="S145" si="319">T145+U145</f>
        <v>0</v>
      </c>
      <c r="T145" s="906">
        <v>0</v>
      </c>
      <c r="U145" s="906">
        <v>0</v>
      </c>
      <c r="V145" s="904">
        <f t="shared" ref="V145" si="320">W145+X145</f>
        <v>0</v>
      </c>
      <c r="W145" s="906">
        <v>0</v>
      </c>
      <c r="X145" s="906">
        <v>0</v>
      </c>
    </row>
    <row r="146" spans="1:24" ht="15.75" hidden="1" customHeight="1">
      <c r="A146" s="910"/>
      <c r="B146" s="911"/>
      <c r="C146" s="912"/>
      <c r="D146" s="913"/>
      <c r="E146" s="914"/>
      <c r="F146" s="914"/>
      <c r="G146" s="914"/>
      <c r="H146" s="286" t="s">
        <v>408</v>
      </c>
      <c r="I146" s="286" t="s">
        <v>408</v>
      </c>
      <c r="J146" s="909"/>
      <c r="K146" s="905"/>
      <c r="L146" s="905"/>
      <c r="M146" s="907"/>
      <c r="N146" s="907"/>
      <c r="O146" s="905"/>
      <c r="P146" s="905"/>
      <c r="Q146" s="907"/>
      <c r="R146" s="907"/>
      <c r="S146" s="905"/>
      <c r="T146" s="907"/>
      <c r="U146" s="907"/>
      <c r="V146" s="905"/>
      <c r="W146" s="907"/>
      <c r="X146" s="907"/>
    </row>
    <row r="147" spans="1:24" ht="15.75" hidden="1" customHeight="1">
      <c r="A147" s="910"/>
      <c r="B147" s="911"/>
      <c r="C147" s="912"/>
      <c r="D147" s="913"/>
      <c r="E147" s="914"/>
      <c r="F147" s="914"/>
      <c r="G147" s="914"/>
      <c r="H147" s="286" t="s">
        <v>408</v>
      </c>
      <c r="I147" s="286" t="s">
        <v>408</v>
      </c>
      <c r="J147" s="286" t="s">
        <v>1</v>
      </c>
      <c r="K147" s="288">
        <f t="shared" ref="K147" si="321">L147+O147</f>
        <v>0</v>
      </c>
      <c r="L147" s="288">
        <f t="shared" ref="L147" si="322">M147+N147</f>
        <v>0</v>
      </c>
      <c r="M147" s="289">
        <v>0</v>
      </c>
      <c r="N147" s="289">
        <v>0</v>
      </c>
      <c r="O147" s="288">
        <f t="shared" ref="O147" si="323">P147+S147+V147</f>
        <v>0</v>
      </c>
      <c r="P147" s="288">
        <f t="shared" ref="P147" si="324">Q147+R147</f>
        <v>0</v>
      </c>
      <c r="Q147" s="289">
        <v>0</v>
      </c>
      <c r="R147" s="289">
        <v>0</v>
      </c>
      <c r="S147" s="288">
        <f t="shared" ref="S147" si="325">T147+U147</f>
        <v>0</v>
      </c>
      <c r="T147" s="289">
        <v>0</v>
      </c>
      <c r="U147" s="289">
        <v>0</v>
      </c>
      <c r="V147" s="288">
        <f t="shared" ref="V147" si="326">W147+X147</f>
        <v>0</v>
      </c>
      <c r="W147" s="289">
        <v>0</v>
      </c>
      <c r="X147" s="289">
        <v>0</v>
      </c>
    </row>
    <row r="148" spans="1:24" ht="15.75" hidden="1" customHeight="1">
      <c r="A148" s="910"/>
      <c r="B148" s="911"/>
      <c r="C148" s="912"/>
      <c r="D148" s="913"/>
      <c r="E148" s="914"/>
      <c r="F148" s="914"/>
      <c r="G148" s="914"/>
      <c r="H148" s="286" t="s">
        <v>408</v>
      </c>
      <c r="I148" s="286" t="s">
        <v>408</v>
      </c>
      <c r="J148" s="908" t="s">
        <v>2</v>
      </c>
      <c r="K148" s="904">
        <f t="shared" ref="K148:X148" si="327">K145+K147</f>
        <v>1</v>
      </c>
      <c r="L148" s="904">
        <f t="shared" si="327"/>
        <v>0</v>
      </c>
      <c r="M148" s="906">
        <f t="shared" si="327"/>
        <v>0</v>
      </c>
      <c r="N148" s="906">
        <f t="shared" si="327"/>
        <v>0</v>
      </c>
      <c r="O148" s="904">
        <f t="shared" si="327"/>
        <v>1</v>
      </c>
      <c r="P148" s="904">
        <f t="shared" si="327"/>
        <v>1</v>
      </c>
      <c r="Q148" s="906">
        <f t="shared" si="327"/>
        <v>1</v>
      </c>
      <c r="R148" s="906">
        <f t="shared" si="327"/>
        <v>0</v>
      </c>
      <c r="S148" s="904">
        <f t="shared" si="327"/>
        <v>0</v>
      </c>
      <c r="T148" s="906">
        <f t="shared" si="327"/>
        <v>0</v>
      </c>
      <c r="U148" s="906">
        <f t="shared" si="327"/>
        <v>0</v>
      </c>
      <c r="V148" s="904">
        <f t="shared" si="327"/>
        <v>0</v>
      </c>
      <c r="W148" s="906">
        <f t="shared" si="327"/>
        <v>0</v>
      </c>
      <c r="X148" s="906">
        <f t="shared" si="327"/>
        <v>0</v>
      </c>
    </row>
    <row r="149" spans="1:24" ht="15.75" hidden="1" customHeight="1">
      <c r="A149" s="910"/>
      <c r="B149" s="911"/>
      <c r="C149" s="912"/>
      <c r="D149" s="913"/>
      <c r="E149" s="914"/>
      <c r="F149" s="914"/>
      <c r="G149" s="914"/>
      <c r="H149" s="286" t="s">
        <v>408</v>
      </c>
      <c r="I149" s="286" t="s">
        <v>408</v>
      </c>
      <c r="J149" s="909"/>
      <c r="K149" s="905"/>
      <c r="L149" s="905"/>
      <c r="M149" s="907"/>
      <c r="N149" s="907"/>
      <c r="O149" s="905"/>
      <c r="P149" s="905"/>
      <c r="Q149" s="907"/>
      <c r="R149" s="907"/>
      <c r="S149" s="905"/>
      <c r="T149" s="907"/>
      <c r="U149" s="907"/>
      <c r="V149" s="905"/>
      <c r="W149" s="907"/>
      <c r="X149" s="907"/>
    </row>
    <row r="150" spans="1:24" s="295" customFormat="1" ht="14.25" customHeight="1">
      <c r="A150" s="903" t="s">
        <v>757</v>
      </c>
      <c r="B150" s="903"/>
      <c r="C150" s="903"/>
      <c r="D150" s="903"/>
      <c r="E150" s="903"/>
      <c r="F150" s="903"/>
      <c r="G150" s="903"/>
      <c r="H150" s="286" t="s">
        <v>408</v>
      </c>
      <c r="I150" s="286" t="s">
        <v>408</v>
      </c>
      <c r="J150" s="898" t="s">
        <v>0</v>
      </c>
      <c r="K150" s="900">
        <f>K50+K55+K65+K70+K75+K80+K95+K100+K105+K110+K115+K120+K125+K130+K135+K140+K145+K90+K85+K60</f>
        <v>9679285</v>
      </c>
      <c r="L150" s="900">
        <f t="shared" ref="L150:X150" si="328">L50+L55+L65+L70+L75+L80+L95+L100+L105+L110+L115+L120+L125+L130+L135+L140+L145+L90+L85+L60</f>
        <v>0</v>
      </c>
      <c r="M150" s="900">
        <f t="shared" si="328"/>
        <v>0</v>
      </c>
      <c r="N150" s="900">
        <f t="shared" si="328"/>
        <v>0</v>
      </c>
      <c r="O150" s="900">
        <f t="shared" si="328"/>
        <v>9679285</v>
      </c>
      <c r="P150" s="900">
        <f t="shared" si="328"/>
        <v>9679285</v>
      </c>
      <c r="Q150" s="900">
        <f t="shared" si="328"/>
        <v>3023537</v>
      </c>
      <c r="R150" s="900">
        <f t="shared" si="328"/>
        <v>6655748</v>
      </c>
      <c r="S150" s="900">
        <f t="shared" si="328"/>
        <v>0</v>
      </c>
      <c r="T150" s="900">
        <f t="shared" si="328"/>
        <v>0</v>
      </c>
      <c r="U150" s="900">
        <f t="shared" si="328"/>
        <v>0</v>
      </c>
      <c r="V150" s="900">
        <f t="shared" si="328"/>
        <v>0</v>
      </c>
      <c r="W150" s="900">
        <f t="shared" si="328"/>
        <v>0</v>
      </c>
      <c r="X150" s="900">
        <f t="shared" si="328"/>
        <v>0</v>
      </c>
    </row>
    <row r="151" spans="1:24" s="296" customFormat="1" ht="13.5" customHeight="1">
      <c r="A151" s="903"/>
      <c r="B151" s="903"/>
      <c r="C151" s="903"/>
      <c r="D151" s="903"/>
      <c r="E151" s="903"/>
      <c r="F151" s="903"/>
      <c r="G151" s="903"/>
      <c r="H151" s="286" t="s">
        <v>408</v>
      </c>
      <c r="I151" s="286" t="s">
        <v>408</v>
      </c>
      <c r="J151" s="899"/>
      <c r="K151" s="901"/>
      <c r="L151" s="901"/>
      <c r="M151" s="901"/>
      <c r="N151" s="901"/>
      <c r="O151" s="901"/>
      <c r="P151" s="901"/>
      <c r="Q151" s="901"/>
      <c r="R151" s="901"/>
      <c r="S151" s="901"/>
      <c r="T151" s="901"/>
      <c r="U151" s="901"/>
      <c r="V151" s="901"/>
      <c r="W151" s="901"/>
      <c r="X151" s="901"/>
    </row>
    <row r="152" spans="1:24" s="296" customFormat="1" ht="13.5" customHeight="1">
      <c r="A152" s="903"/>
      <c r="B152" s="903"/>
      <c r="C152" s="903"/>
      <c r="D152" s="903"/>
      <c r="E152" s="903"/>
      <c r="F152" s="903"/>
      <c r="G152" s="903"/>
      <c r="H152" s="286" t="s">
        <v>408</v>
      </c>
      <c r="I152" s="286" t="s">
        <v>408</v>
      </c>
      <c r="J152" s="292" t="s">
        <v>1</v>
      </c>
      <c r="K152" s="293">
        <f>K52+K57+K67+K72+K77+K82+K97+K102+K107+K112+K117+K122+K127+K132+K137+K142+K147+K92+K87+K62</f>
        <v>3482475</v>
      </c>
      <c r="L152" s="293">
        <f t="shared" ref="L152:X152" si="329">L52+L57+L67+L72+L77+L82+L97+L102+L107+L112+L117+L122+L127+L132+L137+L142+L147+L92+L87+L62</f>
        <v>0</v>
      </c>
      <c r="M152" s="293">
        <f t="shared" si="329"/>
        <v>0</v>
      </c>
      <c r="N152" s="293">
        <f t="shared" si="329"/>
        <v>0</v>
      </c>
      <c r="O152" s="293">
        <f t="shared" si="329"/>
        <v>3482475</v>
      </c>
      <c r="P152" s="293">
        <f t="shared" si="329"/>
        <v>3482475</v>
      </c>
      <c r="Q152" s="293">
        <f t="shared" si="329"/>
        <v>-2173537</v>
      </c>
      <c r="R152" s="293">
        <f t="shared" si="329"/>
        <v>5656012</v>
      </c>
      <c r="S152" s="293">
        <f t="shared" si="329"/>
        <v>0</v>
      </c>
      <c r="T152" s="293">
        <f t="shared" si="329"/>
        <v>0</v>
      </c>
      <c r="U152" s="293">
        <f t="shared" si="329"/>
        <v>0</v>
      </c>
      <c r="V152" s="293">
        <f t="shared" si="329"/>
        <v>0</v>
      </c>
      <c r="W152" s="293">
        <f t="shared" si="329"/>
        <v>0</v>
      </c>
      <c r="X152" s="293">
        <f t="shared" si="329"/>
        <v>0</v>
      </c>
    </row>
    <row r="153" spans="1:24" s="296" customFormat="1" ht="13.5" customHeight="1">
      <c r="A153" s="903"/>
      <c r="B153" s="903"/>
      <c r="C153" s="903"/>
      <c r="D153" s="903"/>
      <c r="E153" s="903"/>
      <c r="F153" s="903"/>
      <c r="G153" s="903"/>
      <c r="H153" s="286" t="s">
        <v>408</v>
      </c>
      <c r="I153" s="286" t="s">
        <v>408</v>
      </c>
      <c r="J153" s="898" t="s">
        <v>2</v>
      </c>
      <c r="K153" s="900">
        <f t="shared" ref="K153:X153" si="330">K150+K152</f>
        <v>13161760</v>
      </c>
      <c r="L153" s="900">
        <f t="shared" si="330"/>
        <v>0</v>
      </c>
      <c r="M153" s="900">
        <f t="shared" si="330"/>
        <v>0</v>
      </c>
      <c r="N153" s="900">
        <f t="shared" si="330"/>
        <v>0</v>
      </c>
      <c r="O153" s="900">
        <f t="shared" si="330"/>
        <v>13161760</v>
      </c>
      <c r="P153" s="900">
        <f t="shared" si="330"/>
        <v>13161760</v>
      </c>
      <c r="Q153" s="900">
        <f t="shared" si="330"/>
        <v>850000</v>
      </c>
      <c r="R153" s="900">
        <f t="shared" si="330"/>
        <v>12311760</v>
      </c>
      <c r="S153" s="900">
        <f t="shared" si="330"/>
        <v>0</v>
      </c>
      <c r="T153" s="900">
        <f t="shared" si="330"/>
        <v>0</v>
      </c>
      <c r="U153" s="900">
        <f t="shared" si="330"/>
        <v>0</v>
      </c>
      <c r="V153" s="900">
        <f t="shared" si="330"/>
        <v>0</v>
      </c>
      <c r="W153" s="900">
        <f t="shared" si="330"/>
        <v>0</v>
      </c>
      <c r="X153" s="900">
        <f t="shared" si="330"/>
        <v>0</v>
      </c>
    </row>
    <row r="154" spans="1:24" s="296" customFormat="1" ht="13.5" customHeight="1">
      <c r="A154" s="903"/>
      <c r="B154" s="903"/>
      <c r="C154" s="903"/>
      <c r="D154" s="903"/>
      <c r="E154" s="903"/>
      <c r="F154" s="903"/>
      <c r="G154" s="903"/>
      <c r="H154" s="286" t="s">
        <v>408</v>
      </c>
      <c r="I154" s="286" t="s">
        <v>408</v>
      </c>
      <c r="J154" s="899"/>
      <c r="K154" s="901"/>
      <c r="L154" s="901"/>
      <c r="M154" s="901"/>
      <c r="N154" s="901"/>
      <c r="O154" s="901"/>
      <c r="P154" s="901"/>
      <c r="Q154" s="901"/>
      <c r="R154" s="901"/>
      <c r="S154" s="901"/>
      <c r="T154" s="901"/>
      <c r="U154" s="901"/>
      <c r="V154" s="901"/>
      <c r="W154" s="901"/>
      <c r="X154" s="901"/>
    </row>
    <row r="155" spans="1:24" s="298" customFormat="1" ht="17.25" customHeight="1">
      <c r="A155" s="902" t="s">
        <v>650</v>
      </c>
      <c r="B155" s="902"/>
      <c r="C155" s="902"/>
      <c r="D155" s="902"/>
      <c r="E155" s="902"/>
      <c r="F155" s="902"/>
      <c r="G155" s="902"/>
      <c r="H155" s="297" t="s">
        <v>408</v>
      </c>
      <c r="I155" s="297" t="s">
        <v>408</v>
      </c>
      <c r="J155" s="898" t="s">
        <v>0</v>
      </c>
      <c r="K155" s="896">
        <f>K150+K42</f>
        <v>14876109</v>
      </c>
      <c r="L155" s="896">
        <f t="shared" ref="L155:X155" si="331">L150+L42</f>
        <v>5196824</v>
      </c>
      <c r="M155" s="896">
        <f t="shared" si="331"/>
        <v>1067858</v>
      </c>
      <c r="N155" s="896">
        <f t="shared" si="331"/>
        <v>4128966</v>
      </c>
      <c r="O155" s="896">
        <f t="shared" si="331"/>
        <v>9679285</v>
      </c>
      <c r="P155" s="896">
        <f t="shared" si="331"/>
        <v>9679285</v>
      </c>
      <c r="Q155" s="896">
        <f t="shared" si="331"/>
        <v>3023537</v>
      </c>
      <c r="R155" s="896">
        <f t="shared" si="331"/>
        <v>6655748</v>
      </c>
      <c r="S155" s="896">
        <f t="shared" si="331"/>
        <v>0</v>
      </c>
      <c r="T155" s="896">
        <f t="shared" si="331"/>
        <v>0</v>
      </c>
      <c r="U155" s="896">
        <f t="shared" si="331"/>
        <v>0</v>
      </c>
      <c r="V155" s="896">
        <f t="shared" si="331"/>
        <v>0</v>
      </c>
      <c r="W155" s="896">
        <f t="shared" si="331"/>
        <v>0</v>
      </c>
      <c r="X155" s="896">
        <f t="shared" si="331"/>
        <v>0</v>
      </c>
    </row>
    <row r="156" spans="1:24" s="299" customFormat="1" ht="17.25" customHeight="1">
      <c r="A156" s="902"/>
      <c r="B156" s="902"/>
      <c r="C156" s="902"/>
      <c r="D156" s="902"/>
      <c r="E156" s="902"/>
      <c r="F156" s="902"/>
      <c r="G156" s="902"/>
      <c r="H156" s="297" t="s">
        <v>408</v>
      </c>
      <c r="I156" s="297" t="s">
        <v>408</v>
      </c>
      <c r="J156" s="899"/>
      <c r="K156" s="897"/>
      <c r="L156" s="897"/>
      <c r="M156" s="897"/>
      <c r="N156" s="897"/>
      <c r="O156" s="897"/>
      <c r="P156" s="897"/>
      <c r="Q156" s="897"/>
      <c r="R156" s="897"/>
      <c r="S156" s="897"/>
      <c r="T156" s="897"/>
      <c r="U156" s="897"/>
      <c r="V156" s="897"/>
      <c r="W156" s="897"/>
      <c r="X156" s="897"/>
    </row>
    <row r="157" spans="1:24" s="299" customFormat="1" ht="17.25" customHeight="1">
      <c r="A157" s="902"/>
      <c r="B157" s="902"/>
      <c r="C157" s="902"/>
      <c r="D157" s="902"/>
      <c r="E157" s="902"/>
      <c r="F157" s="902"/>
      <c r="G157" s="902"/>
      <c r="H157" s="297" t="s">
        <v>408</v>
      </c>
      <c r="I157" s="297" t="s">
        <v>408</v>
      </c>
      <c r="J157" s="292" t="s">
        <v>1</v>
      </c>
      <c r="K157" s="300">
        <f>K152+K44</f>
        <v>3482475</v>
      </c>
      <c r="L157" s="300">
        <f t="shared" ref="L157:X157" si="332">L152+L44</f>
        <v>0</v>
      </c>
      <c r="M157" s="300">
        <f t="shared" si="332"/>
        <v>0</v>
      </c>
      <c r="N157" s="300">
        <f t="shared" si="332"/>
        <v>0</v>
      </c>
      <c r="O157" s="300">
        <f t="shared" si="332"/>
        <v>3482475</v>
      </c>
      <c r="P157" s="300">
        <f t="shared" si="332"/>
        <v>3482475</v>
      </c>
      <c r="Q157" s="300">
        <f t="shared" si="332"/>
        <v>-2173537</v>
      </c>
      <c r="R157" s="300">
        <f t="shared" si="332"/>
        <v>5656012</v>
      </c>
      <c r="S157" s="300">
        <f t="shared" si="332"/>
        <v>0</v>
      </c>
      <c r="T157" s="300">
        <f t="shared" si="332"/>
        <v>0</v>
      </c>
      <c r="U157" s="300">
        <f t="shared" si="332"/>
        <v>0</v>
      </c>
      <c r="V157" s="300">
        <f t="shared" si="332"/>
        <v>0</v>
      </c>
      <c r="W157" s="300">
        <f t="shared" si="332"/>
        <v>0</v>
      </c>
      <c r="X157" s="300">
        <f t="shared" si="332"/>
        <v>0</v>
      </c>
    </row>
    <row r="158" spans="1:24" s="299" customFormat="1" ht="17.25" customHeight="1">
      <c r="A158" s="902"/>
      <c r="B158" s="902"/>
      <c r="C158" s="902"/>
      <c r="D158" s="902"/>
      <c r="E158" s="902"/>
      <c r="F158" s="902"/>
      <c r="G158" s="902"/>
      <c r="H158" s="297" t="s">
        <v>408</v>
      </c>
      <c r="I158" s="297" t="s">
        <v>408</v>
      </c>
      <c r="J158" s="898" t="s">
        <v>2</v>
      </c>
      <c r="K158" s="896">
        <f t="shared" ref="K158:X158" si="333">K155+K157</f>
        <v>18358584</v>
      </c>
      <c r="L158" s="896">
        <f t="shared" si="333"/>
        <v>5196824</v>
      </c>
      <c r="M158" s="896">
        <f t="shared" si="333"/>
        <v>1067858</v>
      </c>
      <c r="N158" s="896">
        <f t="shared" si="333"/>
        <v>4128966</v>
      </c>
      <c r="O158" s="896">
        <f t="shared" si="333"/>
        <v>13161760</v>
      </c>
      <c r="P158" s="896">
        <f t="shared" si="333"/>
        <v>13161760</v>
      </c>
      <c r="Q158" s="896">
        <f t="shared" si="333"/>
        <v>850000</v>
      </c>
      <c r="R158" s="896">
        <f t="shared" si="333"/>
        <v>12311760</v>
      </c>
      <c r="S158" s="896">
        <f t="shared" si="333"/>
        <v>0</v>
      </c>
      <c r="T158" s="896">
        <f t="shared" si="333"/>
        <v>0</v>
      </c>
      <c r="U158" s="896">
        <f t="shared" si="333"/>
        <v>0</v>
      </c>
      <c r="V158" s="896">
        <f t="shared" si="333"/>
        <v>0</v>
      </c>
      <c r="W158" s="896">
        <f t="shared" si="333"/>
        <v>0</v>
      </c>
      <c r="X158" s="896">
        <f t="shared" si="333"/>
        <v>0</v>
      </c>
    </row>
    <row r="159" spans="1:24" s="299" customFormat="1" ht="17.25" customHeight="1">
      <c r="A159" s="902"/>
      <c r="B159" s="902"/>
      <c r="C159" s="902"/>
      <c r="D159" s="902"/>
      <c r="E159" s="902"/>
      <c r="F159" s="902"/>
      <c r="G159" s="902"/>
      <c r="H159" s="297" t="s">
        <v>408</v>
      </c>
      <c r="I159" s="297" t="s">
        <v>408</v>
      </c>
      <c r="J159" s="899"/>
      <c r="K159" s="897"/>
      <c r="L159" s="897"/>
      <c r="M159" s="897"/>
      <c r="N159" s="897"/>
      <c r="O159" s="897"/>
      <c r="P159" s="897"/>
      <c r="Q159" s="897"/>
      <c r="R159" s="897"/>
      <c r="S159" s="897"/>
      <c r="T159" s="897"/>
      <c r="U159" s="897"/>
      <c r="V159" s="897"/>
      <c r="W159" s="897"/>
      <c r="X159" s="897"/>
    </row>
    <row r="160" spans="1:24" ht="3.75" customHeight="1"/>
    <row r="161" spans="1:3" ht="9" customHeight="1">
      <c r="A161" s="301" t="s">
        <v>99</v>
      </c>
      <c r="B161" s="302"/>
      <c r="C161" s="302"/>
    </row>
    <row r="162" spans="1:3" s="305" customFormat="1" ht="12.75">
      <c r="A162" s="304" t="s">
        <v>0</v>
      </c>
      <c r="B162" s="305" t="s">
        <v>758</v>
      </c>
    </row>
    <row r="163" spans="1:3" s="305" customFormat="1" ht="12.75">
      <c r="A163" s="304" t="s">
        <v>1</v>
      </c>
      <c r="B163" s="305" t="s">
        <v>759</v>
      </c>
    </row>
    <row r="164" spans="1:3" s="305" customFormat="1" ht="14.25" customHeight="1">
      <c r="A164" s="304" t="s">
        <v>2</v>
      </c>
      <c r="B164" s="305" t="s">
        <v>760</v>
      </c>
    </row>
  </sheetData>
  <sheetProtection algorithmName="SHA-512" hashValue="wjPBUtb0nVanz24juq6bizUZjEqJUtSQXjI2T6jJ45U9qpxT/PLqve9bJpGve6SzlPt7dC+kHB3PC5mKXI3ZCA==" saltValue="iFvvFNPlJ74yfWFl4Hf/tQ==" spinCount="100000" sheet="1" objects="1" scenarios="1"/>
  <mergeCells count="1056">
    <mergeCell ref="K7:X8"/>
    <mergeCell ref="J9:J10"/>
    <mergeCell ref="K9:K12"/>
    <mergeCell ref="L9:N10"/>
    <mergeCell ref="O9:O12"/>
    <mergeCell ref="P9:X9"/>
    <mergeCell ref="P10:R10"/>
    <mergeCell ref="S10:U10"/>
    <mergeCell ref="V10:X10"/>
    <mergeCell ref="J11:J12"/>
    <mergeCell ref="A5:X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A14:X14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S11:S12"/>
    <mergeCell ref="T11:T12"/>
    <mergeCell ref="U11:U12"/>
    <mergeCell ref="V11:V12"/>
    <mergeCell ref="W11:W12"/>
    <mergeCell ref="X11:X12"/>
    <mergeCell ref="L11:L12"/>
    <mergeCell ref="M11:M12"/>
    <mergeCell ref="N11:N12"/>
    <mergeCell ref="P11:P12"/>
    <mergeCell ref="Q11:Q12"/>
    <mergeCell ref="R11:R12"/>
    <mergeCell ref="V17:V18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K22:K23"/>
    <mergeCell ref="L22:L23"/>
    <mergeCell ref="M22:M23"/>
    <mergeCell ref="N22:N23"/>
    <mergeCell ref="O22:O23"/>
    <mergeCell ref="P22:P23"/>
    <mergeCell ref="W20:W21"/>
    <mergeCell ref="X20:X21"/>
    <mergeCell ref="A22:A26"/>
    <mergeCell ref="B22:B26"/>
    <mergeCell ref="C22:C26"/>
    <mergeCell ref="D22:D26"/>
    <mergeCell ref="E22:E26"/>
    <mergeCell ref="F22:F26"/>
    <mergeCell ref="G22:G26"/>
    <mergeCell ref="J22:J23"/>
    <mergeCell ref="Q20:Q21"/>
    <mergeCell ref="R20:R21"/>
    <mergeCell ref="S20:S21"/>
    <mergeCell ref="T20:T21"/>
    <mergeCell ref="U20:U21"/>
    <mergeCell ref="V20:V21"/>
    <mergeCell ref="X25:X26"/>
    <mergeCell ref="A27:A31"/>
    <mergeCell ref="B27:B31"/>
    <mergeCell ref="C27:C31"/>
    <mergeCell ref="D27:D31"/>
    <mergeCell ref="E27:E31"/>
    <mergeCell ref="F27:F31"/>
    <mergeCell ref="G27:G31"/>
    <mergeCell ref="J27:J28"/>
    <mergeCell ref="K27:K28"/>
    <mergeCell ref="R25:R26"/>
    <mergeCell ref="S25:S26"/>
    <mergeCell ref="T25:T26"/>
    <mergeCell ref="U25:U26"/>
    <mergeCell ref="V25:V26"/>
    <mergeCell ref="W25:W26"/>
    <mergeCell ref="W22:W23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X30:X31"/>
    <mergeCell ref="X27:X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G32:G36"/>
    <mergeCell ref="J32:J33"/>
    <mergeCell ref="K32:K33"/>
    <mergeCell ref="L32:L33"/>
    <mergeCell ref="M32:M33"/>
    <mergeCell ref="N32:N33"/>
    <mergeCell ref="A32:A36"/>
    <mergeCell ref="B32:B36"/>
    <mergeCell ref="C32:C36"/>
    <mergeCell ref="D32:D36"/>
    <mergeCell ref="E32:E36"/>
    <mergeCell ref="F32:F36"/>
    <mergeCell ref="S30:S31"/>
    <mergeCell ref="T30:T31"/>
    <mergeCell ref="U30:U31"/>
    <mergeCell ref="V30:V31"/>
    <mergeCell ref="W30:W31"/>
    <mergeCell ref="V35:V36"/>
    <mergeCell ref="W35:W36"/>
    <mergeCell ref="X35:X36"/>
    <mergeCell ref="A37:A41"/>
    <mergeCell ref="B37:B41"/>
    <mergeCell ref="C37:C41"/>
    <mergeCell ref="D37:D41"/>
    <mergeCell ref="E37:E41"/>
    <mergeCell ref="F37:F41"/>
    <mergeCell ref="G37:G41"/>
    <mergeCell ref="P35:P36"/>
    <mergeCell ref="Q35:Q36"/>
    <mergeCell ref="R35:R36"/>
    <mergeCell ref="S35:S36"/>
    <mergeCell ref="T35:T36"/>
    <mergeCell ref="U35:U36"/>
    <mergeCell ref="U32:U33"/>
    <mergeCell ref="V32:V33"/>
    <mergeCell ref="W32:W33"/>
    <mergeCell ref="X32:X33"/>
    <mergeCell ref="J35:J36"/>
    <mergeCell ref="K35:K36"/>
    <mergeCell ref="L35:L36"/>
    <mergeCell ref="M35:M36"/>
    <mergeCell ref="N35:N36"/>
    <mergeCell ref="O35:O36"/>
    <mergeCell ref="O32:O33"/>
    <mergeCell ref="P32:P33"/>
    <mergeCell ref="Q32:Q33"/>
    <mergeCell ref="R32:R33"/>
    <mergeCell ref="S32:S33"/>
    <mergeCell ref="T32:T33"/>
    <mergeCell ref="V37:V38"/>
    <mergeCell ref="W37:W38"/>
    <mergeCell ref="X37:X38"/>
    <mergeCell ref="J40:J41"/>
    <mergeCell ref="K40:K41"/>
    <mergeCell ref="L40:L41"/>
    <mergeCell ref="M40:M41"/>
    <mergeCell ref="N40:N41"/>
    <mergeCell ref="O40:O41"/>
    <mergeCell ref="P40:P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W42:W43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W40:W41"/>
    <mergeCell ref="X40:X41"/>
    <mergeCell ref="J42:J43"/>
    <mergeCell ref="K42:K43"/>
    <mergeCell ref="L42:L43"/>
    <mergeCell ref="M42:M43"/>
    <mergeCell ref="N42:N43"/>
    <mergeCell ref="O42:O43"/>
    <mergeCell ref="P42:P43"/>
    <mergeCell ref="Q40:Q41"/>
    <mergeCell ref="R40:R41"/>
    <mergeCell ref="S40:S41"/>
    <mergeCell ref="T40:T41"/>
    <mergeCell ref="U40:U41"/>
    <mergeCell ref="V40:V41"/>
    <mergeCell ref="G50:G54"/>
    <mergeCell ref="J50:J51"/>
    <mergeCell ref="K50:K51"/>
    <mergeCell ref="L50:L51"/>
    <mergeCell ref="M50:M51"/>
    <mergeCell ref="N50:N51"/>
    <mergeCell ref="X45:X46"/>
    <mergeCell ref="A47:X47"/>
    <mergeCell ref="A48:X48"/>
    <mergeCell ref="A49:X49"/>
    <mergeCell ref="A50:A54"/>
    <mergeCell ref="B50:B54"/>
    <mergeCell ref="C50:C54"/>
    <mergeCell ref="D50:D54"/>
    <mergeCell ref="E50:E54"/>
    <mergeCell ref="F50:F54"/>
    <mergeCell ref="R45:R46"/>
    <mergeCell ref="S45:S46"/>
    <mergeCell ref="T45:T46"/>
    <mergeCell ref="U45:U46"/>
    <mergeCell ref="V45:V46"/>
    <mergeCell ref="W45:W46"/>
    <mergeCell ref="A42:G46"/>
    <mergeCell ref="V53:V54"/>
    <mergeCell ref="W53:W54"/>
    <mergeCell ref="X53:X54"/>
    <mergeCell ref="A55:A59"/>
    <mergeCell ref="B55:B59"/>
    <mergeCell ref="C55:C59"/>
    <mergeCell ref="D55:D59"/>
    <mergeCell ref="E55:E59"/>
    <mergeCell ref="F55:F59"/>
    <mergeCell ref="G55:G59"/>
    <mergeCell ref="P53:P54"/>
    <mergeCell ref="Q53:Q54"/>
    <mergeCell ref="R53:R54"/>
    <mergeCell ref="S53:S54"/>
    <mergeCell ref="T53:T54"/>
    <mergeCell ref="U53:U54"/>
    <mergeCell ref="U50:U51"/>
    <mergeCell ref="V50:V51"/>
    <mergeCell ref="W50:W51"/>
    <mergeCell ref="X50:X51"/>
    <mergeCell ref="J53:J54"/>
    <mergeCell ref="K53:K54"/>
    <mergeCell ref="L53:L54"/>
    <mergeCell ref="M53:M54"/>
    <mergeCell ref="N53:N54"/>
    <mergeCell ref="O53:O54"/>
    <mergeCell ref="O50:O51"/>
    <mergeCell ref="P50:P51"/>
    <mergeCell ref="Q50:Q51"/>
    <mergeCell ref="R50:R51"/>
    <mergeCell ref="S50:S51"/>
    <mergeCell ref="T50:T51"/>
    <mergeCell ref="V55:V56"/>
    <mergeCell ref="W55:W56"/>
    <mergeCell ref="X55:X56"/>
    <mergeCell ref="J58:J59"/>
    <mergeCell ref="K58:K59"/>
    <mergeCell ref="L58:L59"/>
    <mergeCell ref="M58:M59"/>
    <mergeCell ref="N58:N59"/>
    <mergeCell ref="O58:O59"/>
    <mergeCell ref="P58:P59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K60:K61"/>
    <mergeCell ref="L60:L61"/>
    <mergeCell ref="M60:M61"/>
    <mergeCell ref="N60:N61"/>
    <mergeCell ref="O60:O61"/>
    <mergeCell ref="P60:P61"/>
    <mergeCell ref="W58:W59"/>
    <mergeCell ref="X58:X59"/>
    <mergeCell ref="A60:A64"/>
    <mergeCell ref="B60:B64"/>
    <mergeCell ref="C60:C64"/>
    <mergeCell ref="D60:D64"/>
    <mergeCell ref="E60:E64"/>
    <mergeCell ref="F60:F64"/>
    <mergeCell ref="G60:G64"/>
    <mergeCell ref="J60:J61"/>
    <mergeCell ref="Q58:Q59"/>
    <mergeCell ref="R58:R59"/>
    <mergeCell ref="S58:S59"/>
    <mergeCell ref="T58:T59"/>
    <mergeCell ref="U58:U59"/>
    <mergeCell ref="V58:V59"/>
    <mergeCell ref="X63:X64"/>
    <mergeCell ref="A65:A69"/>
    <mergeCell ref="B65:B69"/>
    <mergeCell ref="C65:C69"/>
    <mergeCell ref="D65:D69"/>
    <mergeCell ref="E65:E69"/>
    <mergeCell ref="F65:F69"/>
    <mergeCell ref="G65:G69"/>
    <mergeCell ref="J65:J66"/>
    <mergeCell ref="K65:K66"/>
    <mergeCell ref="R63:R64"/>
    <mergeCell ref="S63:S64"/>
    <mergeCell ref="T63:T64"/>
    <mergeCell ref="U63:U64"/>
    <mergeCell ref="V63:V64"/>
    <mergeCell ref="W63:W64"/>
    <mergeCell ref="W60:W61"/>
    <mergeCell ref="X60:X61"/>
    <mergeCell ref="J63:J64"/>
    <mergeCell ref="K63:K64"/>
    <mergeCell ref="L63:L64"/>
    <mergeCell ref="M63:M64"/>
    <mergeCell ref="N63:N64"/>
    <mergeCell ref="O63:O64"/>
    <mergeCell ref="P63:P64"/>
    <mergeCell ref="Q63:Q64"/>
    <mergeCell ref="Q60:Q61"/>
    <mergeCell ref="R60:R61"/>
    <mergeCell ref="S60:S61"/>
    <mergeCell ref="T60:T61"/>
    <mergeCell ref="U60:U61"/>
    <mergeCell ref="V60:V61"/>
    <mergeCell ref="X68:X69"/>
    <mergeCell ref="X65:X66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G70:G74"/>
    <mergeCell ref="J70:J71"/>
    <mergeCell ref="K70:K71"/>
    <mergeCell ref="L70:L71"/>
    <mergeCell ref="M70:M71"/>
    <mergeCell ref="N70:N71"/>
    <mergeCell ref="A70:A74"/>
    <mergeCell ref="B70:B74"/>
    <mergeCell ref="C70:C74"/>
    <mergeCell ref="D70:D74"/>
    <mergeCell ref="E70:E74"/>
    <mergeCell ref="F70:F74"/>
    <mergeCell ref="S68:S69"/>
    <mergeCell ref="T68:T69"/>
    <mergeCell ref="U68:U69"/>
    <mergeCell ref="V68:V69"/>
    <mergeCell ref="W68:W69"/>
    <mergeCell ref="V73:V74"/>
    <mergeCell ref="W73:W74"/>
    <mergeCell ref="X73:X74"/>
    <mergeCell ref="A75:A79"/>
    <mergeCell ref="B75:B79"/>
    <mergeCell ref="C75:C79"/>
    <mergeCell ref="D75:D79"/>
    <mergeCell ref="E75:E79"/>
    <mergeCell ref="F75:F79"/>
    <mergeCell ref="G75:G79"/>
    <mergeCell ref="P73:P74"/>
    <mergeCell ref="Q73:Q74"/>
    <mergeCell ref="R73:R74"/>
    <mergeCell ref="S73:S74"/>
    <mergeCell ref="T73:T74"/>
    <mergeCell ref="U73:U74"/>
    <mergeCell ref="U70:U71"/>
    <mergeCell ref="V70:V71"/>
    <mergeCell ref="W70:W71"/>
    <mergeCell ref="X70:X71"/>
    <mergeCell ref="J73:J74"/>
    <mergeCell ref="K73:K74"/>
    <mergeCell ref="L73:L74"/>
    <mergeCell ref="M73:M74"/>
    <mergeCell ref="N73:N74"/>
    <mergeCell ref="O73:O74"/>
    <mergeCell ref="O70:O71"/>
    <mergeCell ref="P70:P71"/>
    <mergeCell ref="Q70:Q71"/>
    <mergeCell ref="R70:R71"/>
    <mergeCell ref="S70:S71"/>
    <mergeCell ref="T70:T71"/>
    <mergeCell ref="V75:V76"/>
    <mergeCell ref="W75:W76"/>
    <mergeCell ref="X75:X76"/>
    <mergeCell ref="J78:J79"/>
    <mergeCell ref="K78:K79"/>
    <mergeCell ref="L78:L79"/>
    <mergeCell ref="M78:M79"/>
    <mergeCell ref="N78:N79"/>
    <mergeCell ref="O78:O79"/>
    <mergeCell ref="P78:P79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K80:K81"/>
    <mergeCell ref="L80:L81"/>
    <mergeCell ref="M80:M81"/>
    <mergeCell ref="N80:N81"/>
    <mergeCell ref="O80:O81"/>
    <mergeCell ref="P80:P81"/>
    <mergeCell ref="W78:W79"/>
    <mergeCell ref="X78:X79"/>
    <mergeCell ref="A80:A84"/>
    <mergeCell ref="B80:B84"/>
    <mergeCell ref="C80:C84"/>
    <mergeCell ref="D80:D84"/>
    <mergeCell ref="E80:E84"/>
    <mergeCell ref="F80:F84"/>
    <mergeCell ref="G80:G84"/>
    <mergeCell ref="J80:J81"/>
    <mergeCell ref="Q78:Q79"/>
    <mergeCell ref="R78:R79"/>
    <mergeCell ref="S78:S79"/>
    <mergeCell ref="T78:T79"/>
    <mergeCell ref="U78:U79"/>
    <mergeCell ref="V78:V79"/>
    <mergeCell ref="X83:X84"/>
    <mergeCell ref="A85:A89"/>
    <mergeCell ref="B85:B89"/>
    <mergeCell ref="C85:C89"/>
    <mergeCell ref="D85:D89"/>
    <mergeCell ref="E85:E89"/>
    <mergeCell ref="F85:F89"/>
    <mergeCell ref="G85:G89"/>
    <mergeCell ref="J85:J86"/>
    <mergeCell ref="K85:K86"/>
    <mergeCell ref="R83:R84"/>
    <mergeCell ref="S83:S84"/>
    <mergeCell ref="T83:T84"/>
    <mergeCell ref="U83:U84"/>
    <mergeCell ref="V83:V84"/>
    <mergeCell ref="W83:W84"/>
    <mergeCell ref="W80:W81"/>
    <mergeCell ref="X80:X81"/>
    <mergeCell ref="J83:J84"/>
    <mergeCell ref="K83:K84"/>
    <mergeCell ref="L83:L84"/>
    <mergeCell ref="M83:M84"/>
    <mergeCell ref="N83:N84"/>
    <mergeCell ref="O83:O84"/>
    <mergeCell ref="P83:P84"/>
    <mergeCell ref="Q83:Q84"/>
    <mergeCell ref="Q80:Q81"/>
    <mergeCell ref="R80:R81"/>
    <mergeCell ref="S80:S81"/>
    <mergeCell ref="T80:T81"/>
    <mergeCell ref="U80:U81"/>
    <mergeCell ref="V80:V81"/>
    <mergeCell ref="X88:X89"/>
    <mergeCell ref="X85:X86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G90:G94"/>
    <mergeCell ref="J90:J91"/>
    <mergeCell ref="K90:K91"/>
    <mergeCell ref="L90:L91"/>
    <mergeCell ref="M90:M91"/>
    <mergeCell ref="N90:N91"/>
    <mergeCell ref="A90:A94"/>
    <mergeCell ref="B90:B94"/>
    <mergeCell ref="C90:C94"/>
    <mergeCell ref="D90:D94"/>
    <mergeCell ref="E90:E94"/>
    <mergeCell ref="F90:F94"/>
    <mergeCell ref="S88:S89"/>
    <mergeCell ref="T88:T89"/>
    <mergeCell ref="U88:U89"/>
    <mergeCell ref="V88:V89"/>
    <mergeCell ref="W88:W89"/>
    <mergeCell ref="V93:V94"/>
    <mergeCell ref="W93:W94"/>
    <mergeCell ref="X93:X94"/>
    <mergeCell ref="A95:A99"/>
    <mergeCell ref="B95:B99"/>
    <mergeCell ref="C95:C99"/>
    <mergeCell ref="D95:D99"/>
    <mergeCell ref="E95:E99"/>
    <mergeCell ref="F95:F99"/>
    <mergeCell ref="G95:G99"/>
    <mergeCell ref="P93:P94"/>
    <mergeCell ref="Q93:Q94"/>
    <mergeCell ref="R93:R94"/>
    <mergeCell ref="S93:S94"/>
    <mergeCell ref="T93:T94"/>
    <mergeCell ref="U93:U94"/>
    <mergeCell ref="U90:U91"/>
    <mergeCell ref="V90:V91"/>
    <mergeCell ref="W90:W91"/>
    <mergeCell ref="X90:X91"/>
    <mergeCell ref="J93:J94"/>
    <mergeCell ref="K93:K94"/>
    <mergeCell ref="L93:L94"/>
    <mergeCell ref="M93:M94"/>
    <mergeCell ref="N93:N94"/>
    <mergeCell ref="O93:O94"/>
    <mergeCell ref="O90:O91"/>
    <mergeCell ref="P90:P91"/>
    <mergeCell ref="Q90:Q91"/>
    <mergeCell ref="R90:R91"/>
    <mergeCell ref="S90:S91"/>
    <mergeCell ref="T90:T91"/>
    <mergeCell ref="V95:V96"/>
    <mergeCell ref="W95:W96"/>
    <mergeCell ref="X95:X96"/>
    <mergeCell ref="J98:J99"/>
    <mergeCell ref="K98:K99"/>
    <mergeCell ref="L98:L99"/>
    <mergeCell ref="M98:M99"/>
    <mergeCell ref="N98:N99"/>
    <mergeCell ref="O98:O99"/>
    <mergeCell ref="P98:P99"/>
    <mergeCell ref="P95:P96"/>
    <mergeCell ref="Q95:Q96"/>
    <mergeCell ref="R95:R96"/>
    <mergeCell ref="S95:S96"/>
    <mergeCell ref="T95:T96"/>
    <mergeCell ref="U95:U96"/>
    <mergeCell ref="J95:J96"/>
    <mergeCell ref="K95:K96"/>
    <mergeCell ref="L95:L96"/>
    <mergeCell ref="M95:M96"/>
    <mergeCell ref="N95:N96"/>
    <mergeCell ref="O95:O96"/>
    <mergeCell ref="K100:K101"/>
    <mergeCell ref="L100:L101"/>
    <mergeCell ref="M100:M101"/>
    <mergeCell ref="N100:N101"/>
    <mergeCell ref="O100:O101"/>
    <mergeCell ref="P100:P101"/>
    <mergeCell ref="W98:W99"/>
    <mergeCell ref="X98:X99"/>
    <mergeCell ref="A100:A104"/>
    <mergeCell ref="B100:B104"/>
    <mergeCell ref="C100:C104"/>
    <mergeCell ref="D100:D104"/>
    <mergeCell ref="E100:E104"/>
    <mergeCell ref="F100:F104"/>
    <mergeCell ref="G100:G104"/>
    <mergeCell ref="J100:J101"/>
    <mergeCell ref="Q98:Q99"/>
    <mergeCell ref="R98:R99"/>
    <mergeCell ref="S98:S99"/>
    <mergeCell ref="T98:T99"/>
    <mergeCell ref="U98:U99"/>
    <mergeCell ref="V98:V99"/>
    <mergeCell ref="X103:X104"/>
    <mergeCell ref="A105:A109"/>
    <mergeCell ref="B105:B109"/>
    <mergeCell ref="C105:C109"/>
    <mergeCell ref="D105:D109"/>
    <mergeCell ref="E105:E109"/>
    <mergeCell ref="F105:F109"/>
    <mergeCell ref="G105:G109"/>
    <mergeCell ref="J105:J106"/>
    <mergeCell ref="K105:K106"/>
    <mergeCell ref="R103:R104"/>
    <mergeCell ref="S103:S104"/>
    <mergeCell ref="T103:T104"/>
    <mergeCell ref="U103:U104"/>
    <mergeCell ref="V103:V104"/>
    <mergeCell ref="W103:W104"/>
    <mergeCell ref="W100:W101"/>
    <mergeCell ref="X100:X101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Q100:Q101"/>
    <mergeCell ref="R100:R101"/>
    <mergeCell ref="S100:S101"/>
    <mergeCell ref="T100:T101"/>
    <mergeCell ref="U100:U101"/>
    <mergeCell ref="V100:V101"/>
    <mergeCell ref="X108:X109"/>
    <mergeCell ref="X105:X106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R105:R106"/>
    <mergeCell ref="S105:S106"/>
    <mergeCell ref="T105:T106"/>
    <mergeCell ref="U105:U106"/>
    <mergeCell ref="V105:V106"/>
    <mergeCell ref="W105:W106"/>
    <mergeCell ref="L105:L106"/>
    <mergeCell ref="M105:M106"/>
    <mergeCell ref="N105:N106"/>
    <mergeCell ref="O105:O106"/>
    <mergeCell ref="P105:P106"/>
    <mergeCell ref="Q105:Q106"/>
    <mergeCell ref="G110:G114"/>
    <mergeCell ref="J110:J111"/>
    <mergeCell ref="K110:K111"/>
    <mergeCell ref="L110:L111"/>
    <mergeCell ref="M110:M111"/>
    <mergeCell ref="N110:N111"/>
    <mergeCell ref="A110:A114"/>
    <mergeCell ref="B110:B114"/>
    <mergeCell ref="C110:C114"/>
    <mergeCell ref="D110:D114"/>
    <mergeCell ref="E110:E114"/>
    <mergeCell ref="F110:F114"/>
    <mergeCell ref="S108:S109"/>
    <mergeCell ref="T108:T109"/>
    <mergeCell ref="U108:U109"/>
    <mergeCell ref="V108:V109"/>
    <mergeCell ref="W108:W109"/>
    <mergeCell ref="V113:V114"/>
    <mergeCell ref="W113:W114"/>
    <mergeCell ref="X113:X114"/>
    <mergeCell ref="A115:A119"/>
    <mergeCell ref="B115:B119"/>
    <mergeCell ref="C115:C119"/>
    <mergeCell ref="D115:D119"/>
    <mergeCell ref="E115:E119"/>
    <mergeCell ref="F115:F119"/>
    <mergeCell ref="G115:G119"/>
    <mergeCell ref="P113:P114"/>
    <mergeCell ref="Q113:Q114"/>
    <mergeCell ref="R113:R114"/>
    <mergeCell ref="S113:S114"/>
    <mergeCell ref="T113:T114"/>
    <mergeCell ref="U113:U114"/>
    <mergeCell ref="U110:U111"/>
    <mergeCell ref="V110:V111"/>
    <mergeCell ref="W110:W111"/>
    <mergeCell ref="X110:X111"/>
    <mergeCell ref="J113:J114"/>
    <mergeCell ref="K113:K114"/>
    <mergeCell ref="L113:L114"/>
    <mergeCell ref="M113:M114"/>
    <mergeCell ref="N113:N114"/>
    <mergeCell ref="O113:O114"/>
    <mergeCell ref="O110:O111"/>
    <mergeCell ref="P110:P111"/>
    <mergeCell ref="Q110:Q111"/>
    <mergeCell ref="R110:R111"/>
    <mergeCell ref="S110:S111"/>
    <mergeCell ref="T110:T111"/>
    <mergeCell ref="V115:V116"/>
    <mergeCell ref="W115:W116"/>
    <mergeCell ref="X115:X116"/>
    <mergeCell ref="J118:J119"/>
    <mergeCell ref="K118:K119"/>
    <mergeCell ref="L118:L119"/>
    <mergeCell ref="M118:M119"/>
    <mergeCell ref="N118:N119"/>
    <mergeCell ref="O118:O119"/>
    <mergeCell ref="P118:P119"/>
    <mergeCell ref="P115:P116"/>
    <mergeCell ref="Q115:Q116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K120:K121"/>
    <mergeCell ref="L120:L121"/>
    <mergeCell ref="M120:M121"/>
    <mergeCell ref="N120:N121"/>
    <mergeCell ref="O120:O121"/>
    <mergeCell ref="P120:P121"/>
    <mergeCell ref="W118:W119"/>
    <mergeCell ref="X118:X119"/>
    <mergeCell ref="A120:A124"/>
    <mergeCell ref="B120:B124"/>
    <mergeCell ref="C120:C124"/>
    <mergeCell ref="D120:D124"/>
    <mergeCell ref="E120:E124"/>
    <mergeCell ref="F120:F124"/>
    <mergeCell ref="G120:G124"/>
    <mergeCell ref="J120:J121"/>
    <mergeCell ref="Q118:Q119"/>
    <mergeCell ref="R118:R119"/>
    <mergeCell ref="S118:S119"/>
    <mergeCell ref="T118:T119"/>
    <mergeCell ref="U118:U119"/>
    <mergeCell ref="V118:V119"/>
    <mergeCell ref="X123:X124"/>
    <mergeCell ref="A125:A129"/>
    <mergeCell ref="B125:B129"/>
    <mergeCell ref="C125:C129"/>
    <mergeCell ref="D125:D129"/>
    <mergeCell ref="E125:E129"/>
    <mergeCell ref="F125:F129"/>
    <mergeCell ref="G125:G129"/>
    <mergeCell ref="J125:J126"/>
    <mergeCell ref="K125:K126"/>
    <mergeCell ref="R123:R124"/>
    <mergeCell ref="S123:S124"/>
    <mergeCell ref="T123:T124"/>
    <mergeCell ref="U123:U124"/>
    <mergeCell ref="V123:V124"/>
    <mergeCell ref="W123:W124"/>
    <mergeCell ref="W120:W121"/>
    <mergeCell ref="X120:X121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Q120:Q121"/>
    <mergeCell ref="R120:R121"/>
    <mergeCell ref="S120:S121"/>
    <mergeCell ref="T120:T121"/>
    <mergeCell ref="U120:U121"/>
    <mergeCell ref="V120:V121"/>
    <mergeCell ref="S128:S129"/>
    <mergeCell ref="T128:T129"/>
    <mergeCell ref="U128:U129"/>
    <mergeCell ref="V128:V129"/>
    <mergeCell ref="W128:W129"/>
    <mergeCell ref="X128:X129"/>
    <mergeCell ref="X125:X126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R125:R126"/>
    <mergeCell ref="S125:S126"/>
    <mergeCell ref="T125:T126"/>
    <mergeCell ref="U125:U126"/>
    <mergeCell ref="V125:V126"/>
    <mergeCell ref="W125:W126"/>
    <mergeCell ref="L125:L126"/>
    <mergeCell ref="M125:M126"/>
    <mergeCell ref="N125:N126"/>
    <mergeCell ref="O125:O126"/>
    <mergeCell ref="P125:P126"/>
    <mergeCell ref="Q125:Q126"/>
    <mergeCell ref="U130:U131"/>
    <mergeCell ref="V130:V131"/>
    <mergeCell ref="W130:W131"/>
    <mergeCell ref="X130:X131"/>
    <mergeCell ref="J133:J134"/>
    <mergeCell ref="K133:K134"/>
    <mergeCell ref="L133:L134"/>
    <mergeCell ref="M133:M134"/>
    <mergeCell ref="N133:N134"/>
    <mergeCell ref="O133:O134"/>
    <mergeCell ref="O130:O131"/>
    <mergeCell ref="P130:P131"/>
    <mergeCell ref="Q130:Q131"/>
    <mergeCell ref="R130:R131"/>
    <mergeCell ref="S130:S131"/>
    <mergeCell ref="T130:T131"/>
    <mergeCell ref="G130:G134"/>
    <mergeCell ref="J130:J131"/>
    <mergeCell ref="K130:K131"/>
    <mergeCell ref="L130:L131"/>
    <mergeCell ref="M130:M131"/>
    <mergeCell ref="N130:N131"/>
    <mergeCell ref="J135:J136"/>
    <mergeCell ref="K135:K136"/>
    <mergeCell ref="L135:L136"/>
    <mergeCell ref="M135:M136"/>
    <mergeCell ref="N135:N136"/>
    <mergeCell ref="O135:O136"/>
    <mergeCell ref="V133:V134"/>
    <mergeCell ref="W133:W134"/>
    <mergeCell ref="X133:X134"/>
    <mergeCell ref="A135:A139"/>
    <mergeCell ref="B135:B139"/>
    <mergeCell ref="C135:C139"/>
    <mergeCell ref="D135:D139"/>
    <mergeCell ref="E135:E139"/>
    <mergeCell ref="F135:F139"/>
    <mergeCell ref="G135:G139"/>
    <mergeCell ref="P133:P134"/>
    <mergeCell ref="Q133:Q134"/>
    <mergeCell ref="R133:R134"/>
    <mergeCell ref="S133:S134"/>
    <mergeCell ref="T133:T134"/>
    <mergeCell ref="U133:U134"/>
    <mergeCell ref="A130:A134"/>
    <mergeCell ref="B130:B134"/>
    <mergeCell ref="C130:C134"/>
    <mergeCell ref="D130:D134"/>
    <mergeCell ref="E130:E134"/>
    <mergeCell ref="F130:F134"/>
    <mergeCell ref="W138:W139"/>
    <mergeCell ref="X138:X139"/>
    <mergeCell ref="A140:A144"/>
    <mergeCell ref="B140:B144"/>
    <mergeCell ref="C140:C144"/>
    <mergeCell ref="D140:D144"/>
    <mergeCell ref="E140:E144"/>
    <mergeCell ref="F140:F144"/>
    <mergeCell ref="G140:G144"/>
    <mergeCell ref="J140:J141"/>
    <mergeCell ref="Q138:Q139"/>
    <mergeCell ref="R138:R139"/>
    <mergeCell ref="S138:S139"/>
    <mergeCell ref="T138:T139"/>
    <mergeCell ref="U138:U139"/>
    <mergeCell ref="V138:V139"/>
    <mergeCell ref="V135:V136"/>
    <mergeCell ref="W135:W136"/>
    <mergeCell ref="X135:X136"/>
    <mergeCell ref="J138:J139"/>
    <mergeCell ref="K138:K139"/>
    <mergeCell ref="L138:L139"/>
    <mergeCell ref="M138:M139"/>
    <mergeCell ref="N138:N139"/>
    <mergeCell ref="O138:O139"/>
    <mergeCell ref="P138:P139"/>
    <mergeCell ref="P135:P136"/>
    <mergeCell ref="Q135:Q136"/>
    <mergeCell ref="R135:R136"/>
    <mergeCell ref="S135:S136"/>
    <mergeCell ref="T135:T136"/>
    <mergeCell ref="U135:U136"/>
    <mergeCell ref="W140:W141"/>
    <mergeCell ref="X140:X141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Q140:Q141"/>
    <mergeCell ref="R140:R141"/>
    <mergeCell ref="S140:S141"/>
    <mergeCell ref="T140:T141"/>
    <mergeCell ref="U140:U141"/>
    <mergeCell ref="V140:V141"/>
    <mergeCell ref="K140:K141"/>
    <mergeCell ref="L140:L141"/>
    <mergeCell ref="M140:M141"/>
    <mergeCell ref="N140:N141"/>
    <mergeCell ref="O140:O141"/>
    <mergeCell ref="P140:P141"/>
    <mergeCell ref="P145:P146"/>
    <mergeCell ref="Q145:Q146"/>
    <mergeCell ref="X143:X144"/>
    <mergeCell ref="A145:A149"/>
    <mergeCell ref="B145:B149"/>
    <mergeCell ref="C145:C149"/>
    <mergeCell ref="D145:D149"/>
    <mergeCell ref="E145:E149"/>
    <mergeCell ref="F145:F149"/>
    <mergeCell ref="G145:G149"/>
    <mergeCell ref="J145:J146"/>
    <mergeCell ref="K145:K146"/>
    <mergeCell ref="R143:R144"/>
    <mergeCell ref="S143:S144"/>
    <mergeCell ref="T143:T144"/>
    <mergeCell ref="U143:U144"/>
    <mergeCell ref="V143:V144"/>
    <mergeCell ref="W143:W144"/>
    <mergeCell ref="A150:G154"/>
    <mergeCell ref="J150:J151"/>
    <mergeCell ref="K150:K151"/>
    <mergeCell ref="L150:L151"/>
    <mergeCell ref="M150:M151"/>
    <mergeCell ref="N150:N151"/>
    <mergeCell ref="S148:S149"/>
    <mergeCell ref="T148:T149"/>
    <mergeCell ref="U148:U149"/>
    <mergeCell ref="V148:V149"/>
    <mergeCell ref="W148:W149"/>
    <mergeCell ref="X148:X149"/>
    <mergeCell ref="X145:X146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R145:R146"/>
    <mergeCell ref="S145:S146"/>
    <mergeCell ref="T145:T146"/>
    <mergeCell ref="U145:U146"/>
    <mergeCell ref="V145:V146"/>
    <mergeCell ref="W145:W146"/>
    <mergeCell ref="L145:L146"/>
    <mergeCell ref="M145:M146"/>
    <mergeCell ref="N145:N146"/>
    <mergeCell ref="O145:O146"/>
    <mergeCell ref="V153:V154"/>
    <mergeCell ref="W153:W154"/>
    <mergeCell ref="X153:X154"/>
    <mergeCell ref="A155:G159"/>
    <mergeCell ref="J155:J156"/>
    <mergeCell ref="K155:K156"/>
    <mergeCell ref="L155:L156"/>
    <mergeCell ref="M155:M156"/>
    <mergeCell ref="N155:N156"/>
    <mergeCell ref="O155:O156"/>
    <mergeCell ref="P153:P154"/>
    <mergeCell ref="Q153:Q154"/>
    <mergeCell ref="R153:R154"/>
    <mergeCell ref="S153:S154"/>
    <mergeCell ref="T153:T154"/>
    <mergeCell ref="U153:U154"/>
    <mergeCell ref="U150:U151"/>
    <mergeCell ref="V150:V151"/>
    <mergeCell ref="W150:W151"/>
    <mergeCell ref="X150:X151"/>
    <mergeCell ref="J153:J154"/>
    <mergeCell ref="K153:K154"/>
    <mergeCell ref="L153:L154"/>
    <mergeCell ref="M153:M154"/>
    <mergeCell ref="N153:N154"/>
    <mergeCell ref="O153:O154"/>
    <mergeCell ref="O150:O151"/>
    <mergeCell ref="P150:P151"/>
    <mergeCell ref="Q150:Q151"/>
    <mergeCell ref="R150:R151"/>
    <mergeCell ref="S150:S151"/>
    <mergeCell ref="T150:T151"/>
    <mergeCell ref="W158:W159"/>
    <mergeCell ref="X158:X159"/>
    <mergeCell ref="Q158:Q159"/>
    <mergeCell ref="R158:R159"/>
    <mergeCell ref="S158:S159"/>
    <mergeCell ref="T158:T159"/>
    <mergeCell ref="U158:U159"/>
    <mergeCell ref="V158:V159"/>
    <mergeCell ref="V155:V156"/>
    <mergeCell ref="W155:W156"/>
    <mergeCell ref="X155:X156"/>
    <mergeCell ref="J158:J159"/>
    <mergeCell ref="K158:K159"/>
    <mergeCell ref="L158:L159"/>
    <mergeCell ref="M158:M159"/>
    <mergeCell ref="N158:N159"/>
    <mergeCell ref="O158:O159"/>
    <mergeCell ref="P158:P159"/>
    <mergeCell ref="P155:P156"/>
    <mergeCell ref="Q155:Q156"/>
    <mergeCell ref="R155:R156"/>
    <mergeCell ref="S155:S156"/>
    <mergeCell ref="T155:T156"/>
    <mergeCell ref="U155:U156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2" orientation="landscape" r:id="rId1"/>
  <headerFooter alignWithMargins="0"/>
  <rowBreaks count="1" manualBreakCount="1">
    <brk id="89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FD6C-2652-475C-88D4-6336A3C7022D}">
  <dimension ref="A1:W247"/>
  <sheetViews>
    <sheetView view="pageBreakPreview" topLeftCell="A205" zoomScaleNormal="100" zoomScaleSheetLayoutView="100" workbookViewId="0">
      <selection activeCell="C228" sqref="C228:C232"/>
    </sheetView>
  </sheetViews>
  <sheetFormatPr defaultRowHeight="15"/>
  <cols>
    <col min="1" max="1" width="5.375" style="318" customWidth="1"/>
    <col min="2" max="2" width="13.125" style="318" customWidth="1"/>
    <col min="3" max="3" width="43.875" style="318" customWidth="1"/>
    <col min="4" max="4" width="11.625" style="318" customWidth="1"/>
    <col min="5" max="5" width="10.375" style="318" customWidth="1"/>
    <col min="6" max="6" width="11" style="318" customWidth="1"/>
    <col min="7" max="8" width="12.125" style="318" customWidth="1"/>
    <col min="9" max="9" width="3.125" style="318" customWidth="1"/>
    <col min="10" max="10" width="12.875" style="318" customWidth="1"/>
    <col min="11" max="12" width="12.125" style="318" customWidth="1"/>
    <col min="13" max="13" width="11.375" style="318" customWidth="1"/>
    <col min="14" max="15" width="11.875" style="318" customWidth="1"/>
    <col min="16" max="16" width="11.75" style="318" customWidth="1"/>
    <col min="17" max="17" width="11.375" style="318" customWidth="1"/>
    <col min="18" max="18" width="11.875" style="318" customWidth="1"/>
    <col min="19" max="19" width="11.375" style="318" customWidth="1"/>
    <col min="20" max="20" width="10.375" style="318" customWidth="1"/>
    <col min="21" max="21" width="12.875" style="318" customWidth="1"/>
    <col min="22" max="22" width="11.75" style="318" customWidth="1"/>
    <col min="23" max="23" width="11" style="318" customWidth="1"/>
    <col min="24" max="257" width="9" style="318"/>
    <col min="258" max="258" width="5.375" style="318" customWidth="1"/>
    <col min="259" max="259" width="13.125" style="318" customWidth="1"/>
    <col min="260" max="260" width="43.875" style="318" customWidth="1"/>
    <col min="261" max="261" width="11.625" style="318" customWidth="1"/>
    <col min="262" max="262" width="10.375" style="318" customWidth="1"/>
    <col min="263" max="263" width="11" style="318" customWidth="1"/>
    <col min="264" max="265" width="12.125" style="318" customWidth="1"/>
    <col min="266" max="266" width="12.875" style="318" customWidth="1"/>
    <col min="267" max="268" width="12.125" style="318" customWidth="1"/>
    <col min="269" max="269" width="11.375" style="318" customWidth="1"/>
    <col min="270" max="271" width="11.875" style="318" customWidth="1"/>
    <col min="272" max="272" width="11.75" style="318" customWidth="1"/>
    <col min="273" max="273" width="11.375" style="318" customWidth="1"/>
    <col min="274" max="274" width="11.875" style="318" customWidth="1"/>
    <col min="275" max="275" width="11.375" style="318" customWidth="1"/>
    <col min="276" max="276" width="10.375" style="318" customWidth="1"/>
    <col min="277" max="277" width="12.875" style="318" customWidth="1"/>
    <col min="278" max="278" width="11.75" style="318" customWidth="1"/>
    <col min="279" max="279" width="11" style="318" customWidth="1"/>
    <col min="280" max="513" width="9" style="318"/>
    <col min="514" max="514" width="5.375" style="318" customWidth="1"/>
    <col min="515" max="515" width="13.125" style="318" customWidth="1"/>
    <col min="516" max="516" width="43.875" style="318" customWidth="1"/>
    <col min="517" max="517" width="11.625" style="318" customWidth="1"/>
    <col min="518" max="518" width="10.375" style="318" customWidth="1"/>
    <col min="519" max="519" width="11" style="318" customWidth="1"/>
    <col min="520" max="521" width="12.125" style="318" customWidth="1"/>
    <col min="522" max="522" width="12.875" style="318" customWidth="1"/>
    <col min="523" max="524" width="12.125" style="318" customWidth="1"/>
    <col min="525" max="525" width="11.375" style="318" customWidth="1"/>
    <col min="526" max="527" width="11.875" style="318" customWidth="1"/>
    <col min="528" max="528" width="11.75" style="318" customWidth="1"/>
    <col min="529" max="529" width="11.375" style="318" customWidth="1"/>
    <col min="530" max="530" width="11.875" style="318" customWidth="1"/>
    <col min="531" max="531" width="11.375" style="318" customWidth="1"/>
    <col min="532" max="532" width="10.375" style="318" customWidth="1"/>
    <col min="533" max="533" width="12.875" style="318" customWidth="1"/>
    <col min="534" max="534" width="11.75" style="318" customWidth="1"/>
    <col min="535" max="535" width="11" style="318" customWidth="1"/>
    <col min="536" max="769" width="9" style="318"/>
    <col min="770" max="770" width="5.375" style="318" customWidth="1"/>
    <col min="771" max="771" width="13.125" style="318" customWidth="1"/>
    <col min="772" max="772" width="43.875" style="318" customWidth="1"/>
    <col min="773" max="773" width="11.625" style="318" customWidth="1"/>
    <col min="774" max="774" width="10.375" style="318" customWidth="1"/>
    <col min="775" max="775" width="11" style="318" customWidth="1"/>
    <col min="776" max="777" width="12.125" style="318" customWidth="1"/>
    <col min="778" max="778" width="12.875" style="318" customWidth="1"/>
    <col min="779" max="780" width="12.125" style="318" customWidth="1"/>
    <col min="781" max="781" width="11.375" style="318" customWidth="1"/>
    <col min="782" max="783" width="11.875" style="318" customWidth="1"/>
    <col min="784" max="784" width="11.75" style="318" customWidth="1"/>
    <col min="785" max="785" width="11.375" style="318" customWidth="1"/>
    <col min="786" max="786" width="11.875" style="318" customWidth="1"/>
    <col min="787" max="787" width="11.375" style="318" customWidth="1"/>
    <col min="788" max="788" width="10.375" style="318" customWidth="1"/>
    <col min="789" max="789" width="12.875" style="318" customWidth="1"/>
    <col min="790" max="790" width="11.75" style="318" customWidth="1"/>
    <col min="791" max="791" width="11" style="318" customWidth="1"/>
    <col min="792" max="1025" width="9" style="318"/>
    <col min="1026" max="1026" width="5.375" style="318" customWidth="1"/>
    <col min="1027" max="1027" width="13.125" style="318" customWidth="1"/>
    <col min="1028" max="1028" width="43.875" style="318" customWidth="1"/>
    <col min="1029" max="1029" width="11.625" style="318" customWidth="1"/>
    <col min="1030" max="1030" width="10.375" style="318" customWidth="1"/>
    <col min="1031" max="1031" width="11" style="318" customWidth="1"/>
    <col min="1032" max="1033" width="12.125" style="318" customWidth="1"/>
    <col min="1034" max="1034" width="12.875" style="318" customWidth="1"/>
    <col min="1035" max="1036" width="12.125" style="318" customWidth="1"/>
    <col min="1037" max="1037" width="11.375" style="318" customWidth="1"/>
    <col min="1038" max="1039" width="11.875" style="318" customWidth="1"/>
    <col min="1040" max="1040" width="11.75" style="318" customWidth="1"/>
    <col min="1041" max="1041" width="11.375" style="318" customWidth="1"/>
    <col min="1042" max="1042" width="11.875" style="318" customWidth="1"/>
    <col min="1043" max="1043" width="11.375" style="318" customWidth="1"/>
    <col min="1044" max="1044" width="10.375" style="318" customWidth="1"/>
    <col min="1045" max="1045" width="12.875" style="318" customWidth="1"/>
    <col min="1046" max="1046" width="11.75" style="318" customWidth="1"/>
    <col min="1047" max="1047" width="11" style="318" customWidth="1"/>
    <col min="1048" max="1281" width="9" style="318"/>
    <col min="1282" max="1282" width="5.375" style="318" customWidth="1"/>
    <col min="1283" max="1283" width="13.125" style="318" customWidth="1"/>
    <col min="1284" max="1284" width="43.875" style="318" customWidth="1"/>
    <col min="1285" max="1285" width="11.625" style="318" customWidth="1"/>
    <col min="1286" max="1286" width="10.375" style="318" customWidth="1"/>
    <col min="1287" max="1287" width="11" style="318" customWidth="1"/>
    <col min="1288" max="1289" width="12.125" style="318" customWidth="1"/>
    <col min="1290" max="1290" width="12.875" style="318" customWidth="1"/>
    <col min="1291" max="1292" width="12.125" style="318" customWidth="1"/>
    <col min="1293" max="1293" width="11.375" style="318" customWidth="1"/>
    <col min="1294" max="1295" width="11.875" style="318" customWidth="1"/>
    <col min="1296" max="1296" width="11.75" style="318" customWidth="1"/>
    <col min="1297" max="1297" width="11.375" style="318" customWidth="1"/>
    <col min="1298" max="1298" width="11.875" style="318" customWidth="1"/>
    <col min="1299" max="1299" width="11.375" style="318" customWidth="1"/>
    <col min="1300" max="1300" width="10.375" style="318" customWidth="1"/>
    <col min="1301" max="1301" width="12.875" style="318" customWidth="1"/>
    <col min="1302" max="1302" width="11.75" style="318" customWidth="1"/>
    <col min="1303" max="1303" width="11" style="318" customWidth="1"/>
    <col min="1304" max="1537" width="9" style="318"/>
    <col min="1538" max="1538" width="5.375" style="318" customWidth="1"/>
    <col min="1539" max="1539" width="13.125" style="318" customWidth="1"/>
    <col min="1540" max="1540" width="43.875" style="318" customWidth="1"/>
    <col min="1541" max="1541" width="11.625" style="318" customWidth="1"/>
    <col min="1542" max="1542" width="10.375" style="318" customWidth="1"/>
    <col min="1543" max="1543" width="11" style="318" customWidth="1"/>
    <col min="1544" max="1545" width="12.125" style="318" customWidth="1"/>
    <col min="1546" max="1546" width="12.875" style="318" customWidth="1"/>
    <col min="1547" max="1548" width="12.125" style="318" customWidth="1"/>
    <col min="1549" max="1549" width="11.375" style="318" customWidth="1"/>
    <col min="1550" max="1551" width="11.875" style="318" customWidth="1"/>
    <col min="1552" max="1552" width="11.75" style="318" customWidth="1"/>
    <col min="1553" max="1553" width="11.375" style="318" customWidth="1"/>
    <col min="1554" max="1554" width="11.875" style="318" customWidth="1"/>
    <col min="1555" max="1555" width="11.375" style="318" customWidth="1"/>
    <col min="1556" max="1556" width="10.375" style="318" customWidth="1"/>
    <col min="1557" max="1557" width="12.875" style="318" customWidth="1"/>
    <col min="1558" max="1558" width="11.75" style="318" customWidth="1"/>
    <col min="1559" max="1559" width="11" style="318" customWidth="1"/>
    <col min="1560" max="1793" width="9" style="318"/>
    <col min="1794" max="1794" width="5.375" style="318" customWidth="1"/>
    <col min="1795" max="1795" width="13.125" style="318" customWidth="1"/>
    <col min="1796" max="1796" width="43.875" style="318" customWidth="1"/>
    <col min="1797" max="1797" width="11.625" style="318" customWidth="1"/>
    <col min="1798" max="1798" width="10.375" style="318" customWidth="1"/>
    <col min="1799" max="1799" width="11" style="318" customWidth="1"/>
    <col min="1800" max="1801" width="12.125" style="318" customWidth="1"/>
    <col min="1802" max="1802" width="12.875" style="318" customWidth="1"/>
    <col min="1803" max="1804" width="12.125" style="318" customWidth="1"/>
    <col min="1805" max="1805" width="11.375" style="318" customWidth="1"/>
    <col min="1806" max="1807" width="11.875" style="318" customWidth="1"/>
    <col min="1808" max="1808" width="11.75" style="318" customWidth="1"/>
    <col min="1809" max="1809" width="11.375" style="318" customWidth="1"/>
    <col min="1810" max="1810" width="11.875" style="318" customWidth="1"/>
    <col min="1811" max="1811" width="11.375" style="318" customWidth="1"/>
    <col min="1812" max="1812" width="10.375" style="318" customWidth="1"/>
    <col min="1813" max="1813" width="12.875" style="318" customWidth="1"/>
    <col min="1814" max="1814" width="11.75" style="318" customWidth="1"/>
    <col min="1815" max="1815" width="11" style="318" customWidth="1"/>
    <col min="1816" max="2049" width="9" style="318"/>
    <col min="2050" max="2050" width="5.375" style="318" customWidth="1"/>
    <col min="2051" max="2051" width="13.125" style="318" customWidth="1"/>
    <col min="2052" max="2052" width="43.875" style="318" customWidth="1"/>
    <col min="2053" max="2053" width="11.625" style="318" customWidth="1"/>
    <col min="2054" max="2054" width="10.375" style="318" customWidth="1"/>
    <col min="2055" max="2055" width="11" style="318" customWidth="1"/>
    <col min="2056" max="2057" width="12.125" style="318" customWidth="1"/>
    <col min="2058" max="2058" width="12.875" style="318" customWidth="1"/>
    <col min="2059" max="2060" width="12.125" style="318" customWidth="1"/>
    <col min="2061" max="2061" width="11.375" style="318" customWidth="1"/>
    <col min="2062" max="2063" width="11.875" style="318" customWidth="1"/>
    <col min="2064" max="2064" width="11.75" style="318" customWidth="1"/>
    <col min="2065" max="2065" width="11.375" style="318" customWidth="1"/>
    <col min="2066" max="2066" width="11.875" style="318" customWidth="1"/>
    <col min="2067" max="2067" width="11.375" style="318" customWidth="1"/>
    <col min="2068" max="2068" width="10.375" style="318" customWidth="1"/>
    <col min="2069" max="2069" width="12.875" style="318" customWidth="1"/>
    <col min="2070" max="2070" width="11.75" style="318" customWidth="1"/>
    <col min="2071" max="2071" width="11" style="318" customWidth="1"/>
    <col min="2072" max="2305" width="9" style="318"/>
    <col min="2306" max="2306" width="5.375" style="318" customWidth="1"/>
    <col min="2307" max="2307" width="13.125" style="318" customWidth="1"/>
    <col min="2308" max="2308" width="43.875" style="318" customWidth="1"/>
    <col min="2309" max="2309" width="11.625" style="318" customWidth="1"/>
    <col min="2310" max="2310" width="10.375" style="318" customWidth="1"/>
    <col min="2311" max="2311" width="11" style="318" customWidth="1"/>
    <col min="2312" max="2313" width="12.125" style="318" customWidth="1"/>
    <col min="2314" max="2314" width="12.875" style="318" customWidth="1"/>
    <col min="2315" max="2316" width="12.125" style="318" customWidth="1"/>
    <col min="2317" max="2317" width="11.375" style="318" customWidth="1"/>
    <col min="2318" max="2319" width="11.875" style="318" customWidth="1"/>
    <col min="2320" max="2320" width="11.75" style="318" customWidth="1"/>
    <col min="2321" max="2321" width="11.375" style="318" customWidth="1"/>
    <col min="2322" max="2322" width="11.875" style="318" customWidth="1"/>
    <col min="2323" max="2323" width="11.375" style="318" customWidth="1"/>
    <col min="2324" max="2324" width="10.375" style="318" customWidth="1"/>
    <col min="2325" max="2325" width="12.875" style="318" customWidth="1"/>
    <col min="2326" max="2326" width="11.75" style="318" customWidth="1"/>
    <col min="2327" max="2327" width="11" style="318" customWidth="1"/>
    <col min="2328" max="2561" width="9" style="318"/>
    <col min="2562" max="2562" width="5.375" style="318" customWidth="1"/>
    <col min="2563" max="2563" width="13.125" style="318" customWidth="1"/>
    <col min="2564" max="2564" width="43.875" style="318" customWidth="1"/>
    <col min="2565" max="2565" width="11.625" style="318" customWidth="1"/>
    <col min="2566" max="2566" width="10.375" style="318" customWidth="1"/>
    <col min="2567" max="2567" width="11" style="318" customWidth="1"/>
    <col min="2568" max="2569" width="12.125" style="318" customWidth="1"/>
    <col min="2570" max="2570" width="12.875" style="318" customWidth="1"/>
    <col min="2571" max="2572" width="12.125" style="318" customWidth="1"/>
    <col min="2573" max="2573" width="11.375" style="318" customWidth="1"/>
    <col min="2574" max="2575" width="11.875" style="318" customWidth="1"/>
    <col min="2576" max="2576" width="11.75" style="318" customWidth="1"/>
    <col min="2577" max="2577" width="11.375" style="318" customWidth="1"/>
    <col min="2578" max="2578" width="11.875" style="318" customWidth="1"/>
    <col min="2579" max="2579" width="11.375" style="318" customWidth="1"/>
    <col min="2580" max="2580" width="10.375" style="318" customWidth="1"/>
    <col min="2581" max="2581" width="12.875" style="318" customWidth="1"/>
    <col min="2582" max="2582" width="11.75" style="318" customWidth="1"/>
    <col min="2583" max="2583" width="11" style="318" customWidth="1"/>
    <col min="2584" max="2817" width="9" style="318"/>
    <col min="2818" max="2818" width="5.375" style="318" customWidth="1"/>
    <col min="2819" max="2819" width="13.125" style="318" customWidth="1"/>
    <col min="2820" max="2820" width="43.875" style="318" customWidth="1"/>
    <col min="2821" max="2821" width="11.625" style="318" customWidth="1"/>
    <col min="2822" max="2822" width="10.375" style="318" customWidth="1"/>
    <col min="2823" max="2823" width="11" style="318" customWidth="1"/>
    <col min="2824" max="2825" width="12.125" style="318" customWidth="1"/>
    <col min="2826" max="2826" width="12.875" style="318" customWidth="1"/>
    <col min="2827" max="2828" width="12.125" style="318" customWidth="1"/>
    <col min="2829" max="2829" width="11.375" style="318" customWidth="1"/>
    <col min="2830" max="2831" width="11.875" style="318" customWidth="1"/>
    <col min="2832" max="2832" width="11.75" style="318" customWidth="1"/>
    <col min="2833" max="2833" width="11.375" style="318" customWidth="1"/>
    <col min="2834" max="2834" width="11.875" style="318" customWidth="1"/>
    <col min="2835" max="2835" width="11.375" style="318" customWidth="1"/>
    <col min="2836" max="2836" width="10.375" style="318" customWidth="1"/>
    <col min="2837" max="2837" width="12.875" style="318" customWidth="1"/>
    <col min="2838" max="2838" width="11.75" style="318" customWidth="1"/>
    <col min="2839" max="2839" width="11" style="318" customWidth="1"/>
    <col min="2840" max="3073" width="9" style="318"/>
    <col min="3074" max="3074" width="5.375" style="318" customWidth="1"/>
    <col min="3075" max="3075" width="13.125" style="318" customWidth="1"/>
    <col min="3076" max="3076" width="43.875" style="318" customWidth="1"/>
    <col min="3077" max="3077" width="11.625" style="318" customWidth="1"/>
    <col min="3078" max="3078" width="10.375" style="318" customWidth="1"/>
    <col min="3079" max="3079" width="11" style="318" customWidth="1"/>
    <col min="3080" max="3081" width="12.125" style="318" customWidth="1"/>
    <col min="3082" max="3082" width="12.875" style="318" customWidth="1"/>
    <col min="3083" max="3084" width="12.125" style="318" customWidth="1"/>
    <col min="3085" max="3085" width="11.375" style="318" customWidth="1"/>
    <col min="3086" max="3087" width="11.875" style="318" customWidth="1"/>
    <col min="3088" max="3088" width="11.75" style="318" customWidth="1"/>
    <col min="3089" max="3089" width="11.375" style="318" customWidth="1"/>
    <col min="3090" max="3090" width="11.875" style="318" customWidth="1"/>
    <col min="3091" max="3091" width="11.375" style="318" customWidth="1"/>
    <col min="3092" max="3092" width="10.375" style="318" customWidth="1"/>
    <col min="3093" max="3093" width="12.875" style="318" customWidth="1"/>
    <col min="3094" max="3094" width="11.75" style="318" customWidth="1"/>
    <col min="3095" max="3095" width="11" style="318" customWidth="1"/>
    <col min="3096" max="3329" width="9" style="318"/>
    <col min="3330" max="3330" width="5.375" style="318" customWidth="1"/>
    <col min="3331" max="3331" width="13.125" style="318" customWidth="1"/>
    <col min="3332" max="3332" width="43.875" style="318" customWidth="1"/>
    <col min="3333" max="3333" width="11.625" style="318" customWidth="1"/>
    <col min="3334" max="3334" width="10.375" style="318" customWidth="1"/>
    <col min="3335" max="3335" width="11" style="318" customWidth="1"/>
    <col min="3336" max="3337" width="12.125" style="318" customWidth="1"/>
    <col min="3338" max="3338" width="12.875" style="318" customWidth="1"/>
    <col min="3339" max="3340" width="12.125" style="318" customWidth="1"/>
    <col min="3341" max="3341" width="11.375" style="318" customWidth="1"/>
    <col min="3342" max="3343" width="11.875" style="318" customWidth="1"/>
    <col min="3344" max="3344" width="11.75" style="318" customWidth="1"/>
    <col min="3345" max="3345" width="11.375" style="318" customWidth="1"/>
    <col min="3346" max="3346" width="11.875" style="318" customWidth="1"/>
    <col min="3347" max="3347" width="11.375" style="318" customWidth="1"/>
    <col min="3348" max="3348" width="10.375" style="318" customWidth="1"/>
    <col min="3349" max="3349" width="12.875" style="318" customWidth="1"/>
    <col min="3350" max="3350" width="11.75" style="318" customWidth="1"/>
    <col min="3351" max="3351" width="11" style="318" customWidth="1"/>
    <col min="3352" max="3585" width="9" style="318"/>
    <col min="3586" max="3586" width="5.375" style="318" customWidth="1"/>
    <col min="3587" max="3587" width="13.125" style="318" customWidth="1"/>
    <col min="3588" max="3588" width="43.875" style="318" customWidth="1"/>
    <col min="3589" max="3589" width="11.625" style="318" customWidth="1"/>
    <col min="3590" max="3590" width="10.375" style="318" customWidth="1"/>
    <col min="3591" max="3591" width="11" style="318" customWidth="1"/>
    <col min="3592" max="3593" width="12.125" style="318" customWidth="1"/>
    <col min="3594" max="3594" width="12.875" style="318" customWidth="1"/>
    <col min="3595" max="3596" width="12.125" style="318" customWidth="1"/>
    <col min="3597" max="3597" width="11.375" style="318" customWidth="1"/>
    <col min="3598" max="3599" width="11.875" style="318" customWidth="1"/>
    <col min="3600" max="3600" width="11.75" style="318" customWidth="1"/>
    <col min="3601" max="3601" width="11.375" style="318" customWidth="1"/>
    <col min="3602" max="3602" width="11.875" style="318" customWidth="1"/>
    <col min="3603" max="3603" width="11.375" style="318" customWidth="1"/>
    <col min="3604" max="3604" width="10.375" style="318" customWidth="1"/>
    <col min="3605" max="3605" width="12.875" style="318" customWidth="1"/>
    <col min="3606" max="3606" width="11.75" style="318" customWidth="1"/>
    <col min="3607" max="3607" width="11" style="318" customWidth="1"/>
    <col min="3608" max="3841" width="9" style="318"/>
    <col min="3842" max="3842" width="5.375" style="318" customWidth="1"/>
    <col min="3843" max="3843" width="13.125" style="318" customWidth="1"/>
    <col min="3844" max="3844" width="43.875" style="318" customWidth="1"/>
    <col min="3845" max="3845" width="11.625" style="318" customWidth="1"/>
    <col min="3846" max="3846" width="10.375" style="318" customWidth="1"/>
    <col min="3847" max="3847" width="11" style="318" customWidth="1"/>
    <col min="3848" max="3849" width="12.125" style="318" customWidth="1"/>
    <col min="3850" max="3850" width="12.875" style="318" customWidth="1"/>
    <col min="3851" max="3852" width="12.125" style="318" customWidth="1"/>
    <col min="3853" max="3853" width="11.375" style="318" customWidth="1"/>
    <col min="3854" max="3855" width="11.875" style="318" customWidth="1"/>
    <col min="3856" max="3856" width="11.75" style="318" customWidth="1"/>
    <col min="3857" max="3857" width="11.375" style="318" customWidth="1"/>
    <col min="3858" max="3858" width="11.875" style="318" customWidth="1"/>
    <col min="3859" max="3859" width="11.375" style="318" customWidth="1"/>
    <col min="3860" max="3860" width="10.375" style="318" customWidth="1"/>
    <col min="3861" max="3861" width="12.875" style="318" customWidth="1"/>
    <col min="3862" max="3862" width="11.75" style="318" customWidth="1"/>
    <col min="3863" max="3863" width="11" style="318" customWidth="1"/>
    <col min="3864" max="4097" width="9" style="318"/>
    <col min="4098" max="4098" width="5.375" style="318" customWidth="1"/>
    <col min="4099" max="4099" width="13.125" style="318" customWidth="1"/>
    <col min="4100" max="4100" width="43.875" style="318" customWidth="1"/>
    <col min="4101" max="4101" width="11.625" style="318" customWidth="1"/>
    <col min="4102" max="4102" width="10.375" style="318" customWidth="1"/>
    <col min="4103" max="4103" width="11" style="318" customWidth="1"/>
    <col min="4104" max="4105" width="12.125" style="318" customWidth="1"/>
    <col min="4106" max="4106" width="12.875" style="318" customWidth="1"/>
    <col min="4107" max="4108" width="12.125" style="318" customWidth="1"/>
    <col min="4109" max="4109" width="11.375" style="318" customWidth="1"/>
    <col min="4110" max="4111" width="11.875" style="318" customWidth="1"/>
    <col min="4112" max="4112" width="11.75" style="318" customWidth="1"/>
    <col min="4113" max="4113" width="11.375" style="318" customWidth="1"/>
    <col min="4114" max="4114" width="11.875" style="318" customWidth="1"/>
    <col min="4115" max="4115" width="11.375" style="318" customWidth="1"/>
    <col min="4116" max="4116" width="10.375" style="318" customWidth="1"/>
    <col min="4117" max="4117" width="12.875" style="318" customWidth="1"/>
    <col min="4118" max="4118" width="11.75" style="318" customWidth="1"/>
    <col min="4119" max="4119" width="11" style="318" customWidth="1"/>
    <col min="4120" max="4353" width="9" style="318"/>
    <col min="4354" max="4354" width="5.375" style="318" customWidth="1"/>
    <col min="4355" max="4355" width="13.125" style="318" customWidth="1"/>
    <col min="4356" max="4356" width="43.875" style="318" customWidth="1"/>
    <col min="4357" max="4357" width="11.625" style="318" customWidth="1"/>
    <col min="4358" max="4358" width="10.375" style="318" customWidth="1"/>
    <col min="4359" max="4359" width="11" style="318" customWidth="1"/>
    <col min="4360" max="4361" width="12.125" style="318" customWidth="1"/>
    <col min="4362" max="4362" width="12.875" style="318" customWidth="1"/>
    <col min="4363" max="4364" width="12.125" style="318" customWidth="1"/>
    <col min="4365" max="4365" width="11.375" style="318" customWidth="1"/>
    <col min="4366" max="4367" width="11.875" style="318" customWidth="1"/>
    <col min="4368" max="4368" width="11.75" style="318" customWidth="1"/>
    <col min="4369" max="4369" width="11.375" style="318" customWidth="1"/>
    <col min="4370" max="4370" width="11.875" style="318" customWidth="1"/>
    <col min="4371" max="4371" width="11.375" style="318" customWidth="1"/>
    <col min="4372" max="4372" width="10.375" style="318" customWidth="1"/>
    <col min="4373" max="4373" width="12.875" style="318" customWidth="1"/>
    <col min="4374" max="4374" width="11.75" style="318" customWidth="1"/>
    <col min="4375" max="4375" width="11" style="318" customWidth="1"/>
    <col min="4376" max="4609" width="9" style="318"/>
    <col min="4610" max="4610" width="5.375" style="318" customWidth="1"/>
    <col min="4611" max="4611" width="13.125" style="318" customWidth="1"/>
    <col min="4612" max="4612" width="43.875" style="318" customWidth="1"/>
    <col min="4613" max="4613" width="11.625" style="318" customWidth="1"/>
    <col min="4614" max="4614" width="10.375" style="318" customWidth="1"/>
    <col min="4615" max="4615" width="11" style="318" customWidth="1"/>
    <col min="4616" max="4617" width="12.125" style="318" customWidth="1"/>
    <col min="4618" max="4618" width="12.875" style="318" customWidth="1"/>
    <col min="4619" max="4620" width="12.125" style="318" customWidth="1"/>
    <col min="4621" max="4621" width="11.375" style="318" customWidth="1"/>
    <col min="4622" max="4623" width="11.875" style="318" customWidth="1"/>
    <col min="4624" max="4624" width="11.75" style="318" customWidth="1"/>
    <col min="4625" max="4625" width="11.375" style="318" customWidth="1"/>
    <col min="4626" max="4626" width="11.875" style="318" customWidth="1"/>
    <col min="4627" max="4627" width="11.375" style="318" customWidth="1"/>
    <col min="4628" max="4628" width="10.375" style="318" customWidth="1"/>
    <col min="4629" max="4629" width="12.875" style="318" customWidth="1"/>
    <col min="4630" max="4630" width="11.75" style="318" customWidth="1"/>
    <col min="4631" max="4631" width="11" style="318" customWidth="1"/>
    <col min="4632" max="4865" width="9" style="318"/>
    <col min="4866" max="4866" width="5.375" style="318" customWidth="1"/>
    <col min="4867" max="4867" width="13.125" style="318" customWidth="1"/>
    <col min="4868" max="4868" width="43.875" style="318" customWidth="1"/>
    <col min="4869" max="4869" width="11.625" style="318" customWidth="1"/>
    <col min="4870" max="4870" width="10.375" style="318" customWidth="1"/>
    <col min="4871" max="4871" width="11" style="318" customWidth="1"/>
    <col min="4872" max="4873" width="12.125" style="318" customWidth="1"/>
    <col min="4874" max="4874" width="12.875" style="318" customWidth="1"/>
    <col min="4875" max="4876" width="12.125" style="318" customWidth="1"/>
    <col min="4877" max="4877" width="11.375" style="318" customWidth="1"/>
    <col min="4878" max="4879" width="11.875" style="318" customWidth="1"/>
    <col min="4880" max="4880" width="11.75" style="318" customWidth="1"/>
    <col min="4881" max="4881" width="11.375" style="318" customWidth="1"/>
    <col min="4882" max="4882" width="11.875" style="318" customWidth="1"/>
    <col min="4883" max="4883" width="11.375" style="318" customWidth="1"/>
    <col min="4884" max="4884" width="10.375" style="318" customWidth="1"/>
    <col min="4885" max="4885" width="12.875" style="318" customWidth="1"/>
    <col min="4886" max="4886" width="11.75" style="318" customWidth="1"/>
    <col min="4887" max="4887" width="11" style="318" customWidth="1"/>
    <col min="4888" max="5121" width="9" style="318"/>
    <col min="5122" max="5122" width="5.375" style="318" customWidth="1"/>
    <col min="5123" max="5123" width="13.125" style="318" customWidth="1"/>
    <col min="5124" max="5124" width="43.875" style="318" customWidth="1"/>
    <col min="5125" max="5125" width="11.625" style="318" customWidth="1"/>
    <col min="5126" max="5126" width="10.375" style="318" customWidth="1"/>
    <col min="5127" max="5127" width="11" style="318" customWidth="1"/>
    <col min="5128" max="5129" width="12.125" style="318" customWidth="1"/>
    <col min="5130" max="5130" width="12.875" style="318" customWidth="1"/>
    <col min="5131" max="5132" width="12.125" style="318" customWidth="1"/>
    <col min="5133" max="5133" width="11.375" style="318" customWidth="1"/>
    <col min="5134" max="5135" width="11.875" style="318" customWidth="1"/>
    <col min="5136" max="5136" width="11.75" style="318" customWidth="1"/>
    <col min="5137" max="5137" width="11.375" style="318" customWidth="1"/>
    <col min="5138" max="5138" width="11.875" style="318" customWidth="1"/>
    <col min="5139" max="5139" width="11.375" style="318" customWidth="1"/>
    <col min="5140" max="5140" width="10.375" style="318" customWidth="1"/>
    <col min="5141" max="5141" width="12.875" style="318" customWidth="1"/>
    <col min="5142" max="5142" width="11.75" style="318" customWidth="1"/>
    <col min="5143" max="5143" width="11" style="318" customWidth="1"/>
    <col min="5144" max="5377" width="9" style="318"/>
    <col min="5378" max="5378" width="5.375" style="318" customWidth="1"/>
    <col min="5379" max="5379" width="13.125" style="318" customWidth="1"/>
    <col min="5380" max="5380" width="43.875" style="318" customWidth="1"/>
    <col min="5381" max="5381" width="11.625" style="318" customWidth="1"/>
    <col min="5382" max="5382" width="10.375" style="318" customWidth="1"/>
    <col min="5383" max="5383" width="11" style="318" customWidth="1"/>
    <col min="5384" max="5385" width="12.125" style="318" customWidth="1"/>
    <col min="5386" max="5386" width="12.875" style="318" customWidth="1"/>
    <col min="5387" max="5388" width="12.125" style="318" customWidth="1"/>
    <col min="5389" max="5389" width="11.375" style="318" customWidth="1"/>
    <col min="5390" max="5391" width="11.875" style="318" customWidth="1"/>
    <col min="5392" max="5392" width="11.75" style="318" customWidth="1"/>
    <col min="5393" max="5393" width="11.375" style="318" customWidth="1"/>
    <col min="5394" max="5394" width="11.875" style="318" customWidth="1"/>
    <col min="5395" max="5395" width="11.375" style="318" customWidth="1"/>
    <col min="5396" max="5396" width="10.375" style="318" customWidth="1"/>
    <col min="5397" max="5397" width="12.875" style="318" customWidth="1"/>
    <col min="5398" max="5398" width="11.75" style="318" customWidth="1"/>
    <col min="5399" max="5399" width="11" style="318" customWidth="1"/>
    <col min="5400" max="5633" width="9" style="318"/>
    <col min="5634" max="5634" width="5.375" style="318" customWidth="1"/>
    <col min="5635" max="5635" width="13.125" style="318" customWidth="1"/>
    <col min="5636" max="5636" width="43.875" style="318" customWidth="1"/>
    <col min="5637" max="5637" width="11.625" style="318" customWidth="1"/>
    <col min="5638" max="5638" width="10.375" style="318" customWidth="1"/>
    <col min="5639" max="5639" width="11" style="318" customWidth="1"/>
    <col min="5640" max="5641" width="12.125" style="318" customWidth="1"/>
    <col min="5642" max="5642" width="12.875" style="318" customWidth="1"/>
    <col min="5643" max="5644" width="12.125" style="318" customWidth="1"/>
    <col min="5645" max="5645" width="11.375" style="318" customWidth="1"/>
    <col min="5646" max="5647" width="11.875" style="318" customWidth="1"/>
    <col min="5648" max="5648" width="11.75" style="318" customWidth="1"/>
    <col min="5649" max="5649" width="11.375" style="318" customWidth="1"/>
    <col min="5650" max="5650" width="11.875" style="318" customWidth="1"/>
    <col min="5651" max="5651" width="11.375" style="318" customWidth="1"/>
    <col min="5652" max="5652" width="10.375" style="318" customWidth="1"/>
    <col min="5653" max="5653" width="12.875" style="318" customWidth="1"/>
    <col min="5654" max="5654" width="11.75" style="318" customWidth="1"/>
    <col min="5655" max="5655" width="11" style="318" customWidth="1"/>
    <col min="5656" max="5889" width="9" style="318"/>
    <col min="5890" max="5890" width="5.375" style="318" customWidth="1"/>
    <col min="5891" max="5891" width="13.125" style="318" customWidth="1"/>
    <col min="5892" max="5892" width="43.875" style="318" customWidth="1"/>
    <col min="5893" max="5893" width="11.625" style="318" customWidth="1"/>
    <col min="5894" max="5894" width="10.375" style="318" customWidth="1"/>
    <col min="5895" max="5895" width="11" style="318" customWidth="1"/>
    <col min="5896" max="5897" width="12.125" style="318" customWidth="1"/>
    <col min="5898" max="5898" width="12.875" style="318" customWidth="1"/>
    <col min="5899" max="5900" width="12.125" style="318" customWidth="1"/>
    <col min="5901" max="5901" width="11.375" style="318" customWidth="1"/>
    <col min="5902" max="5903" width="11.875" style="318" customWidth="1"/>
    <col min="5904" max="5904" width="11.75" style="318" customWidth="1"/>
    <col min="5905" max="5905" width="11.375" style="318" customWidth="1"/>
    <col min="5906" max="5906" width="11.875" style="318" customWidth="1"/>
    <col min="5907" max="5907" width="11.375" style="318" customWidth="1"/>
    <col min="5908" max="5908" width="10.375" style="318" customWidth="1"/>
    <col min="5909" max="5909" width="12.875" style="318" customWidth="1"/>
    <col min="5910" max="5910" width="11.75" style="318" customWidth="1"/>
    <col min="5911" max="5911" width="11" style="318" customWidth="1"/>
    <col min="5912" max="6145" width="9" style="318"/>
    <col min="6146" max="6146" width="5.375" style="318" customWidth="1"/>
    <col min="6147" max="6147" width="13.125" style="318" customWidth="1"/>
    <col min="6148" max="6148" width="43.875" style="318" customWidth="1"/>
    <col min="6149" max="6149" width="11.625" style="318" customWidth="1"/>
    <col min="6150" max="6150" width="10.375" style="318" customWidth="1"/>
    <col min="6151" max="6151" width="11" style="318" customWidth="1"/>
    <col min="6152" max="6153" width="12.125" style="318" customWidth="1"/>
    <col min="6154" max="6154" width="12.875" style="318" customWidth="1"/>
    <col min="6155" max="6156" width="12.125" style="318" customWidth="1"/>
    <col min="6157" max="6157" width="11.375" style="318" customWidth="1"/>
    <col min="6158" max="6159" width="11.875" style="318" customWidth="1"/>
    <col min="6160" max="6160" width="11.75" style="318" customWidth="1"/>
    <col min="6161" max="6161" width="11.375" style="318" customWidth="1"/>
    <col min="6162" max="6162" width="11.875" style="318" customWidth="1"/>
    <col min="6163" max="6163" width="11.375" style="318" customWidth="1"/>
    <col min="6164" max="6164" width="10.375" style="318" customWidth="1"/>
    <col min="6165" max="6165" width="12.875" style="318" customWidth="1"/>
    <col min="6166" max="6166" width="11.75" style="318" customWidth="1"/>
    <col min="6167" max="6167" width="11" style="318" customWidth="1"/>
    <col min="6168" max="6401" width="9" style="318"/>
    <col min="6402" max="6402" width="5.375" style="318" customWidth="1"/>
    <col min="6403" max="6403" width="13.125" style="318" customWidth="1"/>
    <col min="6404" max="6404" width="43.875" style="318" customWidth="1"/>
    <col min="6405" max="6405" width="11.625" style="318" customWidth="1"/>
    <col min="6406" max="6406" width="10.375" style="318" customWidth="1"/>
    <col min="6407" max="6407" width="11" style="318" customWidth="1"/>
    <col min="6408" max="6409" width="12.125" style="318" customWidth="1"/>
    <col min="6410" max="6410" width="12.875" style="318" customWidth="1"/>
    <col min="6411" max="6412" width="12.125" style="318" customWidth="1"/>
    <col min="6413" max="6413" width="11.375" style="318" customWidth="1"/>
    <col min="6414" max="6415" width="11.875" style="318" customWidth="1"/>
    <col min="6416" max="6416" width="11.75" style="318" customWidth="1"/>
    <col min="6417" max="6417" width="11.375" style="318" customWidth="1"/>
    <col min="6418" max="6418" width="11.875" style="318" customWidth="1"/>
    <col min="6419" max="6419" width="11.375" style="318" customWidth="1"/>
    <col min="6420" max="6420" width="10.375" style="318" customWidth="1"/>
    <col min="6421" max="6421" width="12.875" style="318" customWidth="1"/>
    <col min="6422" max="6422" width="11.75" style="318" customWidth="1"/>
    <col min="6423" max="6423" width="11" style="318" customWidth="1"/>
    <col min="6424" max="6657" width="9" style="318"/>
    <col min="6658" max="6658" width="5.375" style="318" customWidth="1"/>
    <col min="6659" max="6659" width="13.125" style="318" customWidth="1"/>
    <col min="6660" max="6660" width="43.875" style="318" customWidth="1"/>
    <col min="6661" max="6661" width="11.625" style="318" customWidth="1"/>
    <col min="6662" max="6662" width="10.375" style="318" customWidth="1"/>
    <col min="6663" max="6663" width="11" style="318" customWidth="1"/>
    <col min="6664" max="6665" width="12.125" style="318" customWidth="1"/>
    <col min="6666" max="6666" width="12.875" style="318" customWidth="1"/>
    <col min="6667" max="6668" width="12.125" style="318" customWidth="1"/>
    <col min="6669" max="6669" width="11.375" style="318" customWidth="1"/>
    <col min="6670" max="6671" width="11.875" style="318" customWidth="1"/>
    <col min="6672" max="6672" width="11.75" style="318" customWidth="1"/>
    <col min="6673" max="6673" width="11.375" style="318" customWidth="1"/>
    <col min="6674" max="6674" width="11.875" style="318" customWidth="1"/>
    <col min="6675" max="6675" width="11.375" style="318" customWidth="1"/>
    <col min="6676" max="6676" width="10.375" style="318" customWidth="1"/>
    <col min="6677" max="6677" width="12.875" style="318" customWidth="1"/>
    <col min="6678" max="6678" width="11.75" style="318" customWidth="1"/>
    <col min="6679" max="6679" width="11" style="318" customWidth="1"/>
    <col min="6680" max="6913" width="9" style="318"/>
    <col min="6914" max="6914" width="5.375" style="318" customWidth="1"/>
    <col min="6915" max="6915" width="13.125" style="318" customWidth="1"/>
    <col min="6916" max="6916" width="43.875" style="318" customWidth="1"/>
    <col min="6917" max="6917" width="11.625" style="318" customWidth="1"/>
    <col min="6918" max="6918" width="10.375" style="318" customWidth="1"/>
    <col min="6919" max="6919" width="11" style="318" customWidth="1"/>
    <col min="6920" max="6921" width="12.125" style="318" customWidth="1"/>
    <col min="6922" max="6922" width="12.875" style="318" customWidth="1"/>
    <col min="6923" max="6924" width="12.125" style="318" customWidth="1"/>
    <col min="6925" max="6925" width="11.375" style="318" customWidth="1"/>
    <col min="6926" max="6927" width="11.875" style="318" customWidth="1"/>
    <col min="6928" max="6928" width="11.75" style="318" customWidth="1"/>
    <col min="6929" max="6929" width="11.375" style="318" customWidth="1"/>
    <col min="6930" max="6930" width="11.875" style="318" customWidth="1"/>
    <col min="6931" max="6931" width="11.375" style="318" customWidth="1"/>
    <col min="6932" max="6932" width="10.375" style="318" customWidth="1"/>
    <col min="6933" max="6933" width="12.875" style="318" customWidth="1"/>
    <col min="6934" max="6934" width="11.75" style="318" customWidth="1"/>
    <col min="6935" max="6935" width="11" style="318" customWidth="1"/>
    <col min="6936" max="7169" width="9" style="318"/>
    <col min="7170" max="7170" width="5.375" style="318" customWidth="1"/>
    <col min="7171" max="7171" width="13.125" style="318" customWidth="1"/>
    <col min="7172" max="7172" width="43.875" style="318" customWidth="1"/>
    <col min="7173" max="7173" width="11.625" style="318" customWidth="1"/>
    <col min="7174" max="7174" width="10.375" style="318" customWidth="1"/>
    <col min="7175" max="7175" width="11" style="318" customWidth="1"/>
    <col min="7176" max="7177" width="12.125" style="318" customWidth="1"/>
    <col min="7178" max="7178" width="12.875" style="318" customWidth="1"/>
    <col min="7179" max="7180" width="12.125" style="318" customWidth="1"/>
    <col min="7181" max="7181" width="11.375" style="318" customWidth="1"/>
    <col min="7182" max="7183" width="11.875" style="318" customWidth="1"/>
    <col min="7184" max="7184" width="11.75" style="318" customWidth="1"/>
    <col min="7185" max="7185" width="11.375" style="318" customWidth="1"/>
    <col min="7186" max="7186" width="11.875" style="318" customWidth="1"/>
    <col min="7187" max="7187" width="11.375" style="318" customWidth="1"/>
    <col min="7188" max="7188" width="10.375" style="318" customWidth="1"/>
    <col min="7189" max="7189" width="12.875" style="318" customWidth="1"/>
    <col min="7190" max="7190" width="11.75" style="318" customWidth="1"/>
    <col min="7191" max="7191" width="11" style="318" customWidth="1"/>
    <col min="7192" max="7425" width="9" style="318"/>
    <col min="7426" max="7426" width="5.375" style="318" customWidth="1"/>
    <col min="7427" max="7427" width="13.125" style="318" customWidth="1"/>
    <col min="7428" max="7428" width="43.875" style="318" customWidth="1"/>
    <col min="7429" max="7429" width="11.625" style="318" customWidth="1"/>
    <col min="7430" max="7430" width="10.375" style="318" customWidth="1"/>
    <col min="7431" max="7431" width="11" style="318" customWidth="1"/>
    <col min="7432" max="7433" width="12.125" style="318" customWidth="1"/>
    <col min="7434" max="7434" width="12.875" style="318" customWidth="1"/>
    <col min="7435" max="7436" width="12.125" style="318" customWidth="1"/>
    <col min="7437" max="7437" width="11.375" style="318" customWidth="1"/>
    <col min="7438" max="7439" width="11.875" style="318" customWidth="1"/>
    <col min="7440" max="7440" width="11.75" style="318" customWidth="1"/>
    <col min="7441" max="7441" width="11.375" style="318" customWidth="1"/>
    <col min="7442" max="7442" width="11.875" style="318" customWidth="1"/>
    <col min="7443" max="7443" width="11.375" style="318" customWidth="1"/>
    <col min="7444" max="7444" width="10.375" style="318" customWidth="1"/>
    <col min="7445" max="7445" width="12.875" style="318" customWidth="1"/>
    <col min="7446" max="7446" width="11.75" style="318" customWidth="1"/>
    <col min="7447" max="7447" width="11" style="318" customWidth="1"/>
    <col min="7448" max="7681" width="9" style="318"/>
    <col min="7682" max="7682" width="5.375" style="318" customWidth="1"/>
    <col min="7683" max="7683" width="13.125" style="318" customWidth="1"/>
    <col min="7684" max="7684" width="43.875" style="318" customWidth="1"/>
    <col min="7685" max="7685" width="11.625" style="318" customWidth="1"/>
    <col min="7686" max="7686" width="10.375" style="318" customWidth="1"/>
    <col min="7687" max="7687" width="11" style="318" customWidth="1"/>
    <col min="7688" max="7689" width="12.125" style="318" customWidth="1"/>
    <col min="7690" max="7690" width="12.875" style="318" customWidth="1"/>
    <col min="7691" max="7692" width="12.125" style="318" customWidth="1"/>
    <col min="7693" max="7693" width="11.375" style="318" customWidth="1"/>
    <col min="7694" max="7695" width="11.875" style="318" customWidth="1"/>
    <col min="7696" max="7696" width="11.75" style="318" customWidth="1"/>
    <col min="7697" max="7697" width="11.375" style="318" customWidth="1"/>
    <col min="7698" max="7698" width="11.875" style="318" customWidth="1"/>
    <col min="7699" max="7699" width="11.375" style="318" customWidth="1"/>
    <col min="7700" max="7700" width="10.375" style="318" customWidth="1"/>
    <col min="7701" max="7701" width="12.875" style="318" customWidth="1"/>
    <col min="7702" max="7702" width="11.75" style="318" customWidth="1"/>
    <col min="7703" max="7703" width="11" style="318" customWidth="1"/>
    <col min="7704" max="7937" width="9" style="318"/>
    <col min="7938" max="7938" width="5.375" style="318" customWidth="1"/>
    <col min="7939" max="7939" width="13.125" style="318" customWidth="1"/>
    <col min="7940" max="7940" width="43.875" style="318" customWidth="1"/>
    <col min="7941" max="7941" width="11.625" style="318" customWidth="1"/>
    <col min="7942" max="7942" width="10.375" style="318" customWidth="1"/>
    <col min="7943" max="7943" width="11" style="318" customWidth="1"/>
    <col min="7944" max="7945" width="12.125" style="318" customWidth="1"/>
    <col min="7946" max="7946" width="12.875" style="318" customWidth="1"/>
    <col min="7947" max="7948" width="12.125" style="318" customWidth="1"/>
    <col min="7949" max="7949" width="11.375" style="318" customWidth="1"/>
    <col min="7950" max="7951" width="11.875" style="318" customWidth="1"/>
    <col min="7952" max="7952" width="11.75" style="318" customWidth="1"/>
    <col min="7953" max="7953" width="11.375" style="318" customWidth="1"/>
    <col min="7954" max="7954" width="11.875" style="318" customWidth="1"/>
    <col min="7955" max="7955" width="11.375" style="318" customWidth="1"/>
    <col min="7956" max="7956" width="10.375" style="318" customWidth="1"/>
    <col min="7957" max="7957" width="12.875" style="318" customWidth="1"/>
    <col min="7958" max="7958" width="11.75" style="318" customWidth="1"/>
    <col min="7959" max="7959" width="11" style="318" customWidth="1"/>
    <col min="7960" max="8193" width="9" style="318"/>
    <col min="8194" max="8194" width="5.375" style="318" customWidth="1"/>
    <col min="8195" max="8195" width="13.125" style="318" customWidth="1"/>
    <col min="8196" max="8196" width="43.875" style="318" customWidth="1"/>
    <col min="8197" max="8197" width="11.625" style="318" customWidth="1"/>
    <col min="8198" max="8198" width="10.375" style="318" customWidth="1"/>
    <col min="8199" max="8199" width="11" style="318" customWidth="1"/>
    <col min="8200" max="8201" width="12.125" style="318" customWidth="1"/>
    <col min="8202" max="8202" width="12.875" style="318" customWidth="1"/>
    <col min="8203" max="8204" width="12.125" style="318" customWidth="1"/>
    <col min="8205" max="8205" width="11.375" style="318" customWidth="1"/>
    <col min="8206" max="8207" width="11.875" style="318" customWidth="1"/>
    <col min="8208" max="8208" width="11.75" style="318" customWidth="1"/>
    <col min="8209" max="8209" width="11.375" style="318" customWidth="1"/>
    <col min="8210" max="8210" width="11.875" style="318" customWidth="1"/>
    <col min="8211" max="8211" width="11.375" style="318" customWidth="1"/>
    <col min="8212" max="8212" width="10.375" style="318" customWidth="1"/>
    <col min="8213" max="8213" width="12.875" style="318" customWidth="1"/>
    <col min="8214" max="8214" width="11.75" style="318" customWidth="1"/>
    <col min="8215" max="8215" width="11" style="318" customWidth="1"/>
    <col min="8216" max="8449" width="9" style="318"/>
    <col min="8450" max="8450" width="5.375" style="318" customWidth="1"/>
    <col min="8451" max="8451" width="13.125" style="318" customWidth="1"/>
    <col min="8452" max="8452" width="43.875" style="318" customWidth="1"/>
    <col min="8453" max="8453" width="11.625" style="318" customWidth="1"/>
    <col min="8454" max="8454" width="10.375" style="318" customWidth="1"/>
    <col min="8455" max="8455" width="11" style="318" customWidth="1"/>
    <col min="8456" max="8457" width="12.125" style="318" customWidth="1"/>
    <col min="8458" max="8458" width="12.875" style="318" customWidth="1"/>
    <col min="8459" max="8460" width="12.125" style="318" customWidth="1"/>
    <col min="8461" max="8461" width="11.375" style="318" customWidth="1"/>
    <col min="8462" max="8463" width="11.875" style="318" customWidth="1"/>
    <col min="8464" max="8464" width="11.75" style="318" customWidth="1"/>
    <col min="8465" max="8465" width="11.375" style="318" customWidth="1"/>
    <col min="8466" max="8466" width="11.875" style="318" customWidth="1"/>
    <col min="8467" max="8467" width="11.375" style="318" customWidth="1"/>
    <col min="8468" max="8468" width="10.375" style="318" customWidth="1"/>
    <col min="8469" max="8469" width="12.875" style="318" customWidth="1"/>
    <col min="8470" max="8470" width="11.75" style="318" customWidth="1"/>
    <col min="8471" max="8471" width="11" style="318" customWidth="1"/>
    <col min="8472" max="8705" width="9" style="318"/>
    <col min="8706" max="8706" width="5.375" style="318" customWidth="1"/>
    <col min="8707" max="8707" width="13.125" style="318" customWidth="1"/>
    <col min="8708" max="8708" width="43.875" style="318" customWidth="1"/>
    <col min="8709" max="8709" width="11.625" style="318" customWidth="1"/>
    <col min="8710" max="8710" width="10.375" style="318" customWidth="1"/>
    <col min="8711" max="8711" width="11" style="318" customWidth="1"/>
    <col min="8712" max="8713" width="12.125" style="318" customWidth="1"/>
    <col min="8714" max="8714" width="12.875" style="318" customWidth="1"/>
    <col min="8715" max="8716" width="12.125" style="318" customWidth="1"/>
    <col min="8717" max="8717" width="11.375" style="318" customWidth="1"/>
    <col min="8718" max="8719" width="11.875" style="318" customWidth="1"/>
    <col min="8720" max="8720" width="11.75" style="318" customWidth="1"/>
    <col min="8721" max="8721" width="11.375" style="318" customWidth="1"/>
    <col min="8722" max="8722" width="11.875" style="318" customWidth="1"/>
    <col min="8723" max="8723" width="11.375" style="318" customWidth="1"/>
    <col min="8724" max="8724" width="10.375" style="318" customWidth="1"/>
    <col min="8725" max="8725" width="12.875" style="318" customWidth="1"/>
    <col min="8726" max="8726" width="11.75" style="318" customWidth="1"/>
    <col min="8727" max="8727" width="11" style="318" customWidth="1"/>
    <col min="8728" max="8961" width="9" style="318"/>
    <col min="8962" max="8962" width="5.375" style="318" customWidth="1"/>
    <col min="8963" max="8963" width="13.125" style="318" customWidth="1"/>
    <col min="8964" max="8964" width="43.875" style="318" customWidth="1"/>
    <col min="8965" max="8965" width="11.625" style="318" customWidth="1"/>
    <col min="8966" max="8966" width="10.375" style="318" customWidth="1"/>
    <col min="8967" max="8967" width="11" style="318" customWidth="1"/>
    <col min="8968" max="8969" width="12.125" style="318" customWidth="1"/>
    <col min="8970" max="8970" width="12.875" style="318" customWidth="1"/>
    <col min="8971" max="8972" width="12.125" style="318" customWidth="1"/>
    <col min="8973" max="8973" width="11.375" style="318" customWidth="1"/>
    <col min="8974" max="8975" width="11.875" style="318" customWidth="1"/>
    <col min="8976" max="8976" width="11.75" style="318" customWidth="1"/>
    <col min="8977" max="8977" width="11.375" style="318" customWidth="1"/>
    <col min="8978" max="8978" width="11.875" style="318" customWidth="1"/>
    <col min="8979" max="8979" width="11.375" style="318" customWidth="1"/>
    <col min="8980" max="8980" width="10.375" style="318" customWidth="1"/>
    <col min="8981" max="8981" width="12.875" style="318" customWidth="1"/>
    <col min="8982" max="8982" width="11.75" style="318" customWidth="1"/>
    <col min="8983" max="8983" width="11" style="318" customWidth="1"/>
    <col min="8984" max="9217" width="9" style="318"/>
    <col min="9218" max="9218" width="5.375" style="318" customWidth="1"/>
    <col min="9219" max="9219" width="13.125" style="318" customWidth="1"/>
    <col min="9220" max="9220" width="43.875" style="318" customWidth="1"/>
    <col min="9221" max="9221" width="11.625" style="318" customWidth="1"/>
    <col min="9222" max="9222" width="10.375" style="318" customWidth="1"/>
    <col min="9223" max="9223" width="11" style="318" customWidth="1"/>
    <col min="9224" max="9225" width="12.125" style="318" customWidth="1"/>
    <col min="9226" max="9226" width="12.875" style="318" customWidth="1"/>
    <col min="9227" max="9228" width="12.125" style="318" customWidth="1"/>
    <col min="9229" max="9229" width="11.375" style="318" customWidth="1"/>
    <col min="9230" max="9231" width="11.875" style="318" customWidth="1"/>
    <col min="9232" max="9232" width="11.75" style="318" customWidth="1"/>
    <col min="9233" max="9233" width="11.375" style="318" customWidth="1"/>
    <col min="9234" max="9234" width="11.875" style="318" customWidth="1"/>
    <col min="9235" max="9235" width="11.375" style="318" customWidth="1"/>
    <col min="9236" max="9236" width="10.375" style="318" customWidth="1"/>
    <col min="9237" max="9237" width="12.875" style="318" customWidth="1"/>
    <col min="9238" max="9238" width="11.75" style="318" customWidth="1"/>
    <col min="9239" max="9239" width="11" style="318" customWidth="1"/>
    <col min="9240" max="9473" width="9" style="318"/>
    <col min="9474" max="9474" width="5.375" style="318" customWidth="1"/>
    <col min="9475" max="9475" width="13.125" style="318" customWidth="1"/>
    <col min="9476" max="9476" width="43.875" style="318" customWidth="1"/>
    <col min="9477" max="9477" width="11.625" style="318" customWidth="1"/>
    <col min="9478" max="9478" width="10.375" style="318" customWidth="1"/>
    <col min="9479" max="9479" width="11" style="318" customWidth="1"/>
    <col min="9480" max="9481" width="12.125" style="318" customWidth="1"/>
    <col min="9482" max="9482" width="12.875" style="318" customWidth="1"/>
    <col min="9483" max="9484" width="12.125" style="318" customWidth="1"/>
    <col min="9485" max="9485" width="11.375" style="318" customWidth="1"/>
    <col min="9486" max="9487" width="11.875" style="318" customWidth="1"/>
    <col min="9488" max="9488" width="11.75" style="318" customWidth="1"/>
    <col min="9489" max="9489" width="11.375" style="318" customWidth="1"/>
    <col min="9490" max="9490" width="11.875" style="318" customWidth="1"/>
    <col min="9491" max="9491" width="11.375" style="318" customWidth="1"/>
    <col min="9492" max="9492" width="10.375" style="318" customWidth="1"/>
    <col min="9493" max="9493" width="12.875" style="318" customWidth="1"/>
    <col min="9494" max="9494" width="11.75" style="318" customWidth="1"/>
    <col min="9495" max="9495" width="11" style="318" customWidth="1"/>
    <col min="9496" max="9729" width="9" style="318"/>
    <col min="9730" max="9730" width="5.375" style="318" customWidth="1"/>
    <col min="9731" max="9731" width="13.125" style="318" customWidth="1"/>
    <col min="9732" max="9732" width="43.875" style="318" customWidth="1"/>
    <col min="9733" max="9733" width="11.625" style="318" customWidth="1"/>
    <col min="9734" max="9734" width="10.375" style="318" customWidth="1"/>
    <col min="9735" max="9735" width="11" style="318" customWidth="1"/>
    <col min="9736" max="9737" width="12.125" style="318" customWidth="1"/>
    <col min="9738" max="9738" width="12.875" style="318" customWidth="1"/>
    <col min="9739" max="9740" width="12.125" style="318" customWidth="1"/>
    <col min="9741" max="9741" width="11.375" style="318" customWidth="1"/>
    <col min="9742" max="9743" width="11.875" style="318" customWidth="1"/>
    <col min="9744" max="9744" width="11.75" style="318" customWidth="1"/>
    <col min="9745" max="9745" width="11.375" style="318" customWidth="1"/>
    <col min="9746" max="9746" width="11.875" style="318" customWidth="1"/>
    <col min="9747" max="9747" width="11.375" style="318" customWidth="1"/>
    <col min="9748" max="9748" width="10.375" style="318" customWidth="1"/>
    <col min="9749" max="9749" width="12.875" style="318" customWidth="1"/>
    <col min="9750" max="9750" width="11.75" style="318" customWidth="1"/>
    <col min="9751" max="9751" width="11" style="318" customWidth="1"/>
    <col min="9752" max="9985" width="9" style="318"/>
    <col min="9986" max="9986" width="5.375" style="318" customWidth="1"/>
    <col min="9987" max="9987" width="13.125" style="318" customWidth="1"/>
    <col min="9988" max="9988" width="43.875" style="318" customWidth="1"/>
    <col min="9989" max="9989" width="11.625" style="318" customWidth="1"/>
    <col min="9990" max="9990" width="10.375" style="318" customWidth="1"/>
    <col min="9991" max="9991" width="11" style="318" customWidth="1"/>
    <col min="9992" max="9993" width="12.125" style="318" customWidth="1"/>
    <col min="9994" max="9994" width="12.875" style="318" customWidth="1"/>
    <col min="9995" max="9996" width="12.125" style="318" customWidth="1"/>
    <col min="9997" max="9997" width="11.375" style="318" customWidth="1"/>
    <col min="9998" max="9999" width="11.875" style="318" customWidth="1"/>
    <col min="10000" max="10000" width="11.75" style="318" customWidth="1"/>
    <col min="10001" max="10001" width="11.375" style="318" customWidth="1"/>
    <col min="10002" max="10002" width="11.875" style="318" customWidth="1"/>
    <col min="10003" max="10003" width="11.375" style="318" customWidth="1"/>
    <col min="10004" max="10004" width="10.375" style="318" customWidth="1"/>
    <col min="10005" max="10005" width="12.875" style="318" customWidth="1"/>
    <col min="10006" max="10006" width="11.75" style="318" customWidth="1"/>
    <col min="10007" max="10007" width="11" style="318" customWidth="1"/>
    <col min="10008" max="10241" width="9" style="318"/>
    <col min="10242" max="10242" width="5.375" style="318" customWidth="1"/>
    <col min="10243" max="10243" width="13.125" style="318" customWidth="1"/>
    <col min="10244" max="10244" width="43.875" style="318" customWidth="1"/>
    <col min="10245" max="10245" width="11.625" style="318" customWidth="1"/>
    <col min="10246" max="10246" width="10.375" style="318" customWidth="1"/>
    <col min="10247" max="10247" width="11" style="318" customWidth="1"/>
    <col min="10248" max="10249" width="12.125" style="318" customWidth="1"/>
    <col min="10250" max="10250" width="12.875" style="318" customWidth="1"/>
    <col min="10251" max="10252" width="12.125" style="318" customWidth="1"/>
    <col min="10253" max="10253" width="11.375" style="318" customWidth="1"/>
    <col min="10254" max="10255" width="11.875" style="318" customWidth="1"/>
    <col min="10256" max="10256" width="11.75" style="318" customWidth="1"/>
    <col min="10257" max="10257" width="11.375" style="318" customWidth="1"/>
    <col min="10258" max="10258" width="11.875" style="318" customWidth="1"/>
    <col min="10259" max="10259" width="11.375" style="318" customWidth="1"/>
    <col min="10260" max="10260" width="10.375" style="318" customWidth="1"/>
    <col min="10261" max="10261" width="12.875" style="318" customWidth="1"/>
    <col min="10262" max="10262" width="11.75" style="318" customWidth="1"/>
    <col min="10263" max="10263" width="11" style="318" customWidth="1"/>
    <col min="10264" max="10497" width="9" style="318"/>
    <col min="10498" max="10498" width="5.375" style="318" customWidth="1"/>
    <col min="10499" max="10499" width="13.125" style="318" customWidth="1"/>
    <col min="10500" max="10500" width="43.875" style="318" customWidth="1"/>
    <col min="10501" max="10501" width="11.625" style="318" customWidth="1"/>
    <col min="10502" max="10502" width="10.375" style="318" customWidth="1"/>
    <col min="10503" max="10503" width="11" style="318" customWidth="1"/>
    <col min="10504" max="10505" width="12.125" style="318" customWidth="1"/>
    <col min="10506" max="10506" width="12.875" style="318" customWidth="1"/>
    <col min="10507" max="10508" width="12.125" style="318" customWidth="1"/>
    <col min="10509" max="10509" width="11.375" style="318" customWidth="1"/>
    <col min="10510" max="10511" width="11.875" style="318" customWidth="1"/>
    <col min="10512" max="10512" width="11.75" style="318" customWidth="1"/>
    <col min="10513" max="10513" width="11.375" style="318" customWidth="1"/>
    <col min="10514" max="10514" width="11.875" style="318" customWidth="1"/>
    <col min="10515" max="10515" width="11.375" style="318" customWidth="1"/>
    <col min="10516" max="10516" width="10.375" style="318" customWidth="1"/>
    <col min="10517" max="10517" width="12.875" style="318" customWidth="1"/>
    <col min="10518" max="10518" width="11.75" style="318" customWidth="1"/>
    <col min="10519" max="10519" width="11" style="318" customWidth="1"/>
    <col min="10520" max="10753" width="9" style="318"/>
    <col min="10754" max="10754" width="5.375" style="318" customWidth="1"/>
    <col min="10755" max="10755" width="13.125" style="318" customWidth="1"/>
    <col min="10756" max="10756" width="43.875" style="318" customWidth="1"/>
    <col min="10757" max="10757" width="11.625" style="318" customWidth="1"/>
    <col min="10758" max="10758" width="10.375" style="318" customWidth="1"/>
    <col min="10759" max="10759" width="11" style="318" customWidth="1"/>
    <col min="10760" max="10761" width="12.125" style="318" customWidth="1"/>
    <col min="10762" max="10762" width="12.875" style="318" customWidth="1"/>
    <col min="10763" max="10764" width="12.125" style="318" customWidth="1"/>
    <col min="10765" max="10765" width="11.375" style="318" customWidth="1"/>
    <col min="10766" max="10767" width="11.875" style="318" customWidth="1"/>
    <col min="10768" max="10768" width="11.75" style="318" customWidth="1"/>
    <col min="10769" max="10769" width="11.375" style="318" customWidth="1"/>
    <col min="10770" max="10770" width="11.875" style="318" customWidth="1"/>
    <col min="10771" max="10771" width="11.375" style="318" customWidth="1"/>
    <col min="10772" max="10772" width="10.375" style="318" customWidth="1"/>
    <col min="10773" max="10773" width="12.875" style="318" customWidth="1"/>
    <col min="10774" max="10774" width="11.75" style="318" customWidth="1"/>
    <col min="10775" max="10775" width="11" style="318" customWidth="1"/>
    <col min="10776" max="11009" width="9" style="318"/>
    <col min="11010" max="11010" width="5.375" style="318" customWidth="1"/>
    <col min="11011" max="11011" width="13.125" style="318" customWidth="1"/>
    <col min="11012" max="11012" width="43.875" style="318" customWidth="1"/>
    <col min="11013" max="11013" width="11.625" style="318" customWidth="1"/>
    <col min="11014" max="11014" width="10.375" style="318" customWidth="1"/>
    <col min="11015" max="11015" width="11" style="318" customWidth="1"/>
    <col min="11016" max="11017" width="12.125" style="318" customWidth="1"/>
    <col min="11018" max="11018" width="12.875" style="318" customWidth="1"/>
    <col min="11019" max="11020" width="12.125" style="318" customWidth="1"/>
    <col min="11021" max="11021" width="11.375" style="318" customWidth="1"/>
    <col min="11022" max="11023" width="11.875" style="318" customWidth="1"/>
    <col min="11024" max="11024" width="11.75" style="318" customWidth="1"/>
    <col min="11025" max="11025" width="11.375" style="318" customWidth="1"/>
    <col min="11026" max="11026" width="11.875" style="318" customWidth="1"/>
    <col min="11027" max="11027" width="11.375" style="318" customWidth="1"/>
    <col min="11028" max="11028" width="10.375" style="318" customWidth="1"/>
    <col min="11029" max="11029" width="12.875" style="318" customWidth="1"/>
    <col min="11030" max="11030" width="11.75" style="318" customWidth="1"/>
    <col min="11031" max="11031" width="11" style="318" customWidth="1"/>
    <col min="11032" max="11265" width="9" style="318"/>
    <col min="11266" max="11266" width="5.375" style="318" customWidth="1"/>
    <col min="11267" max="11267" width="13.125" style="318" customWidth="1"/>
    <col min="11268" max="11268" width="43.875" style="318" customWidth="1"/>
    <col min="11269" max="11269" width="11.625" style="318" customWidth="1"/>
    <col min="11270" max="11270" width="10.375" style="318" customWidth="1"/>
    <col min="11271" max="11271" width="11" style="318" customWidth="1"/>
    <col min="11272" max="11273" width="12.125" style="318" customWidth="1"/>
    <col min="11274" max="11274" width="12.875" style="318" customWidth="1"/>
    <col min="11275" max="11276" width="12.125" style="318" customWidth="1"/>
    <col min="11277" max="11277" width="11.375" style="318" customWidth="1"/>
    <col min="11278" max="11279" width="11.875" style="318" customWidth="1"/>
    <col min="11280" max="11280" width="11.75" style="318" customWidth="1"/>
    <col min="11281" max="11281" width="11.375" style="318" customWidth="1"/>
    <col min="11282" max="11282" width="11.875" style="318" customWidth="1"/>
    <col min="11283" max="11283" width="11.375" style="318" customWidth="1"/>
    <col min="11284" max="11284" width="10.375" style="318" customWidth="1"/>
    <col min="11285" max="11285" width="12.875" style="318" customWidth="1"/>
    <col min="11286" max="11286" width="11.75" style="318" customWidth="1"/>
    <col min="11287" max="11287" width="11" style="318" customWidth="1"/>
    <col min="11288" max="11521" width="9" style="318"/>
    <col min="11522" max="11522" width="5.375" style="318" customWidth="1"/>
    <col min="11523" max="11523" width="13.125" style="318" customWidth="1"/>
    <col min="11524" max="11524" width="43.875" style="318" customWidth="1"/>
    <col min="11525" max="11525" width="11.625" style="318" customWidth="1"/>
    <col min="11526" max="11526" width="10.375" style="318" customWidth="1"/>
    <col min="11527" max="11527" width="11" style="318" customWidth="1"/>
    <col min="11528" max="11529" width="12.125" style="318" customWidth="1"/>
    <col min="11530" max="11530" width="12.875" style="318" customWidth="1"/>
    <col min="11531" max="11532" width="12.125" style="318" customWidth="1"/>
    <col min="11533" max="11533" width="11.375" style="318" customWidth="1"/>
    <col min="11534" max="11535" width="11.875" style="318" customWidth="1"/>
    <col min="11536" max="11536" width="11.75" style="318" customWidth="1"/>
    <col min="11537" max="11537" width="11.375" style="318" customWidth="1"/>
    <col min="11538" max="11538" width="11.875" style="318" customWidth="1"/>
    <col min="11539" max="11539" width="11.375" style="318" customWidth="1"/>
    <col min="11540" max="11540" width="10.375" style="318" customWidth="1"/>
    <col min="11541" max="11541" width="12.875" style="318" customWidth="1"/>
    <col min="11542" max="11542" width="11.75" style="318" customWidth="1"/>
    <col min="11543" max="11543" width="11" style="318" customWidth="1"/>
    <col min="11544" max="11777" width="9" style="318"/>
    <col min="11778" max="11778" width="5.375" style="318" customWidth="1"/>
    <col min="11779" max="11779" width="13.125" style="318" customWidth="1"/>
    <col min="11780" max="11780" width="43.875" style="318" customWidth="1"/>
    <col min="11781" max="11781" width="11.625" style="318" customWidth="1"/>
    <col min="11782" max="11782" width="10.375" style="318" customWidth="1"/>
    <col min="11783" max="11783" width="11" style="318" customWidth="1"/>
    <col min="11784" max="11785" width="12.125" style="318" customWidth="1"/>
    <col min="11786" max="11786" width="12.875" style="318" customWidth="1"/>
    <col min="11787" max="11788" width="12.125" style="318" customWidth="1"/>
    <col min="11789" max="11789" width="11.375" style="318" customWidth="1"/>
    <col min="11790" max="11791" width="11.875" style="318" customWidth="1"/>
    <col min="11792" max="11792" width="11.75" style="318" customWidth="1"/>
    <col min="11793" max="11793" width="11.375" style="318" customWidth="1"/>
    <col min="11794" max="11794" width="11.875" style="318" customWidth="1"/>
    <col min="11795" max="11795" width="11.375" style="318" customWidth="1"/>
    <col min="11796" max="11796" width="10.375" style="318" customWidth="1"/>
    <col min="11797" max="11797" width="12.875" style="318" customWidth="1"/>
    <col min="11798" max="11798" width="11.75" style="318" customWidth="1"/>
    <col min="11799" max="11799" width="11" style="318" customWidth="1"/>
    <col min="11800" max="12033" width="9" style="318"/>
    <col min="12034" max="12034" width="5.375" style="318" customWidth="1"/>
    <col min="12035" max="12035" width="13.125" style="318" customWidth="1"/>
    <col min="12036" max="12036" width="43.875" style="318" customWidth="1"/>
    <col min="12037" max="12037" width="11.625" style="318" customWidth="1"/>
    <col min="12038" max="12038" width="10.375" style="318" customWidth="1"/>
    <col min="12039" max="12039" width="11" style="318" customWidth="1"/>
    <col min="12040" max="12041" width="12.125" style="318" customWidth="1"/>
    <col min="12042" max="12042" width="12.875" style="318" customWidth="1"/>
    <col min="12043" max="12044" width="12.125" style="318" customWidth="1"/>
    <col min="12045" max="12045" width="11.375" style="318" customWidth="1"/>
    <col min="12046" max="12047" width="11.875" style="318" customWidth="1"/>
    <col min="12048" max="12048" width="11.75" style="318" customWidth="1"/>
    <col min="12049" max="12049" width="11.375" style="318" customWidth="1"/>
    <col min="12050" max="12050" width="11.875" style="318" customWidth="1"/>
    <col min="12051" max="12051" width="11.375" style="318" customWidth="1"/>
    <col min="12052" max="12052" width="10.375" style="318" customWidth="1"/>
    <col min="12053" max="12053" width="12.875" style="318" customWidth="1"/>
    <col min="12054" max="12054" width="11.75" style="318" customWidth="1"/>
    <col min="12055" max="12055" width="11" style="318" customWidth="1"/>
    <col min="12056" max="12289" width="9" style="318"/>
    <col min="12290" max="12290" width="5.375" style="318" customWidth="1"/>
    <col min="12291" max="12291" width="13.125" style="318" customWidth="1"/>
    <col min="12292" max="12292" width="43.875" style="318" customWidth="1"/>
    <col min="12293" max="12293" width="11.625" style="318" customWidth="1"/>
    <col min="12294" max="12294" width="10.375" style="318" customWidth="1"/>
    <col min="12295" max="12295" width="11" style="318" customWidth="1"/>
    <col min="12296" max="12297" width="12.125" style="318" customWidth="1"/>
    <col min="12298" max="12298" width="12.875" style="318" customWidth="1"/>
    <col min="12299" max="12300" width="12.125" style="318" customWidth="1"/>
    <col min="12301" max="12301" width="11.375" style="318" customWidth="1"/>
    <col min="12302" max="12303" width="11.875" style="318" customWidth="1"/>
    <col min="12304" max="12304" width="11.75" style="318" customWidth="1"/>
    <col min="12305" max="12305" width="11.375" style="318" customWidth="1"/>
    <col min="12306" max="12306" width="11.875" style="318" customWidth="1"/>
    <col min="12307" max="12307" width="11.375" style="318" customWidth="1"/>
    <col min="12308" max="12308" width="10.375" style="318" customWidth="1"/>
    <col min="12309" max="12309" width="12.875" style="318" customWidth="1"/>
    <col min="12310" max="12310" width="11.75" style="318" customWidth="1"/>
    <col min="12311" max="12311" width="11" style="318" customWidth="1"/>
    <col min="12312" max="12545" width="9" style="318"/>
    <col min="12546" max="12546" width="5.375" style="318" customWidth="1"/>
    <col min="12547" max="12547" width="13.125" style="318" customWidth="1"/>
    <col min="12548" max="12548" width="43.875" style="318" customWidth="1"/>
    <col min="12549" max="12549" width="11.625" style="318" customWidth="1"/>
    <col min="12550" max="12550" width="10.375" style="318" customWidth="1"/>
    <col min="12551" max="12551" width="11" style="318" customWidth="1"/>
    <col min="12552" max="12553" width="12.125" style="318" customWidth="1"/>
    <col min="12554" max="12554" width="12.875" style="318" customWidth="1"/>
    <col min="12555" max="12556" width="12.125" style="318" customWidth="1"/>
    <col min="12557" max="12557" width="11.375" style="318" customWidth="1"/>
    <col min="12558" max="12559" width="11.875" style="318" customWidth="1"/>
    <col min="12560" max="12560" width="11.75" style="318" customWidth="1"/>
    <col min="12561" max="12561" width="11.375" style="318" customWidth="1"/>
    <col min="12562" max="12562" width="11.875" style="318" customWidth="1"/>
    <col min="12563" max="12563" width="11.375" style="318" customWidth="1"/>
    <col min="12564" max="12564" width="10.375" style="318" customWidth="1"/>
    <col min="12565" max="12565" width="12.875" style="318" customWidth="1"/>
    <col min="12566" max="12566" width="11.75" style="318" customWidth="1"/>
    <col min="12567" max="12567" width="11" style="318" customWidth="1"/>
    <col min="12568" max="12801" width="9" style="318"/>
    <col min="12802" max="12802" width="5.375" style="318" customWidth="1"/>
    <col min="12803" max="12803" width="13.125" style="318" customWidth="1"/>
    <col min="12804" max="12804" width="43.875" style="318" customWidth="1"/>
    <col min="12805" max="12805" width="11.625" style="318" customWidth="1"/>
    <col min="12806" max="12806" width="10.375" style="318" customWidth="1"/>
    <col min="12807" max="12807" width="11" style="318" customWidth="1"/>
    <col min="12808" max="12809" width="12.125" style="318" customWidth="1"/>
    <col min="12810" max="12810" width="12.875" style="318" customWidth="1"/>
    <col min="12811" max="12812" width="12.125" style="318" customWidth="1"/>
    <col min="12813" max="12813" width="11.375" style="318" customWidth="1"/>
    <col min="12814" max="12815" width="11.875" style="318" customWidth="1"/>
    <col min="12816" max="12816" width="11.75" style="318" customWidth="1"/>
    <col min="12817" max="12817" width="11.375" style="318" customWidth="1"/>
    <col min="12818" max="12818" width="11.875" style="318" customWidth="1"/>
    <col min="12819" max="12819" width="11.375" style="318" customWidth="1"/>
    <col min="12820" max="12820" width="10.375" style="318" customWidth="1"/>
    <col min="12821" max="12821" width="12.875" style="318" customWidth="1"/>
    <col min="12822" max="12822" width="11.75" style="318" customWidth="1"/>
    <col min="12823" max="12823" width="11" style="318" customWidth="1"/>
    <col min="12824" max="13057" width="9" style="318"/>
    <col min="13058" max="13058" width="5.375" style="318" customWidth="1"/>
    <col min="13059" max="13059" width="13.125" style="318" customWidth="1"/>
    <col min="13060" max="13060" width="43.875" style="318" customWidth="1"/>
    <col min="13061" max="13061" width="11.625" style="318" customWidth="1"/>
    <col min="13062" max="13062" width="10.375" style="318" customWidth="1"/>
    <col min="13063" max="13063" width="11" style="318" customWidth="1"/>
    <col min="13064" max="13065" width="12.125" style="318" customWidth="1"/>
    <col min="13066" max="13066" width="12.875" style="318" customWidth="1"/>
    <col min="13067" max="13068" width="12.125" style="318" customWidth="1"/>
    <col min="13069" max="13069" width="11.375" style="318" customWidth="1"/>
    <col min="13070" max="13071" width="11.875" style="318" customWidth="1"/>
    <col min="13072" max="13072" width="11.75" style="318" customWidth="1"/>
    <col min="13073" max="13073" width="11.375" style="318" customWidth="1"/>
    <col min="13074" max="13074" width="11.875" style="318" customWidth="1"/>
    <col min="13075" max="13075" width="11.375" style="318" customWidth="1"/>
    <col min="13076" max="13076" width="10.375" style="318" customWidth="1"/>
    <col min="13077" max="13077" width="12.875" style="318" customWidth="1"/>
    <col min="13078" max="13078" width="11.75" style="318" customWidth="1"/>
    <col min="13079" max="13079" width="11" style="318" customWidth="1"/>
    <col min="13080" max="13313" width="9" style="318"/>
    <col min="13314" max="13314" width="5.375" style="318" customWidth="1"/>
    <col min="13315" max="13315" width="13.125" style="318" customWidth="1"/>
    <col min="13316" max="13316" width="43.875" style="318" customWidth="1"/>
    <col min="13317" max="13317" width="11.625" style="318" customWidth="1"/>
    <col min="13318" max="13318" width="10.375" style="318" customWidth="1"/>
    <col min="13319" max="13319" width="11" style="318" customWidth="1"/>
    <col min="13320" max="13321" width="12.125" style="318" customWidth="1"/>
    <col min="13322" max="13322" width="12.875" style="318" customWidth="1"/>
    <col min="13323" max="13324" width="12.125" style="318" customWidth="1"/>
    <col min="13325" max="13325" width="11.375" style="318" customWidth="1"/>
    <col min="13326" max="13327" width="11.875" style="318" customWidth="1"/>
    <col min="13328" max="13328" width="11.75" style="318" customWidth="1"/>
    <col min="13329" max="13329" width="11.375" style="318" customWidth="1"/>
    <col min="13330" max="13330" width="11.875" style="318" customWidth="1"/>
    <col min="13331" max="13331" width="11.375" style="318" customWidth="1"/>
    <col min="13332" max="13332" width="10.375" style="318" customWidth="1"/>
    <col min="13333" max="13333" width="12.875" style="318" customWidth="1"/>
    <col min="13334" max="13334" width="11.75" style="318" customWidth="1"/>
    <col min="13335" max="13335" width="11" style="318" customWidth="1"/>
    <col min="13336" max="13569" width="9" style="318"/>
    <col min="13570" max="13570" width="5.375" style="318" customWidth="1"/>
    <col min="13571" max="13571" width="13.125" style="318" customWidth="1"/>
    <col min="13572" max="13572" width="43.875" style="318" customWidth="1"/>
    <col min="13573" max="13573" width="11.625" style="318" customWidth="1"/>
    <col min="13574" max="13574" width="10.375" style="318" customWidth="1"/>
    <col min="13575" max="13575" width="11" style="318" customWidth="1"/>
    <col min="13576" max="13577" width="12.125" style="318" customWidth="1"/>
    <col min="13578" max="13578" width="12.875" style="318" customWidth="1"/>
    <col min="13579" max="13580" width="12.125" style="318" customWidth="1"/>
    <col min="13581" max="13581" width="11.375" style="318" customWidth="1"/>
    <col min="13582" max="13583" width="11.875" style="318" customWidth="1"/>
    <col min="13584" max="13584" width="11.75" style="318" customWidth="1"/>
    <col min="13585" max="13585" width="11.375" style="318" customWidth="1"/>
    <col min="13586" max="13586" width="11.875" style="318" customWidth="1"/>
    <col min="13587" max="13587" width="11.375" style="318" customWidth="1"/>
    <col min="13588" max="13588" width="10.375" style="318" customWidth="1"/>
    <col min="13589" max="13589" width="12.875" style="318" customWidth="1"/>
    <col min="13590" max="13590" width="11.75" style="318" customWidth="1"/>
    <col min="13591" max="13591" width="11" style="318" customWidth="1"/>
    <col min="13592" max="13825" width="9" style="318"/>
    <col min="13826" max="13826" width="5.375" style="318" customWidth="1"/>
    <col min="13827" max="13827" width="13.125" style="318" customWidth="1"/>
    <col min="13828" max="13828" width="43.875" style="318" customWidth="1"/>
    <col min="13829" max="13829" width="11.625" style="318" customWidth="1"/>
    <col min="13830" max="13830" width="10.375" style="318" customWidth="1"/>
    <col min="13831" max="13831" width="11" style="318" customWidth="1"/>
    <col min="13832" max="13833" width="12.125" style="318" customWidth="1"/>
    <col min="13834" max="13834" width="12.875" style="318" customWidth="1"/>
    <col min="13835" max="13836" width="12.125" style="318" customWidth="1"/>
    <col min="13837" max="13837" width="11.375" style="318" customWidth="1"/>
    <col min="13838" max="13839" width="11.875" style="318" customWidth="1"/>
    <col min="13840" max="13840" width="11.75" style="318" customWidth="1"/>
    <col min="13841" max="13841" width="11.375" style="318" customWidth="1"/>
    <col min="13842" max="13842" width="11.875" style="318" customWidth="1"/>
    <col min="13843" max="13843" width="11.375" style="318" customWidth="1"/>
    <col min="13844" max="13844" width="10.375" style="318" customWidth="1"/>
    <col min="13845" max="13845" width="12.875" style="318" customWidth="1"/>
    <col min="13846" max="13846" width="11.75" style="318" customWidth="1"/>
    <col min="13847" max="13847" width="11" style="318" customWidth="1"/>
    <col min="13848" max="14081" width="9" style="318"/>
    <col min="14082" max="14082" width="5.375" style="318" customWidth="1"/>
    <col min="14083" max="14083" width="13.125" style="318" customWidth="1"/>
    <col min="14084" max="14084" width="43.875" style="318" customWidth="1"/>
    <col min="14085" max="14085" width="11.625" style="318" customWidth="1"/>
    <col min="14086" max="14086" width="10.375" style="318" customWidth="1"/>
    <col min="14087" max="14087" width="11" style="318" customWidth="1"/>
    <col min="14088" max="14089" width="12.125" style="318" customWidth="1"/>
    <col min="14090" max="14090" width="12.875" style="318" customWidth="1"/>
    <col min="14091" max="14092" width="12.125" style="318" customWidth="1"/>
    <col min="14093" max="14093" width="11.375" style="318" customWidth="1"/>
    <col min="14094" max="14095" width="11.875" style="318" customWidth="1"/>
    <col min="14096" max="14096" width="11.75" style="318" customWidth="1"/>
    <col min="14097" max="14097" width="11.375" style="318" customWidth="1"/>
    <col min="14098" max="14098" width="11.875" style="318" customWidth="1"/>
    <col min="14099" max="14099" width="11.375" style="318" customWidth="1"/>
    <col min="14100" max="14100" width="10.375" style="318" customWidth="1"/>
    <col min="14101" max="14101" width="12.875" style="318" customWidth="1"/>
    <col min="14102" max="14102" width="11.75" style="318" customWidth="1"/>
    <col min="14103" max="14103" width="11" style="318" customWidth="1"/>
    <col min="14104" max="14337" width="9" style="318"/>
    <col min="14338" max="14338" width="5.375" style="318" customWidth="1"/>
    <col min="14339" max="14339" width="13.125" style="318" customWidth="1"/>
    <col min="14340" max="14340" width="43.875" style="318" customWidth="1"/>
    <col min="14341" max="14341" width="11.625" style="318" customWidth="1"/>
    <col min="14342" max="14342" width="10.375" style="318" customWidth="1"/>
    <col min="14343" max="14343" width="11" style="318" customWidth="1"/>
    <col min="14344" max="14345" width="12.125" style="318" customWidth="1"/>
    <col min="14346" max="14346" width="12.875" style="318" customWidth="1"/>
    <col min="14347" max="14348" width="12.125" style="318" customWidth="1"/>
    <col min="14349" max="14349" width="11.375" style="318" customWidth="1"/>
    <col min="14350" max="14351" width="11.875" style="318" customWidth="1"/>
    <col min="14352" max="14352" width="11.75" style="318" customWidth="1"/>
    <col min="14353" max="14353" width="11.375" style="318" customWidth="1"/>
    <col min="14354" max="14354" width="11.875" style="318" customWidth="1"/>
    <col min="14355" max="14355" width="11.375" style="318" customWidth="1"/>
    <col min="14356" max="14356" width="10.375" style="318" customWidth="1"/>
    <col min="14357" max="14357" width="12.875" style="318" customWidth="1"/>
    <col min="14358" max="14358" width="11.75" style="318" customWidth="1"/>
    <col min="14359" max="14359" width="11" style="318" customWidth="1"/>
    <col min="14360" max="14593" width="9" style="318"/>
    <col min="14594" max="14594" width="5.375" style="318" customWidth="1"/>
    <col min="14595" max="14595" width="13.125" style="318" customWidth="1"/>
    <col min="14596" max="14596" width="43.875" style="318" customWidth="1"/>
    <col min="14597" max="14597" width="11.625" style="318" customWidth="1"/>
    <col min="14598" max="14598" width="10.375" style="318" customWidth="1"/>
    <col min="14599" max="14599" width="11" style="318" customWidth="1"/>
    <col min="14600" max="14601" width="12.125" style="318" customWidth="1"/>
    <col min="14602" max="14602" width="12.875" style="318" customWidth="1"/>
    <col min="14603" max="14604" width="12.125" style="318" customWidth="1"/>
    <col min="14605" max="14605" width="11.375" style="318" customWidth="1"/>
    <col min="14606" max="14607" width="11.875" style="318" customWidth="1"/>
    <col min="14608" max="14608" width="11.75" style="318" customWidth="1"/>
    <col min="14609" max="14609" width="11.375" style="318" customWidth="1"/>
    <col min="14610" max="14610" width="11.875" style="318" customWidth="1"/>
    <col min="14611" max="14611" width="11.375" style="318" customWidth="1"/>
    <col min="14612" max="14612" width="10.375" style="318" customWidth="1"/>
    <col min="14613" max="14613" width="12.875" style="318" customWidth="1"/>
    <col min="14614" max="14614" width="11.75" style="318" customWidth="1"/>
    <col min="14615" max="14615" width="11" style="318" customWidth="1"/>
    <col min="14616" max="14849" width="9" style="318"/>
    <col min="14850" max="14850" width="5.375" style="318" customWidth="1"/>
    <col min="14851" max="14851" width="13.125" style="318" customWidth="1"/>
    <col min="14852" max="14852" width="43.875" style="318" customWidth="1"/>
    <col min="14853" max="14853" width="11.625" style="318" customWidth="1"/>
    <col min="14854" max="14854" width="10.375" style="318" customWidth="1"/>
    <col min="14855" max="14855" width="11" style="318" customWidth="1"/>
    <col min="14856" max="14857" width="12.125" style="318" customWidth="1"/>
    <col min="14858" max="14858" width="12.875" style="318" customWidth="1"/>
    <col min="14859" max="14860" width="12.125" style="318" customWidth="1"/>
    <col min="14861" max="14861" width="11.375" style="318" customWidth="1"/>
    <col min="14862" max="14863" width="11.875" style="318" customWidth="1"/>
    <col min="14864" max="14864" width="11.75" style="318" customWidth="1"/>
    <col min="14865" max="14865" width="11.375" style="318" customWidth="1"/>
    <col min="14866" max="14866" width="11.875" style="318" customWidth="1"/>
    <col min="14867" max="14867" width="11.375" style="318" customWidth="1"/>
    <col min="14868" max="14868" width="10.375" style="318" customWidth="1"/>
    <col min="14869" max="14869" width="12.875" style="318" customWidth="1"/>
    <col min="14870" max="14870" width="11.75" style="318" customWidth="1"/>
    <col min="14871" max="14871" width="11" style="318" customWidth="1"/>
    <col min="14872" max="15105" width="9" style="318"/>
    <col min="15106" max="15106" width="5.375" style="318" customWidth="1"/>
    <col min="15107" max="15107" width="13.125" style="318" customWidth="1"/>
    <col min="15108" max="15108" width="43.875" style="318" customWidth="1"/>
    <col min="15109" max="15109" width="11.625" style="318" customWidth="1"/>
    <col min="15110" max="15110" width="10.375" style="318" customWidth="1"/>
    <col min="15111" max="15111" width="11" style="318" customWidth="1"/>
    <col min="15112" max="15113" width="12.125" style="318" customWidth="1"/>
    <col min="15114" max="15114" width="12.875" style="318" customWidth="1"/>
    <col min="15115" max="15116" width="12.125" style="318" customWidth="1"/>
    <col min="15117" max="15117" width="11.375" style="318" customWidth="1"/>
    <col min="15118" max="15119" width="11.875" style="318" customWidth="1"/>
    <col min="15120" max="15120" width="11.75" style="318" customWidth="1"/>
    <col min="15121" max="15121" width="11.375" style="318" customWidth="1"/>
    <col min="15122" max="15122" width="11.875" style="318" customWidth="1"/>
    <col min="15123" max="15123" width="11.375" style="318" customWidth="1"/>
    <col min="15124" max="15124" width="10.375" style="318" customWidth="1"/>
    <col min="15125" max="15125" width="12.875" style="318" customWidth="1"/>
    <col min="15126" max="15126" width="11.75" style="318" customWidth="1"/>
    <col min="15127" max="15127" width="11" style="318" customWidth="1"/>
    <col min="15128" max="15361" width="9" style="318"/>
    <col min="15362" max="15362" width="5.375" style="318" customWidth="1"/>
    <col min="15363" max="15363" width="13.125" style="318" customWidth="1"/>
    <col min="15364" max="15364" width="43.875" style="318" customWidth="1"/>
    <col min="15365" max="15365" width="11.625" style="318" customWidth="1"/>
    <col min="15366" max="15366" width="10.375" style="318" customWidth="1"/>
    <col min="15367" max="15367" width="11" style="318" customWidth="1"/>
    <col min="15368" max="15369" width="12.125" style="318" customWidth="1"/>
    <col min="15370" max="15370" width="12.875" style="318" customWidth="1"/>
    <col min="15371" max="15372" width="12.125" style="318" customWidth="1"/>
    <col min="15373" max="15373" width="11.375" style="318" customWidth="1"/>
    <col min="15374" max="15375" width="11.875" style="318" customWidth="1"/>
    <col min="15376" max="15376" width="11.75" style="318" customWidth="1"/>
    <col min="15377" max="15377" width="11.375" style="318" customWidth="1"/>
    <col min="15378" max="15378" width="11.875" style="318" customWidth="1"/>
    <col min="15379" max="15379" width="11.375" style="318" customWidth="1"/>
    <col min="15380" max="15380" width="10.375" style="318" customWidth="1"/>
    <col min="15381" max="15381" width="12.875" style="318" customWidth="1"/>
    <col min="15382" max="15382" width="11.75" style="318" customWidth="1"/>
    <col min="15383" max="15383" width="11" style="318" customWidth="1"/>
    <col min="15384" max="15617" width="9" style="318"/>
    <col min="15618" max="15618" width="5.375" style="318" customWidth="1"/>
    <col min="15619" max="15619" width="13.125" style="318" customWidth="1"/>
    <col min="15620" max="15620" width="43.875" style="318" customWidth="1"/>
    <col min="15621" max="15621" width="11.625" style="318" customWidth="1"/>
    <col min="15622" max="15622" width="10.375" style="318" customWidth="1"/>
    <col min="15623" max="15623" width="11" style="318" customWidth="1"/>
    <col min="15624" max="15625" width="12.125" style="318" customWidth="1"/>
    <col min="15626" max="15626" width="12.875" style="318" customWidth="1"/>
    <col min="15627" max="15628" width="12.125" style="318" customWidth="1"/>
    <col min="15629" max="15629" width="11.375" style="318" customWidth="1"/>
    <col min="15630" max="15631" width="11.875" style="318" customWidth="1"/>
    <col min="15632" max="15632" width="11.75" style="318" customWidth="1"/>
    <col min="15633" max="15633" width="11.375" style="318" customWidth="1"/>
    <col min="15634" max="15634" width="11.875" style="318" customWidth="1"/>
    <col min="15635" max="15635" width="11.375" style="318" customWidth="1"/>
    <col min="15636" max="15636" width="10.375" style="318" customWidth="1"/>
    <col min="15637" max="15637" width="12.875" style="318" customWidth="1"/>
    <col min="15638" max="15638" width="11.75" style="318" customWidth="1"/>
    <col min="15639" max="15639" width="11" style="318" customWidth="1"/>
    <col min="15640" max="15873" width="9" style="318"/>
    <col min="15874" max="15874" width="5.375" style="318" customWidth="1"/>
    <col min="15875" max="15875" width="13.125" style="318" customWidth="1"/>
    <col min="15876" max="15876" width="43.875" style="318" customWidth="1"/>
    <col min="15877" max="15877" width="11.625" style="318" customWidth="1"/>
    <col min="15878" max="15878" width="10.375" style="318" customWidth="1"/>
    <col min="15879" max="15879" width="11" style="318" customWidth="1"/>
    <col min="15880" max="15881" width="12.125" style="318" customWidth="1"/>
    <col min="15882" max="15882" width="12.875" style="318" customWidth="1"/>
    <col min="15883" max="15884" width="12.125" style="318" customWidth="1"/>
    <col min="15885" max="15885" width="11.375" style="318" customWidth="1"/>
    <col min="15886" max="15887" width="11.875" style="318" customWidth="1"/>
    <col min="15888" max="15888" width="11.75" style="318" customWidth="1"/>
    <col min="15889" max="15889" width="11.375" style="318" customWidth="1"/>
    <col min="15890" max="15890" width="11.875" style="318" customWidth="1"/>
    <col min="15891" max="15891" width="11.375" style="318" customWidth="1"/>
    <col min="15892" max="15892" width="10.375" style="318" customWidth="1"/>
    <col min="15893" max="15893" width="12.875" style="318" customWidth="1"/>
    <col min="15894" max="15894" width="11.75" style="318" customWidth="1"/>
    <col min="15895" max="15895" width="11" style="318" customWidth="1"/>
    <col min="15896" max="16129" width="9" style="318"/>
    <col min="16130" max="16130" width="5.375" style="318" customWidth="1"/>
    <col min="16131" max="16131" width="13.125" style="318" customWidth="1"/>
    <col min="16132" max="16132" width="43.875" style="318" customWidth="1"/>
    <col min="16133" max="16133" width="11.625" style="318" customWidth="1"/>
    <col min="16134" max="16134" width="10.375" style="318" customWidth="1"/>
    <col min="16135" max="16135" width="11" style="318" customWidth="1"/>
    <col min="16136" max="16137" width="12.125" style="318" customWidth="1"/>
    <col min="16138" max="16138" width="12.875" style="318" customWidth="1"/>
    <col min="16139" max="16140" width="12.125" style="318" customWidth="1"/>
    <col min="16141" max="16141" width="11.375" style="318" customWidth="1"/>
    <col min="16142" max="16143" width="11.875" style="318" customWidth="1"/>
    <col min="16144" max="16144" width="11.75" style="318" customWidth="1"/>
    <col min="16145" max="16145" width="11.375" style="318" customWidth="1"/>
    <col min="16146" max="16146" width="11.875" style="318" customWidth="1"/>
    <col min="16147" max="16147" width="11.375" style="318" customWidth="1"/>
    <col min="16148" max="16148" width="10.375" style="318" customWidth="1"/>
    <col min="16149" max="16149" width="12.875" style="318" customWidth="1"/>
    <col min="16150" max="16150" width="11.75" style="318" customWidth="1"/>
    <col min="16151" max="16151" width="11" style="318" customWidth="1"/>
    <col min="16152" max="16384" width="9" style="318"/>
  </cols>
  <sheetData>
    <row r="1" spans="1:23" s="277" customFormat="1" ht="13.5" customHeight="1">
      <c r="A1" s="276" t="s">
        <v>107</v>
      </c>
      <c r="U1" s="1010" t="s">
        <v>859</v>
      </c>
      <c r="V1" s="1010"/>
      <c r="W1" s="1010"/>
    </row>
    <row r="2" spans="1:23" s="277" customFormat="1" ht="13.5" customHeight="1">
      <c r="A2" s="276"/>
      <c r="U2" s="1010" t="s">
        <v>762</v>
      </c>
      <c r="V2" s="1010"/>
      <c r="W2" s="1010"/>
    </row>
    <row r="3" spans="1:23" s="277" customFormat="1" ht="13.5" customHeight="1">
      <c r="A3" s="276"/>
      <c r="U3" s="1010" t="s">
        <v>634</v>
      </c>
      <c r="V3" s="1010"/>
      <c r="W3" s="1010"/>
    </row>
    <row r="4" spans="1:23" s="279" customFormat="1" ht="5.25" customHeight="1">
      <c r="A4" s="278"/>
    </row>
    <row r="5" spans="1:23" s="277" customFormat="1" ht="44.25" customHeight="1">
      <c r="A5" s="1011" t="s">
        <v>860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</row>
    <row r="6" spans="1:23" s="277" customFormat="1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276" t="s">
        <v>35</v>
      </c>
    </row>
    <row r="7" spans="1:23" s="279" customFormat="1" ht="22.5" customHeight="1">
      <c r="A7" s="949" t="s">
        <v>638</v>
      </c>
      <c r="B7" s="952" t="s">
        <v>763</v>
      </c>
      <c r="C7" s="955" t="s">
        <v>764</v>
      </c>
      <c r="D7" s="955" t="s">
        <v>642</v>
      </c>
      <c r="E7" s="952" t="s">
        <v>643</v>
      </c>
      <c r="F7" s="955" t="s">
        <v>397</v>
      </c>
      <c r="G7" s="958" t="s">
        <v>765</v>
      </c>
      <c r="H7" s="958" t="s">
        <v>766</v>
      </c>
      <c r="I7" s="955" t="s">
        <v>99</v>
      </c>
      <c r="J7" s="903" t="s">
        <v>646</v>
      </c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</row>
    <row r="8" spans="1:23" s="279" customFormat="1" ht="24.75" customHeight="1">
      <c r="A8" s="950"/>
      <c r="B8" s="953"/>
      <c r="C8" s="956"/>
      <c r="D8" s="956"/>
      <c r="E8" s="953"/>
      <c r="F8" s="956"/>
      <c r="G8" s="958"/>
      <c r="H8" s="958"/>
      <c r="I8" s="956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</row>
    <row r="9" spans="1:23" s="279" customFormat="1" ht="15.75" customHeight="1">
      <c r="A9" s="950"/>
      <c r="B9" s="953"/>
      <c r="C9" s="956"/>
      <c r="D9" s="956"/>
      <c r="E9" s="953"/>
      <c r="F9" s="956"/>
      <c r="G9" s="281" t="s">
        <v>647</v>
      </c>
      <c r="H9" s="281" t="s">
        <v>647</v>
      </c>
      <c r="I9" s="956"/>
      <c r="J9" s="903" t="s">
        <v>648</v>
      </c>
      <c r="K9" s="947" t="s">
        <v>649</v>
      </c>
      <c r="L9" s="947"/>
      <c r="M9" s="947"/>
      <c r="N9" s="944" t="s">
        <v>650</v>
      </c>
      <c r="O9" s="947" t="s">
        <v>767</v>
      </c>
      <c r="P9" s="947"/>
      <c r="Q9" s="947"/>
      <c r="R9" s="947"/>
      <c r="S9" s="947"/>
      <c r="T9" s="947"/>
      <c r="U9" s="947"/>
      <c r="V9" s="947"/>
      <c r="W9" s="947"/>
    </row>
    <row r="10" spans="1:23" s="279" customFormat="1" ht="12.75" customHeight="1">
      <c r="A10" s="950"/>
      <c r="B10" s="953"/>
      <c r="C10" s="956"/>
      <c r="D10" s="956"/>
      <c r="E10" s="953"/>
      <c r="F10" s="956"/>
      <c r="G10" s="281" t="s">
        <v>652</v>
      </c>
      <c r="H10" s="281" t="s">
        <v>652</v>
      </c>
      <c r="I10" s="956"/>
      <c r="J10" s="903"/>
      <c r="K10" s="947"/>
      <c r="L10" s="947"/>
      <c r="M10" s="947"/>
      <c r="N10" s="944"/>
      <c r="O10" s="942" t="s">
        <v>653</v>
      </c>
      <c r="P10" s="942"/>
      <c r="Q10" s="942"/>
      <c r="R10" s="942" t="s">
        <v>654</v>
      </c>
      <c r="S10" s="942"/>
      <c r="T10" s="942"/>
      <c r="U10" s="944" t="s">
        <v>768</v>
      </c>
      <c r="V10" s="944"/>
      <c r="W10" s="944"/>
    </row>
    <row r="11" spans="1:23" s="279" customFormat="1" ht="14.25" customHeight="1">
      <c r="A11" s="950"/>
      <c r="B11" s="953"/>
      <c r="C11" s="956"/>
      <c r="D11" s="956"/>
      <c r="E11" s="953"/>
      <c r="F11" s="956"/>
      <c r="G11" s="281" t="s">
        <v>656</v>
      </c>
      <c r="H11" s="281" t="s">
        <v>656</v>
      </c>
      <c r="I11" s="956"/>
      <c r="J11" s="903"/>
      <c r="K11" s="942" t="s">
        <v>38</v>
      </c>
      <c r="L11" s="942" t="s">
        <v>657</v>
      </c>
      <c r="M11" s="942" t="s">
        <v>658</v>
      </c>
      <c r="N11" s="944"/>
      <c r="O11" s="942" t="s">
        <v>38</v>
      </c>
      <c r="P11" s="942" t="s">
        <v>659</v>
      </c>
      <c r="Q11" s="943" t="s">
        <v>658</v>
      </c>
      <c r="R11" s="942" t="s">
        <v>38</v>
      </c>
      <c r="S11" s="942" t="s">
        <v>659</v>
      </c>
      <c r="T11" s="943" t="s">
        <v>658</v>
      </c>
      <c r="U11" s="944" t="s">
        <v>660</v>
      </c>
      <c r="V11" s="942" t="s">
        <v>659</v>
      </c>
      <c r="W11" s="943" t="s">
        <v>658</v>
      </c>
    </row>
    <row r="12" spans="1:23" s="279" customFormat="1" ht="16.5" customHeight="1">
      <c r="A12" s="951"/>
      <c r="B12" s="954"/>
      <c r="C12" s="957"/>
      <c r="D12" s="957"/>
      <c r="E12" s="954"/>
      <c r="F12" s="957"/>
      <c r="G12" s="281" t="s">
        <v>768</v>
      </c>
      <c r="H12" s="281" t="s">
        <v>768</v>
      </c>
      <c r="I12" s="957"/>
      <c r="J12" s="903"/>
      <c r="K12" s="942"/>
      <c r="L12" s="942"/>
      <c r="M12" s="942"/>
      <c r="N12" s="944"/>
      <c r="O12" s="942"/>
      <c r="P12" s="942"/>
      <c r="Q12" s="943"/>
      <c r="R12" s="942"/>
      <c r="S12" s="942"/>
      <c r="T12" s="943"/>
      <c r="U12" s="944"/>
      <c r="V12" s="942"/>
      <c r="W12" s="943"/>
    </row>
    <row r="13" spans="1:23" s="283" customFormat="1" ht="12.75" customHeight="1">
      <c r="A13" s="282">
        <v>1</v>
      </c>
      <c r="B13" s="282">
        <v>2</v>
      </c>
      <c r="C13" s="282">
        <v>3</v>
      </c>
      <c r="D13" s="282">
        <v>4</v>
      </c>
      <c r="E13" s="282">
        <v>5</v>
      </c>
      <c r="F13" s="282">
        <v>6</v>
      </c>
      <c r="G13" s="282">
        <v>7</v>
      </c>
      <c r="H13" s="282">
        <v>8</v>
      </c>
      <c r="I13" s="282" t="s">
        <v>661</v>
      </c>
      <c r="J13" s="282" t="s">
        <v>663</v>
      </c>
      <c r="K13" s="282" t="s">
        <v>664</v>
      </c>
      <c r="L13" s="282">
        <v>11</v>
      </c>
      <c r="M13" s="282">
        <v>12</v>
      </c>
      <c r="N13" s="282" t="s">
        <v>665</v>
      </c>
      <c r="O13" s="282" t="s">
        <v>666</v>
      </c>
      <c r="P13" s="282">
        <v>15</v>
      </c>
      <c r="Q13" s="282">
        <v>16</v>
      </c>
      <c r="R13" s="282" t="s">
        <v>667</v>
      </c>
      <c r="S13" s="282">
        <v>18</v>
      </c>
      <c r="T13" s="282">
        <v>19</v>
      </c>
      <c r="U13" s="282" t="s">
        <v>668</v>
      </c>
      <c r="V13" s="282">
        <v>21</v>
      </c>
      <c r="W13" s="282">
        <v>22</v>
      </c>
    </row>
    <row r="14" spans="1:23" s="283" customFormat="1" ht="5.25" customHeight="1">
      <c r="A14" s="996"/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8"/>
      <c r="W14" s="282"/>
    </row>
    <row r="15" spans="1:23" s="283" customFormat="1" ht="18.75" customHeight="1">
      <c r="A15" s="993" t="s">
        <v>685</v>
      </c>
      <c r="B15" s="994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4"/>
      <c r="Q15" s="994"/>
      <c r="R15" s="994"/>
      <c r="S15" s="994"/>
      <c r="T15" s="994"/>
      <c r="U15" s="994"/>
      <c r="V15" s="994"/>
      <c r="W15" s="995"/>
    </row>
    <row r="16" spans="1:23" s="283" customFormat="1" ht="4.5" customHeight="1">
      <c r="A16" s="996"/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8"/>
      <c r="W16" s="282"/>
    </row>
    <row r="17" spans="1:23" s="308" customFormat="1" ht="12.75" hidden="1" customHeight="1">
      <c r="A17" s="910">
        <v>1</v>
      </c>
      <c r="B17" s="988" t="s">
        <v>769</v>
      </c>
      <c r="C17" s="985" t="s">
        <v>770</v>
      </c>
      <c r="D17" s="914" t="s">
        <v>411</v>
      </c>
      <c r="E17" s="988" t="s">
        <v>679</v>
      </c>
      <c r="F17" s="910" t="s">
        <v>771</v>
      </c>
      <c r="G17" s="307">
        <f>G19+G18+G20+G21</f>
        <v>33548200</v>
      </c>
      <c r="H17" s="307">
        <f>H19+H18+H20+H21</f>
        <v>0</v>
      </c>
      <c r="I17" s="908" t="s">
        <v>0</v>
      </c>
      <c r="J17" s="984">
        <f>K17+N17</f>
        <v>8717050</v>
      </c>
      <c r="K17" s="984">
        <f>L17+M17</f>
        <v>7709117</v>
      </c>
      <c r="L17" s="974">
        <v>216367</v>
      </c>
      <c r="M17" s="974">
        <v>7492750</v>
      </c>
      <c r="N17" s="984">
        <f>O17+R17+U17</f>
        <v>1007933</v>
      </c>
      <c r="O17" s="984">
        <f>P17+Q17</f>
        <v>0</v>
      </c>
      <c r="P17" s="974">
        <v>0</v>
      </c>
      <c r="Q17" s="974">
        <v>0</v>
      </c>
      <c r="R17" s="984">
        <f>S17+T17</f>
        <v>1007933</v>
      </c>
      <c r="S17" s="974">
        <v>38183</v>
      </c>
      <c r="T17" s="974">
        <v>969750</v>
      </c>
      <c r="U17" s="984">
        <f>V17+W17</f>
        <v>0</v>
      </c>
      <c r="V17" s="974">
        <v>0</v>
      </c>
      <c r="W17" s="974">
        <v>0</v>
      </c>
    </row>
    <row r="18" spans="1:23" s="308" customFormat="1" ht="12.75" hidden="1" customHeight="1">
      <c r="A18" s="910"/>
      <c r="B18" s="988"/>
      <c r="C18" s="986"/>
      <c r="D18" s="914"/>
      <c r="E18" s="988"/>
      <c r="F18" s="910"/>
      <c r="G18" s="307">
        <v>29714470</v>
      </c>
      <c r="H18" s="307">
        <v>0</v>
      </c>
      <c r="I18" s="909"/>
      <c r="J18" s="984"/>
      <c r="K18" s="984"/>
      <c r="L18" s="974"/>
      <c r="M18" s="974"/>
      <c r="N18" s="984"/>
      <c r="O18" s="984"/>
      <c r="P18" s="974"/>
      <c r="Q18" s="974"/>
      <c r="R18" s="984"/>
      <c r="S18" s="974"/>
      <c r="T18" s="974"/>
      <c r="U18" s="984"/>
      <c r="V18" s="974"/>
      <c r="W18" s="974"/>
    </row>
    <row r="19" spans="1:23" s="308" customFormat="1" ht="12.75" hidden="1" customHeight="1">
      <c r="A19" s="910"/>
      <c r="B19" s="988"/>
      <c r="C19" s="986"/>
      <c r="D19" s="914"/>
      <c r="E19" s="988"/>
      <c r="F19" s="910"/>
      <c r="G19" s="307">
        <v>0</v>
      </c>
      <c r="H19" s="307">
        <v>0</v>
      </c>
      <c r="I19" s="286" t="s">
        <v>1</v>
      </c>
      <c r="J19" s="309">
        <f>K19+N19</f>
        <v>0</v>
      </c>
      <c r="K19" s="309">
        <f>L19+M19</f>
        <v>0</v>
      </c>
      <c r="L19" s="310">
        <v>0</v>
      </c>
      <c r="M19" s="310">
        <v>0</v>
      </c>
      <c r="N19" s="309">
        <f>O19+R19+U19</f>
        <v>0</v>
      </c>
      <c r="O19" s="309">
        <f>P19+Q19</f>
        <v>0</v>
      </c>
      <c r="P19" s="310">
        <v>0</v>
      </c>
      <c r="Q19" s="310">
        <v>0</v>
      </c>
      <c r="R19" s="309">
        <f>S19+T19</f>
        <v>0</v>
      </c>
      <c r="S19" s="310">
        <v>0</v>
      </c>
      <c r="T19" s="310">
        <v>0</v>
      </c>
      <c r="U19" s="309">
        <f>V19+W19</f>
        <v>0</v>
      </c>
      <c r="V19" s="310">
        <v>0</v>
      </c>
      <c r="W19" s="310">
        <v>0</v>
      </c>
    </row>
    <row r="20" spans="1:23" s="308" customFormat="1" ht="12.75" hidden="1" customHeight="1">
      <c r="A20" s="910"/>
      <c r="B20" s="988"/>
      <c r="C20" s="986"/>
      <c r="D20" s="914"/>
      <c r="E20" s="988"/>
      <c r="F20" s="910"/>
      <c r="G20" s="307">
        <v>3833730</v>
      </c>
      <c r="H20" s="307">
        <v>0</v>
      </c>
      <c r="I20" s="908" t="s">
        <v>2</v>
      </c>
      <c r="J20" s="984">
        <f t="shared" ref="J20:W20" si="0">J17+J19</f>
        <v>8717050</v>
      </c>
      <c r="K20" s="984">
        <f t="shared" si="0"/>
        <v>7709117</v>
      </c>
      <c r="L20" s="974">
        <f t="shared" si="0"/>
        <v>216367</v>
      </c>
      <c r="M20" s="974">
        <f t="shared" si="0"/>
        <v>7492750</v>
      </c>
      <c r="N20" s="984">
        <f t="shared" si="0"/>
        <v>1007933</v>
      </c>
      <c r="O20" s="984">
        <f t="shared" si="0"/>
        <v>0</v>
      </c>
      <c r="P20" s="974">
        <f t="shared" si="0"/>
        <v>0</v>
      </c>
      <c r="Q20" s="974">
        <f t="shared" si="0"/>
        <v>0</v>
      </c>
      <c r="R20" s="984">
        <f t="shared" si="0"/>
        <v>1007933</v>
      </c>
      <c r="S20" s="974">
        <f t="shared" si="0"/>
        <v>38183</v>
      </c>
      <c r="T20" s="974">
        <f t="shared" si="0"/>
        <v>969750</v>
      </c>
      <c r="U20" s="984">
        <f t="shared" si="0"/>
        <v>0</v>
      </c>
      <c r="V20" s="974">
        <f t="shared" si="0"/>
        <v>0</v>
      </c>
      <c r="W20" s="974">
        <f t="shared" si="0"/>
        <v>0</v>
      </c>
    </row>
    <row r="21" spans="1:23" s="308" customFormat="1" ht="12.75" hidden="1" customHeight="1">
      <c r="A21" s="910"/>
      <c r="B21" s="988"/>
      <c r="C21" s="987"/>
      <c r="D21" s="914"/>
      <c r="E21" s="988"/>
      <c r="F21" s="910"/>
      <c r="G21" s="307">
        <v>0</v>
      </c>
      <c r="H21" s="307">
        <v>0</v>
      </c>
      <c r="I21" s="909"/>
      <c r="J21" s="984"/>
      <c r="K21" s="984"/>
      <c r="L21" s="974"/>
      <c r="M21" s="974"/>
      <c r="N21" s="984"/>
      <c r="O21" s="984"/>
      <c r="P21" s="974"/>
      <c r="Q21" s="974"/>
      <c r="R21" s="984"/>
      <c r="S21" s="974"/>
      <c r="T21" s="974"/>
      <c r="U21" s="984"/>
      <c r="V21" s="974"/>
      <c r="W21" s="974"/>
    </row>
    <row r="22" spans="1:23" s="308" customFormat="1" ht="12.75" hidden="1" customHeight="1">
      <c r="A22" s="910">
        <v>2</v>
      </c>
      <c r="B22" s="988" t="s">
        <v>769</v>
      </c>
      <c r="C22" s="985" t="s">
        <v>772</v>
      </c>
      <c r="D22" s="914" t="s">
        <v>411</v>
      </c>
      <c r="E22" s="988" t="s">
        <v>679</v>
      </c>
      <c r="F22" s="910" t="s">
        <v>771</v>
      </c>
      <c r="G22" s="307">
        <f>G24+G23+G25+G26</f>
        <v>34600339</v>
      </c>
      <c r="H22" s="307">
        <f>H24+H23+H25+H26</f>
        <v>0</v>
      </c>
      <c r="I22" s="908" t="s">
        <v>0</v>
      </c>
      <c r="J22" s="984">
        <f>K22+N22</f>
        <v>8980084</v>
      </c>
      <c r="K22" s="984">
        <f>L22+M22</f>
        <v>7946526</v>
      </c>
      <c r="L22" s="974">
        <v>223282</v>
      </c>
      <c r="M22" s="974">
        <v>7723244</v>
      </c>
      <c r="N22" s="984">
        <f>O22+R22+U22</f>
        <v>1033558</v>
      </c>
      <c r="O22" s="984">
        <f>P22+Q22</f>
        <v>0</v>
      </c>
      <c r="P22" s="974">
        <v>0</v>
      </c>
      <c r="Q22" s="974">
        <v>0</v>
      </c>
      <c r="R22" s="984">
        <f>S22+T22</f>
        <v>1033558</v>
      </c>
      <c r="S22" s="974">
        <v>39403</v>
      </c>
      <c r="T22" s="974">
        <v>994155</v>
      </c>
      <c r="U22" s="984">
        <f>V22+W22</f>
        <v>0</v>
      </c>
      <c r="V22" s="974">
        <v>0</v>
      </c>
      <c r="W22" s="974">
        <v>0</v>
      </c>
    </row>
    <row r="23" spans="1:23" s="308" customFormat="1" ht="12.75" hidden="1" customHeight="1">
      <c r="A23" s="910"/>
      <c r="B23" s="988"/>
      <c r="C23" s="986"/>
      <c r="D23" s="914"/>
      <c r="E23" s="988"/>
      <c r="F23" s="910"/>
      <c r="G23" s="307">
        <v>30664107</v>
      </c>
      <c r="H23" s="307">
        <v>0</v>
      </c>
      <c r="I23" s="909"/>
      <c r="J23" s="984"/>
      <c r="K23" s="984"/>
      <c r="L23" s="974"/>
      <c r="M23" s="974"/>
      <c r="N23" s="984"/>
      <c r="O23" s="984"/>
      <c r="P23" s="974"/>
      <c r="Q23" s="974"/>
      <c r="R23" s="984"/>
      <c r="S23" s="974"/>
      <c r="T23" s="974"/>
      <c r="U23" s="984"/>
      <c r="V23" s="974"/>
      <c r="W23" s="974"/>
    </row>
    <row r="24" spans="1:23" s="308" customFormat="1" ht="12.75" hidden="1" customHeight="1">
      <c r="A24" s="910"/>
      <c r="B24" s="988"/>
      <c r="C24" s="986"/>
      <c r="D24" s="914"/>
      <c r="E24" s="988"/>
      <c r="F24" s="910"/>
      <c r="G24" s="307">
        <v>0</v>
      </c>
      <c r="H24" s="307">
        <v>0</v>
      </c>
      <c r="I24" s="286" t="s">
        <v>1</v>
      </c>
      <c r="J24" s="309">
        <f>K24+N24</f>
        <v>0</v>
      </c>
      <c r="K24" s="309">
        <f>L24+M24</f>
        <v>0</v>
      </c>
      <c r="L24" s="310">
        <v>0</v>
      </c>
      <c r="M24" s="310">
        <v>0</v>
      </c>
      <c r="N24" s="309">
        <f>O24+R24+U24</f>
        <v>0</v>
      </c>
      <c r="O24" s="309">
        <f>P24+Q24</f>
        <v>0</v>
      </c>
      <c r="P24" s="310">
        <v>0</v>
      </c>
      <c r="Q24" s="310">
        <v>0</v>
      </c>
      <c r="R24" s="309">
        <f>S24+T24</f>
        <v>0</v>
      </c>
      <c r="S24" s="310">
        <v>0</v>
      </c>
      <c r="T24" s="310">
        <v>0</v>
      </c>
      <c r="U24" s="309">
        <f>V24+W24</f>
        <v>0</v>
      </c>
      <c r="V24" s="310">
        <v>0</v>
      </c>
      <c r="W24" s="310">
        <v>0</v>
      </c>
    </row>
    <row r="25" spans="1:23" s="308" customFormat="1" ht="12.75" hidden="1" customHeight="1">
      <c r="A25" s="910"/>
      <c r="B25" s="988"/>
      <c r="C25" s="986"/>
      <c r="D25" s="914"/>
      <c r="E25" s="988"/>
      <c r="F25" s="910"/>
      <c r="G25" s="307">
        <v>3936232</v>
      </c>
      <c r="H25" s="307">
        <v>0</v>
      </c>
      <c r="I25" s="908" t="s">
        <v>2</v>
      </c>
      <c r="J25" s="984">
        <f t="shared" ref="J25:W25" si="1">J22+J24</f>
        <v>8980084</v>
      </c>
      <c r="K25" s="984">
        <f t="shared" si="1"/>
        <v>7946526</v>
      </c>
      <c r="L25" s="974">
        <f t="shared" si="1"/>
        <v>223282</v>
      </c>
      <c r="M25" s="974">
        <f t="shared" si="1"/>
        <v>7723244</v>
      </c>
      <c r="N25" s="984">
        <f t="shared" si="1"/>
        <v>1033558</v>
      </c>
      <c r="O25" s="984">
        <f t="shared" si="1"/>
        <v>0</v>
      </c>
      <c r="P25" s="974">
        <f t="shared" si="1"/>
        <v>0</v>
      </c>
      <c r="Q25" s="974">
        <f t="shared" si="1"/>
        <v>0</v>
      </c>
      <c r="R25" s="984">
        <f t="shared" si="1"/>
        <v>1033558</v>
      </c>
      <c r="S25" s="974">
        <f t="shared" si="1"/>
        <v>39403</v>
      </c>
      <c r="T25" s="974">
        <f t="shared" si="1"/>
        <v>994155</v>
      </c>
      <c r="U25" s="984">
        <f t="shared" si="1"/>
        <v>0</v>
      </c>
      <c r="V25" s="974">
        <f t="shared" si="1"/>
        <v>0</v>
      </c>
      <c r="W25" s="974">
        <f t="shared" si="1"/>
        <v>0</v>
      </c>
    </row>
    <row r="26" spans="1:23" s="308" customFormat="1" ht="12.75" hidden="1" customHeight="1">
      <c r="A26" s="910"/>
      <c r="B26" s="988"/>
      <c r="C26" s="987"/>
      <c r="D26" s="914"/>
      <c r="E26" s="988"/>
      <c r="F26" s="910"/>
      <c r="G26" s="307">
        <v>0</v>
      </c>
      <c r="H26" s="307">
        <v>0</v>
      </c>
      <c r="I26" s="909"/>
      <c r="J26" s="984"/>
      <c r="K26" s="984"/>
      <c r="L26" s="974"/>
      <c r="M26" s="974"/>
      <c r="N26" s="984"/>
      <c r="O26" s="984"/>
      <c r="P26" s="974"/>
      <c r="Q26" s="974"/>
      <c r="R26" s="984"/>
      <c r="S26" s="974"/>
      <c r="T26" s="974"/>
      <c r="U26" s="984"/>
      <c r="V26" s="974"/>
      <c r="W26" s="974"/>
    </row>
    <row r="27" spans="1:23" s="308" customFormat="1" ht="12.75" hidden="1" customHeight="1">
      <c r="A27" s="910">
        <v>3</v>
      </c>
      <c r="B27" s="988" t="s">
        <v>769</v>
      </c>
      <c r="C27" s="985" t="s">
        <v>773</v>
      </c>
      <c r="D27" s="914" t="s">
        <v>411</v>
      </c>
      <c r="E27" s="988" t="s">
        <v>679</v>
      </c>
      <c r="F27" s="910" t="s">
        <v>771</v>
      </c>
      <c r="G27" s="307">
        <f>G29+G28+G30+G31</f>
        <v>18942200</v>
      </c>
      <c r="H27" s="307">
        <f>H29+H28+H30+H31</f>
        <v>0</v>
      </c>
      <c r="I27" s="908" t="s">
        <v>0</v>
      </c>
      <c r="J27" s="984">
        <f>K27+N27</f>
        <v>5065550</v>
      </c>
      <c r="K27" s="984">
        <f>L27+M27</f>
        <v>4513542</v>
      </c>
      <c r="L27" s="974">
        <v>123292</v>
      </c>
      <c r="M27" s="974">
        <v>4390250</v>
      </c>
      <c r="N27" s="984">
        <f>O27+R27+U27</f>
        <v>552008</v>
      </c>
      <c r="O27" s="984">
        <f>P27+Q27</f>
        <v>0</v>
      </c>
      <c r="P27" s="974">
        <v>0</v>
      </c>
      <c r="Q27" s="974">
        <v>0</v>
      </c>
      <c r="R27" s="984">
        <f>S27+T27</f>
        <v>552008</v>
      </c>
      <c r="S27" s="974">
        <v>21758</v>
      </c>
      <c r="T27" s="974">
        <v>530250</v>
      </c>
      <c r="U27" s="984">
        <f>V27+W27</f>
        <v>0</v>
      </c>
      <c r="V27" s="974">
        <v>0</v>
      </c>
      <c r="W27" s="974">
        <v>0</v>
      </c>
    </row>
    <row r="28" spans="1:23" s="308" customFormat="1" ht="12.75" hidden="1" customHeight="1">
      <c r="A28" s="910"/>
      <c r="B28" s="988"/>
      <c r="C28" s="986"/>
      <c r="D28" s="914"/>
      <c r="E28" s="988"/>
      <c r="F28" s="910"/>
      <c r="G28" s="307">
        <v>16932170</v>
      </c>
      <c r="H28" s="307">
        <v>0</v>
      </c>
      <c r="I28" s="909"/>
      <c r="J28" s="984"/>
      <c r="K28" s="984"/>
      <c r="L28" s="974"/>
      <c r="M28" s="974"/>
      <c r="N28" s="984"/>
      <c r="O28" s="984"/>
      <c r="P28" s="974"/>
      <c r="Q28" s="974"/>
      <c r="R28" s="984"/>
      <c r="S28" s="974"/>
      <c r="T28" s="974"/>
      <c r="U28" s="984"/>
      <c r="V28" s="974"/>
      <c r="W28" s="974"/>
    </row>
    <row r="29" spans="1:23" s="308" customFormat="1" ht="12.75" hidden="1" customHeight="1">
      <c r="A29" s="910"/>
      <c r="B29" s="988"/>
      <c r="C29" s="986"/>
      <c r="D29" s="914"/>
      <c r="E29" s="988"/>
      <c r="F29" s="910"/>
      <c r="G29" s="307">
        <v>0</v>
      </c>
      <c r="H29" s="307">
        <v>0</v>
      </c>
      <c r="I29" s="286" t="s">
        <v>1</v>
      </c>
      <c r="J29" s="309">
        <f>K29+N29</f>
        <v>0</v>
      </c>
      <c r="K29" s="309">
        <f>L29+M29</f>
        <v>0</v>
      </c>
      <c r="L29" s="310">
        <v>0</v>
      </c>
      <c r="M29" s="310">
        <v>0</v>
      </c>
      <c r="N29" s="309">
        <f>O29+R29+U29</f>
        <v>0</v>
      </c>
      <c r="O29" s="309">
        <f>P29+Q29</f>
        <v>0</v>
      </c>
      <c r="P29" s="310">
        <v>0</v>
      </c>
      <c r="Q29" s="310">
        <v>0</v>
      </c>
      <c r="R29" s="309">
        <f>S29+T29</f>
        <v>0</v>
      </c>
      <c r="S29" s="310">
        <v>0</v>
      </c>
      <c r="T29" s="310">
        <v>0</v>
      </c>
      <c r="U29" s="309">
        <f>V29+W29</f>
        <v>0</v>
      </c>
      <c r="V29" s="310">
        <v>0</v>
      </c>
      <c r="W29" s="310">
        <v>0</v>
      </c>
    </row>
    <row r="30" spans="1:23" s="308" customFormat="1" ht="12.75" hidden="1" customHeight="1">
      <c r="A30" s="910"/>
      <c r="B30" s="988"/>
      <c r="C30" s="986"/>
      <c r="D30" s="914"/>
      <c r="E30" s="988"/>
      <c r="F30" s="910"/>
      <c r="G30" s="307">
        <v>2010030</v>
      </c>
      <c r="H30" s="307">
        <v>0</v>
      </c>
      <c r="I30" s="908" t="s">
        <v>2</v>
      </c>
      <c r="J30" s="984">
        <f t="shared" ref="J30:W30" si="2">J27+J29</f>
        <v>5065550</v>
      </c>
      <c r="K30" s="984">
        <f t="shared" si="2"/>
        <v>4513542</v>
      </c>
      <c r="L30" s="974">
        <f t="shared" si="2"/>
        <v>123292</v>
      </c>
      <c r="M30" s="974">
        <f t="shared" si="2"/>
        <v>4390250</v>
      </c>
      <c r="N30" s="984">
        <f t="shared" si="2"/>
        <v>552008</v>
      </c>
      <c r="O30" s="984">
        <f t="shared" si="2"/>
        <v>0</v>
      </c>
      <c r="P30" s="974">
        <f t="shared" si="2"/>
        <v>0</v>
      </c>
      <c r="Q30" s="974">
        <f t="shared" si="2"/>
        <v>0</v>
      </c>
      <c r="R30" s="984">
        <f t="shared" si="2"/>
        <v>552008</v>
      </c>
      <c r="S30" s="974">
        <f t="shared" si="2"/>
        <v>21758</v>
      </c>
      <c r="T30" s="974">
        <f t="shared" si="2"/>
        <v>530250</v>
      </c>
      <c r="U30" s="984">
        <f t="shared" si="2"/>
        <v>0</v>
      </c>
      <c r="V30" s="974">
        <f t="shared" si="2"/>
        <v>0</v>
      </c>
      <c r="W30" s="974">
        <f t="shared" si="2"/>
        <v>0</v>
      </c>
    </row>
    <row r="31" spans="1:23" s="308" customFormat="1" ht="12.75" hidden="1" customHeight="1">
      <c r="A31" s="910"/>
      <c r="B31" s="988"/>
      <c r="C31" s="987"/>
      <c r="D31" s="914"/>
      <c r="E31" s="988"/>
      <c r="F31" s="910"/>
      <c r="G31" s="307">
        <v>0</v>
      </c>
      <c r="H31" s="307">
        <v>0</v>
      </c>
      <c r="I31" s="909"/>
      <c r="J31" s="984"/>
      <c r="K31" s="984"/>
      <c r="L31" s="974"/>
      <c r="M31" s="974"/>
      <c r="N31" s="984"/>
      <c r="O31" s="984"/>
      <c r="P31" s="974"/>
      <c r="Q31" s="974"/>
      <c r="R31" s="984"/>
      <c r="S31" s="974"/>
      <c r="T31" s="974"/>
      <c r="U31" s="984"/>
      <c r="V31" s="974"/>
      <c r="W31" s="974"/>
    </row>
    <row r="32" spans="1:23" s="308" customFormat="1" ht="12.75" hidden="1" customHeight="1">
      <c r="A32" s="910">
        <v>1</v>
      </c>
      <c r="B32" s="988" t="s">
        <v>774</v>
      </c>
      <c r="C32" s="985" t="s">
        <v>775</v>
      </c>
      <c r="D32" s="914" t="s">
        <v>411</v>
      </c>
      <c r="E32" s="988" t="s">
        <v>674</v>
      </c>
      <c r="F32" s="910" t="s">
        <v>776</v>
      </c>
      <c r="G32" s="307">
        <f>G34+G33+G35+G36</f>
        <v>58452500</v>
      </c>
      <c r="H32" s="307">
        <f>H34+H33+H35+H36</f>
        <v>250000</v>
      </c>
      <c r="I32" s="908" t="s">
        <v>0</v>
      </c>
      <c r="J32" s="984">
        <f>K32+N32</f>
        <v>17517500</v>
      </c>
      <c r="K32" s="984">
        <f>L32+M32</f>
        <v>14889875</v>
      </c>
      <c r="L32" s="974">
        <v>14889875</v>
      </c>
      <c r="M32" s="974">
        <v>0</v>
      </c>
      <c r="N32" s="984">
        <f>O32+R32+U32</f>
        <v>2627625</v>
      </c>
      <c r="O32" s="984">
        <f>P32+Q32</f>
        <v>0</v>
      </c>
      <c r="P32" s="974">
        <v>0</v>
      </c>
      <c r="Q32" s="974">
        <v>0</v>
      </c>
      <c r="R32" s="984">
        <f>S32+T32</f>
        <v>2627625</v>
      </c>
      <c r="S32" s="974">
        <v>2627625</v>
      </c>
      <c r="T32" s="974">
        <v>0</v>
      </c>
      <c r="U32" s="984">
        <f>V32+W32</f>
        <v>0</v>
      </c>
      <c r="V32" s="974">
        <v>0</v>
      </c>
      <c r="W32" s="974">
        <v>0</v>
      </c>
    </row>
    <row r="33" spans="1:23" s="308" customFormat="1" ht="12.75" hidden="1" customHeight="1">
      <c r="A33" s="910"/>
      <c r="B33" s="988"/>
      <c r="C33" s="986"/>
      <c r="D33" s="914"/>
      <c r="E33" s="988"/>
      <c r="F33" s="910"/>
      <c r="G33" s="307">
        <v>49684625</v>
      </c>
      <c r="H33" s="307">
        <v>212500</v>
      </c>
      <c r="I33" s="909"/>
      <c r="J33" s="984"/>
      <c r="K33" s="984"/>
      <c r="L33" s="974"/>
      <c r="M33" s="974"/>
      <c r="N33" s="984"/>
      <c r="O33" s="984"/>
      <c r="P33" s="974"/>
      <c r="Q33" s="974"/>
      <c r="R33" s="984"/>
      <c r="S33" s="974"/>
      <c r="T33" s="974"/>
      <c r="U33" s="984"/>
      <c r="V33" s="974"/>
      <c r="W33" s="974"/>
    </row>
    <row r="34" spans="1:23" s="308" customFormat="1" ht="12.75" hidden="1" customHeight="1">
      <c r="A34" s="910"/>
      <c r="B34" s="988"/>
      <c r="C34" s="986"/>
      <c r="D34" s="914"/>
      <c r="E34" s="988"/>
      <c r="F34" s="910"/>
      <c r="G34" s="307">
        <v>0</v>
      </c>
      <c r="H34" s="307">
        <v>0</v>
      </c>
      <c r="I34" s="286" t="s">
        <v>1</v>
      </c>
      <c r="J34" s="309">
        <f>K34+N34</f>
        <v>0</v>
      </c>
      <c r="K34" s="309">
        <f>L34+M34</f>
        <v>0</v>
      </c>
      <c r="L34" s="310">
        <v>0</v>
      </c>
      <c r="M34" s="310">
        <v>0</v>
      </c>
      <c r="N34" s="309">
        <f>O34+R34+U34</f>
        <v>0</v>
      </c>
      <c r="O34" s="309">
        <f>P34+Q34</f>
        <v>0</v>
      </c>
      <c r="P34" s="310">
        <v>0</v>
      </c>
      <c r="Q34" s="310">
        <v>0</v>
      </c>
      <c r="R34" s="309">
        <f>S34+T34</f>
        <v>0</v>
      </c>
      <c r="S34" s="310">
        <v>0</v>
      </c>
      <c r="T34" s="310">
        <v>0</v>
      </c>
      <c r="U34" s="309">
        <f>V34+W34</f>
        <v>0</v>
      </c>
      <c r="V34" s="310">
        <v>0</v>
      </c>
      <c r="W34" s="310">
        <v>0</v>
      </c>
    </row>
    <row r="35" spans="1:23" s="308" customFormat="1" ht="12.75" hidden="1" customHeight="1">
      <c r="A35" s="910"/>
      <c r="B35" s="988"/>
      <c r="C35" s="986"/>
      <c r="D35" s="914"/>
      <c r="E35" s="988"/>
      <c r="F35" s="910"/>
      <c r="G35" s="307">
        <v>8767875</v>
      </c>
      <c r="H35" s="307">
        <v>37500</v>
      </c>
      <c r="I35" s="908" t="s">
        <v>2</v>
      </c>
      <c r="J35" s="984">
        <f t="shared" ref="J35:W35" si="3">J32+J34</f>
        <v>17517500</v>
      </c>
      <c r="K35" s="984">
        <f t="shared" si="3"/>
        <v>14889875</v>
      </c>
      <c r="L35" s="974">
        <f t="shared" si="3"/>
        <v>14889875</v>
      </c>
      <c r="M35" s="974">
        <f t="shared" si="3"/>
        <v>0</v>
      </c>
      <c r="N35" s="984">
        <f t="shared" si="3"/>
        <v>2627625</v>
      </c>
      <c r="O35" s="984">
        <f t="shared" si="3"/>
        <v>0</v>
      </c>
      <c r="P35" s="974">
        <f t="shared" si="3"/>
        <v>0</v>
      </c>
      <c r="Q35" s="974">
        <f t="shared" si="3"/>
        <v>0</v>
      </c>
      <c r="R35" s="984">
        <f t="shared" si="3"/>
        <v>2627625</v>
      </c>
      <c r="S35" s="974">
        <f t="shared" si="3"/>
        <v>2627625</v>
      </c>
      <c r="T35" s="974">
        <f t="shared" si="3"/>
        <v>0</v>
      </c>
      <c r="U35" s="984">
        <f t="shared" si="3"/>
        <v>0</v>
      </c>
      <c r="V35" s="974">
        <f t="shared" si="3"/>
        <v>0</v>
      </c>
      <c r="W35" s="974">
        <f t="shared" si="3"/>
        <v>0</v>
      </c>
    </row>
    <row r="36" spans="1:23" s="308" customFormat="1" ht="12.75" hidden="1" customHeight="1">
      <c r="A36" s="910"/>
      <c r="B36" s="988"/>
      <c r="C36" s="987"/>
      <c r="D36" s="914"/>
      <c r="E36" s="988"/>
      <c r="F36" s="910"/>
      <c r="G36" s="307">
        <v>0</v>
      </c>
      <c r="H36" s="307">
        <v>0</v>
      </c>
      <c r="I36" s="909"/>
      <c r="J36" s="984"/>
      <c r="K36" s="984"/>
      <c r="L36" s="974"/>
      <c r="M36" s="974"/>
      <c r="N36" s="984"/>
      <c r="O36" s="984"/>
      <c r="P36" s="974"/>
      <c r="Q36" s="974"/>
      <c r="R36" s="984"/>
      <c r="S36" s="974"/>
      <c r="T36" s="974"/>
      <c r="U36" s="984"/>
      <c r="V36" s="974"/>
      <c r="W36" s="974"/>
    </row>
    <row r="37" spans="1:23" s="308" customFormat="1" ht="12.75" customHeight="1">
      <c r="A37" s="910">
        <v>1</v>
      </c>
      <c r="B37" s="988" t="s">
        <v>777</v>
      </c>
      <c r="C37" s="985" t="s">
        <v>778</v>
      </c>
      <c r="D37" s="914" t="s">
        <v>411</v>
      </c>
      <c r="E37" s="988" t="s">
        <v>779</v>
      </c>
      <c r="F37" s="910" t="s">
        <v>780</v>
      </c>
      <c r="G37" s="307">
        <f>G39+G38+G40+G41</f>
        <v>1240280</v>
      </c>
      <c r="H37" s="307">
        <f>H39+H38+H40+H41</f>
        <v>0</v>
      </c>
      <c r="I37" s="908" t="s">
        <v>0</v>
      </c>
      <c r="J37" s="984">
        <f>K37+N37</f>
        <v>0</v>
      </c>
      <c r="K37" s="984">
        <f>L37+M37</f>
        <v>0</v>
      </c>
      <c r="L37" s="974">
        <v>0</v>
      </c>
      <c r="M37" s="974">
        <v>0</v>
      </c>
      <c r="N37" s="984">
        <f>O37+R37+U37</f>
        <v>0</v>
      </c>
      <c r="O37" s="984">
        <f>P37+Q37</f>
        <v>0</v>
      </c>
      <c r="P37" s="974">
        <v>0</v>
      </c>
      <c r="Q37" s="974">
        <v>0</v>
      </c>
      <c r="R37" s="984">
        <f>S37+T37</f>
        <v>0</v>
      </c>
      <c r="S37" s="974">
        <v>0</v>
      </c>
      <c r="T37" s="974">
        <v>0</v>
      </c>
      <c r="U37" s="984">
        <f>V37+W37</f>
        <v>0</v>
      </c>
      <c r="V37" s="974">
        <v>0</v>
      </c>
      <c r="W37" s="974">
        <v>0</v>
      </c>
    </row>
    <row r="38" spans="1:23" s="308" customFormat="1" ht="12.75" customHeight="1">
      <c r="A38" s="910"/>
      <c r="B38" s="988"/>
      <c r="C38" s="986"/>
      <c r="D38" s="914"/>
      <c r="E38" s="988"/>
      <c r="F38" s="910"/>
      <c r="G38" s="307">
        <v>0</v>
      </c>
      <c r="H38" s="307">
        <v>0</v>
      </c>
      <c r="I38" s="909"/>
      <c r="J38" s="984"/>
      <c r="K38" s="984"/>
      <c r="L38" s="974"/>
      <c r="M38" s="974"/>
      <c r="N38" s="984"/>
      <c r="O38" s="984"/>
      <c r="P38" s="974"/>
      <c r="Q38" s="974"/>
      <c r="R38" s="984"/>
      <c r="S38" s="974"/>
      <c r="T38" s="974"/>
      <c r="U38" s="984"/>
      <c r="V38" s="974"/>
      <c r="W38" s="974"/>
    </row>
    <row r="39" spans="1:23" s="308" customFormat="1" ht="12.75" customHeight="1">
      <c r="A39" s="910"/>
      <c r="B39" s="988"/>
      <c r="C39" s="986"/>
      <c r="D39" s="914"/>
      <c r="E39" s="988"/>
      <c r="F39" s="910"/>
      <c r="G39" s="307">
        <v>0</v>
      </c>
      <c r="H39" s="307">
        <v>0</v>
      </c>
      <c r="I39" s="286" t="s">
        <v>1</v>
      </c>
      <c r="J39" s="309">
        <f>K39+N39</f>
        <v>380730</v>
      </c>
      <c r="K39" s="309">
        <f>L39+M39</f>
        <v>0</v>
      </c>
      <c r="L39" s="310">
        <v>0</v>
      </c>
      <c r="M39" s="310">
        <v>0</v>
      </c>
      <c r="N39" s="309">
        <f>O39+R39+U39</f>
        <v>380730</v>
      </c>
      <c r="O39" s="309">
        <f>P39+Q39</f>
        <v>0</v>
      </c>
      <c r="P39" s="310">
        <v>0</v>
      </c>
      <c r="Q39" s="310">
        <v>0</v>
      </c>
      <c r="R39" s="309">
        <f>S39+T39</f>
        <v>380730</v>
      </c>
      <c r="S39" s="310">
        <v>380730</v>
      </c>
      <c r="T39" s="310">
        <v>0</v>
      </c>
      <c r="U39" s="309">
        <f>V39+W39</f>
        <v>0</v>
      </c>
      <c r="V39" s="310">
        <v>0</v>
      </c>
      <c r="W39" s="310">
        <v>0</v>
      </c>
    </row>
    <row r="40" spans="1:23" s="308" customFormat="1" ht="12.75" customHeight="1">
      <c r="A40" s="910"/>
      <c r="B40" s="988"/>
      <c r="C40" s="986"/>
      <c r="D40" s="914"/>
      <c r="E40" s="988"/>
      <c r="F40" s="910"/>
      <c r="G40" s="307">
        <v>1240280</v>
      </c>
      <c r="H40" s="307">
        <v>0</v>
      </c>
      <c r="I40" s="908" t="s">
        <v>2</v>
      </c>
      <c r="J40" s="984">
        <f t="shared" ref="J40:W40" si="4">J37+J39</f>
        <v>380730</v>
      </c>
      <c r="K40" s="984">
        <f t="shared" si="4"/>
        <v>0</v>
      </c>
      <c r="L40" s="974">
        <f t="shared" si="4"/>
        <v>0</v>
      </c>
      <c r="M40" s="974">
        <f t="shared" si="4"/>
        <v>0</v>
      </c>
      <c r="N40" s="984">
        <f t="shared" si="4"/>
        <v>380730</v>
      </c>
      <c r="O40" s="984">
        <f t="shared" si="4"/>
        <v>0</v>
      </c>
      <c r="P40" s="974">
        <f t="shared" si="4"/>
        <v>0</v>
      </c>
      <c r="Q40" s="974">
        <f t="shared" si="4"/>
        <v>0</v>
      </c>
      <c r="R40" s="984">
        <f t="shared" si="4"/>
        <v>380730</v>
      </c>
      <c r="S40" s="974">
        <f t="shared" si="4"/>
        <v>380730</v>
      </c>
      <c r="T40" s="974">
        <f t="shared" si="4"/>
        <v>0</v>
      </c>
      <c r="U40" s="984">
        <f t="shared" si="4"/>
        <v>0</v>
      </c>
      <c r="V40" s="974">
        <f t="shared" si="4"/>
        <v>0</v>
      </c>
      <c r="W40" s="974">
        <f t="shared" si="4"/>
        <v>0</v>
      </c>
    </row>
    <row r="41" spans="1:23" s="308" customFormat="1" ht="12.75" customHeight="1">
      <c r="A41" s="910"/>
      <c r="B41" s="988"/>
      <c r="C41" s="987"/>
      <c r="D41" s="914"/>
      <c r="E41" s="988"/>
      <c r="F41" s="910"/>
      <c r="G41" s="307">
        <v>0</v>
      </c>
      <c r="H41" s="307">
        <v>0</v>
      </c>
      <c r="I41" s="909"/>
      <c r="J41" s="984"/>
      <c r="K41" s="984"/>
      <c r="L41" s="974"/>
      <c r="M41" s="974"/>
      <c r="N41" s="984"/>
      <c r="O41" s="984"/>
      <c r="P41" s="974"/>
      <c r="Q41" s="974"/>
      <c r="R41" s="984"/>
      <c r="S41" s="974"/>
      <c r="T41" s="974"/>
      <c r="U41" s="984"/>
      <c r="V41" s="974"/>
      <c r="W41" s="974"/>
    </row>
    <row r="42" spans="1:23" s="308" customFormat="1" ht="12.75" customHeight="1">
      <c r="A42" s="910">
        <v>2</v>
      </c>
      <c r="B42" s="988" t="s">
        <v>781</v>
      </c>
      <c r="C42" s="985" t="s">
        <v>782</v>
      </c>
      <c r="D42" s="914" t="s">
        <v>783</v>
      </c>
      <c r="E42" s="988" t="s">
        <v>784</v>
      </c>
      <c r="F42" s="910" t="s">
        <v>785</v>
      </c>
      <c r="G42" s="307">
        <f>G43+G44+G45+G46</f>
        <v>9631826</v>
      </c>
      <c r="H42" s="307">
        <f>H44+H43+H45+H46</f>
        <v>0</v>
      </c>
      <c r="I42" s="908" t="s">
        <v>0</v>
      </c>
      <c r="J42" s="984">
        <f>K42+N42</f>
        <v>9631826</v>
      </c>
      <c r="K42" s="984">
        <f>L42+M42</f>
        <v>8187052</v>
      </c>
      <c r="L42" s="974">
        <v>64060</v>
      </c>
      <c r="M42" s="974">
        <v>8122992</v>
      </c>
      <c r="N42" s="984">
        <f>O42+R42+U42</f>
        <v>1444774</v>
      </c>
      <c r="O42" s="984">
        <f>P42+Q42</f>
        <v>963183</v>
      </c>
      <c r="P42" s="974">
        <v>7537</v>
      </c>
      <c r="Q42" s="974">
        <v>955646</v>
      </c>
      <c r="R42" s="984">
        <f>S42+T42</f>
        <v>481591</v>
      </c>
      <c r="S42" s="974">
        <v>3768</v>
      </c>
      <c r="T42" s="974">
        <v>477823</v>
      </c>
      <c r="U42" s="984">
        <f>V42+W42</f>
        <v>0</v>
      </c>
      <c r="V42" s="974">
        <v>0</v>
      </c>
      <c r="W42" s="974">
        <v>0</v>
      </c>
    </row>
    <row r="43" spans="1:23" s="308" customFormat="1" ht="12.75" customHeight="1">
      <c r="A43" s="910"/>
      <c r="B43" s="988"/>
      <c r="C43" s="986"/>
      <c r="D43" s="914"/>
      <c r="E43" s="988"/>
      <c r="F43" s="910"/>
      <c r="G43" s="307">
        <v>8187052</v>
      </c>
      <c r="H43" s="307">
        <v>0</v>
      </c>
      <c r="I43" s="909"/>
      <c r="J43" s="984"/>
      <c r="K43" s="984"/>
      <c r="L43" s="974"/>
      <c r="M43" s="974"/>
      <c r="N43" s="984"/>
      <c r="O43" s="984"/>
      <c r="P43" s="974"/>
      <c r="Q43" s="974"/>
      <c r="R43" s="984"/>
      <c r="S43" s="974"/>
      <c r="T43" s="974"/>
      <c r="U43" s="984"/>
      <c r="V43" s="974"/>
      <c r="W43" s="974"/>
    </row>
    <row r="44" spans="1:23" s="308" customFormat="1" ht="12.75" customHeight="1">
      <c r="A44" s="910"/>
      <c r="B44" s="988"/>
      <c r="C44" s="986"/>
      <c r="D44" s="914"/>
      <c r="E44" s="988"/>
      <c r="F44" s="910"/>
      <c r="G44" s="307">
        <v>963183</v>
      </c>
      <c r="H44" s="307">
        <v>0</v>
      </c>
      <c r="I44" s="286" t="s">
        <v>1</v>
      </c>
      <c r="J44" s="309">
        <f>K44+N44</f>
        <v>0</v>
      </c>
      <c r="K44" s="309">
        <f>L44+M44</f>
        <v>0</v>
      </c>
      <c r="L44" s="310">
        <v>0</v>
      </c>
      <c r="M44" s="310">
        <v>0</v>
      </c>
      <c r="N44" s="309">
        <f>O44+R44+U44</f>
        <v>0</v>
      </c>
      <c r="O44" s="309">
        <f>P44+Q44</f>
        <v>0</v>
      </c>
      <c r="P44" s="310">
        <v>0</v>
      </c>
      <c r="Q44" s="310">
        <v>0</v>
      </c>
      <c r="R44" s="309">
        <f>S44+T44</f>
        <v>-76729</v>
      </c>
      <c r="S44" s="310">
        <v>0</v>
      </c>
      <c r="T44" s="310">
        <v>-76729</v>
      </c>
      <c r="U44" s="309">
        <f>V44+W44</f>
        <v>76729</v>
      </c>
      <c r="V44" s="310">
        <v>0</v>
      </c>
      <c r="W44" s="310">
        <v>76729</v>
      </c>
    </row>
    <row r="45" spans="1:23" s="308" customFormat="1" ht="12.75" customHeight="1">
      <c r="A45" s="910"/>
      <c r="B45" s="988"/>
      <c r="C45" s="986"/>
      <c r="D45" s="914"/>
      <c r="E45" s="988"/>
      <c r="F45" s="910"/>
      <c r="G45" s="307">
        <v>404862</v>
      </c>
      <c r="H45" s="307">
        <v>0</v>
      </c>
      <c r="I45" s="908" t="s">
        <v>2</v>
      </c>
      <c r="J45" s="984">
        <f t="shared" ref="J45:W45" si="5">J42+J44</f>
        <v>9631826</v>
      </c>
      <c r="K45" s="984">
        <f t="shared" si="5"/>
        <v>8187052</v>
      </c>
      <c r="L45" s="974">
        <f t="shared" si="5"/>
        <v>64060</v>
      </c>
      <c r="M45" s="974">
        <f t="shared" si="5"/>
        <v>8122992</v>
      </c>
      <c r="N45" s="984">
        <f t="shared" si="5"/>
        <v>1444774</v>
      </c>
      <c r="O45" s="984">
        <f t="shared" si="5"/>
        <v>963183</v>
      </c>
      <c r="P45" s="974">
        <f t="shared" si="5"/>
        <v>7537</v>
      </c>
      <c r="Q45" s="974">
        <f t="shared" si="5"/>
        <v>955646</v>
      </c>
      <c r="R45" s="984">
        <f t="shared" si="5"/>
        <v>404862</v>
      </c>
      <c r="S45" s="974">
        <f t="shared" si="5"/>
        <v>3768</v>
      </c>
      <c r="T45" s="974">
        <f t="shared" si="5"/>
        <v>401094</v>
      </c>
      <c r="U45" s="984">
        <f t="shared" si="5"/>
        <v>76729</v>
      </c>
      <c r="V45" s="974">
        <f t="shared" si="5"/>
        <v>0</v>
      </c>
      <c r="W45" s="974">
        <f t="shared" si="5"/>
        <v>76729</v>
      </c>
    </row>
    <row r="46" spans="1:23" s="308" customFormat="1" ht="12.75" customHeight="1">
      <c r="A46" s="910"/>
      <c r="B46" s="988"/>
      <c r="C46" s="987"/>
      <c r="D46" s="914"/>
      <c r="E46" s="988"/>
      <c r="F46" s="910"/>
      <c r="G46" s="307">
        <v>76729</v>
      </c>
      <c r="H46" s="307">
        <v>0</v>
      </c>
      <c r="I46" s="909"/>
      <c r="J46" s="984"/>
      <c r="K46" s="984"/>
      <c r="L46" s="974"/>
      <c r="M46" s="974"/>
      <c r="N46" s="984"/>
      <c r="O46" s="984"/>
      <c r="P46" s="974"/>
      <c r="Q46" s="974"/>
      <c r="R46" s="984"/>
      <c r="S46" s="974"/>
      <c r="T46" s="974"/>
      <c r="U46" s="984"/>
      <c r="V46" s="974"/>
      <c r="W46" s="974"/>
    </row>
    <row r="47" spans="1:23" s="308" customFormat="1" ht="12.75" hidden="1" customHeight="1">
      <c r="A47" s="910">
        <v>2</v>
      </c>
      <c r="B47" s="988" t="s">
        <v>781</v>
      </c>
      <c r="C47" s="985" t="s">
        <v>786</v>
      </c>
      <c r="D47" s="914" t="s">
        <v>783</v>
      </c>
      <c r="E47" s="988" t="s">
        <v>784</v>
      </c>
      <c r="F47" s="910" t="s">
        <v>785</v>
      </c>
      <c r="G47" s="307">
        <f>G48+G49+G50+G51</f>
        <v>35034670</v>
      </c>
      <c r="H47" s="307">
        <f>H49+H48+H50+H51</f>
        <v>0</v>
      </c>
      <c r="I47" s="908" t="s">
        <v>0</v>
      </c>
      <c r="J47" s="984">
        <f>K47+N47</f>
        <v>35034670</v>
      </c>
      <c r="K47" s="984">
        <f>L47+M47</f>
        <v>28194163</v>
      </c>
      <c r="L47" s="974">
        <v>236651</v>
      </c>
      <c r="M47" s="974">
        <v>27957512</v>
      </c>
      <c r="N47" s="984">
        <f>O47+R47+U47</f>
        <v>6840507</v>
      </c>
      <c r="O47" s="984">
        <f>P47+Q47</f>
        <v>3316960</v>
      </c>
      <c r="P47" s="974">
        <v>27841</v>
      </c>
      <c r="Q47" s="974">
        <v>3289119</v>
      </c>
      <c r="R47" s="984">
        <f>S47+T47</f>
        <v>1635550</v>
      </c>
      <c r="S47" s="974">
        <v>13920</v>
      </c>
      <c r="T47" s="974">
        <v>1621630</v>
      </c>
      <c r="U47" s="984">
        <f>V47+W47</f>
        <v>1887997</v>
      </c>
      <c r="V47" s="974">
        <v>0</v>
      </c>
      <c r="W47" s="974">
        <v>1887997</v>
      </c>
    </row>
    <row r="48" spans="1:23" s="308" customFormat="1" ht="12.75" hidden="1" customHeight="1">
      <c r="A48" s="910"/>
      <c r="B48" s="988"/>
      <c r="C48" s="986"/>
      <c r="D48" s="914"/>
      <c r="E48" s="988"/>
      <c r="F48" s="910"/>
      <c r="G48" s="307">
        <v>28194163</v>
      </c>
      <c r="H48" s="307">
        <v>0</v>
      </c>
      <c r="I48" s="909"/>
      <c r="J48" s="984"/>
      <c r="K48" s="984"/>
      <c r="L48" s="974"/>
      <c r="M48" s="974"/>
      <c r="N48" s="984"/>
      <c r="O48" s="984"/>
      <c r="P48" s="974"/>
      <c r="Q48" s="974"/>
      <c r="R48" s="984"/>
      <c r="S48" s="974"/>
      <c r="T48" s="974"/>
      <c r="U48" s="984"/>
      <c r="V48" s="974"/>
      <c r="W48" s="974"/>
    </row>
    <row r="49" spans="1:23" s="308" customFormat="1" ht="12.75" hidden="1" customHeight="1">
      <c r="A49" s="910"/>
      <c r="B49" s="988"/>
      <c r="C49" s="986"/>
      <c r="D49" s="914"/>
      <c r="E49" s="988"/>
      <c r="F49" s="910"/>
      <c r="G49" s="307">
        <v>3316960</v>
      </c>
      <c r="H49" s="307">
        <v>0</v>
      </c>
      <c r="I49" s="286" t="s">
        <v>1</v>
      </c>
      <c r="J49" s="309">
        <f>K49+N49</f>
        <v>0</v>
      </c>
      <c r="K49" s="309">
        <f>L49+M49</f>
        <v>0</v>
      </c>
      <c r="L49" s="310">
        <v>0</v>
      </c>
      <c r="M49" s="310">
        <v>0</v>
      </c>
      <c r="N49" s="309">
        <f>O49+R49+U49</f>
        <v>0</v>
      </c>
      <c r="O49" s="309">
        <f>P49+Q49</f>
        <v>0</v>
      </c>
      <c r="P49" s="310">
        <v>0</v>
      </c>
      <c r="Q49" s="310">
        <v>0</v>
      </c>
      <c r="R49" s="309">
        <f>S49+T49</f>
        <v>0</v>
      </c>
      <c r="S49" s="310">
        <v>0</v>
      </c>
      <c r="T49" s="310">
        <v>0</v>
      </c>
      <c r="U49" s="309">
        <f>V49+W49</f>
        <v>0</v>
      </c>
      <c r="V49" s="310">
        <v>0</v>
      </c>
      <c r="W49" s="310">
        <v>0</v>
      </c>
    </row>
    <row r="50" spans="1:23" s="308" customFormat="1" ht="12.75" hidden="1" customHeight="1">
      <c r="A50" s="910"/>
      <c r="B50" s="988"/>
      <c r="C50" s="986"/>
      <c r="D50" s="914"/>
      <c r="E50" s="988"/>
      <c r="F50" s="910"/>
      <c r="G50" s="307">
        <v>1635550</v>
      </c>
      <c r="H50" s="307">
        <v>0</v>
      </c>
      <c r="I50" s="908" t="s">
        <v>2</v>
      </c>
      <c r="J50" s="984">
        <f t="shared" ref="J50:W50" si="6">J47+J49</f>
        <v>35034670</v>
      </c>
      <c r="K50" s="984">
        <f t="shared" si="6"/>
        <v>28194163</v>
      </c>
      <c r="L50" s="974">
        <f t="shared" si="6"/>
        <v>236651</v>
      </c>
      <c r="M50" s="974">
        <f t="shared" si="6"/>
        <v>27957512</v>
      </c>
      <c r="N50" s="984">
        <f t="shared" si="6"/>
        <v>6840507</v>
      </c>
      <c r="O50" s="984">
        <f t="shared" si="6"/>
        <v>3316960</v>
      </c>
      <c r="P50" s="974">
        <f t="shared" si="6"/>
        <v>27841</v>
      </c>
      <c r="Q50" s="974">
        <f t="shared" si="6"/>
        <v>3289119</v>
      </c>
      <c r="R50" s="984">
        <f t="shared" si="6"/>
        <v>1635550</v>
      </c>
      <c r="S50" s="974">
        <f t="shared" si="6"/>
        <v>13920</v>
      </c>
      <c r="T50" s="974">
        <f t="shared" si="6"/>
        <v>1621630</v>
      </c>
      <c r="U50" s="984">
        <f t="shared" si="6"/>
        <v>1887997</v>
      </c>
      <c r="V50" s="974">
        <f t="shared" si="6"/>
        <v>0</v>
      </c>
      <c r="W50" s="974">
        <f t="shared" si="6"/>
        <v>1887997</v>
      </c>
    </row>
    <row r="51" spans="1:23" s="308" customFormat="1" ht="12.75" hidden="1" customHeight="1">
      <c r="A51" s="910"/>
      <c r="B51" s="988"/>
      <c r="C51" s="987"/>
      <c r="D51" s="914"/>
      <c r="E51" s="988"/>
      <c r="F51" s="910"/>
      <c r="G51" s="307">
        <v>1887997</v>
      </c>
      <c r="H51" s="307">
        <v>0</v>
      </c>
      <c r="I51" s="909"/>
      <c r="J51" s="984"/>
      <c r="K51" s="984"/>
      <c r="L51" s="974"/>
      <c r="M51" s="974"/>
      <c r="N51" s="984"/>
      <c r="O51" s="984"/>
      <c r="P51" s="974"/>
      <c r="Q51" s="974"/>
      <c r="R51" s="984"/>
      <c r="S51" s="974"/>
      <c r="T51" s="974"/>
      <c r="U51" s="984"/>
      <c r="V51" s="974"/>
      <c r="W51" s="974"/>
    </row>
    <row r="52" spans="1:23" s="308" customFormat="1" ht="12.75" hidden="1" customHeight="1">
      <c r="A52" s="910">
        <v>6</v>
      </c>
      <c r="B52" s="988" t="s">
        <v>781</v>
      </c>
      <c r="C52" s="985" t="s">
        <v>787</v>
      </c>
      <c r="D52" s="914" t="s">
        <v>783</v>
      </c>
      <c r="E52" s="988" t="s">
        <v>784</v>
      </c>
      <c r="F52" s="910" t="s">
        <v>785</v>
      </c>
      <c r="G52" s="307">
        <f>G53+G54+G55+G56</f>
        <v>6053500</v>
      </c>
      <c r="H52" s="307">
        <f>H54+H53+H55+H56</f>
        <v>0</v>
      </c>
      <c r="I52" s="908" t="s">
        <v>0</v>
      </c>
      <c r="J52" s="984">
        <f>K52+N52</f>
        <v>6053500</v>
      </c>
      <c r="K52" s="984">
        <f>L52+M52</f>
        <v>5145475</v>
      </c>
      <c r="L52" s="974">
        <v>38195</v>
      </c>
      <c r="M52" s="974">
        <v>5107280</v>
      </c>
      <c r="N52" s="984">
        <f>O52+R52+U52</f>
        <v>908025</v>
      </c>
      <c r="O52" s="984">
        <f>P52+Q52</f>
        <v>605350</v>
      </c>
      <c r="P52" s="974">
        <v>4494</v>
      </c>
      <c r="Q52" s="974">
        <v>600856</v>
      </c>
      <c r="R52" s="984">
        <f>S52+T52</f>
        <v>302675</v>
      </c>
      <c r="S52" s="974">
        <v>2247</v>
      </c>
      <c r="T52" s="974">
        <v>300428</v>
      </c>
      <c r="U52" s="984">
        <f>V52+W52</f>
        <v>0</v>
      </c>
      <c r="V52" s="974">
        <v>0</v>
      </c>
      <c r="W52" s="974">
        <v>0</v>
      </c>
    </row>
    <row r="53" spans="1:23" s="308" customFormat="1" ht="12.75" hidden="1" customHeight="1">
      <c r="A53" s="910"/>
      <c r="B53" s="988"/>
      <c r="C53" s="986"/>
      <c r="D53" s="914"/>
      <c r="E53" s="988"/>
      <c r="F53" s="910"/>
      <c r="G53" s="307">
        <v>5145475</v>
      </c>
      <c r="H53" s="307">
        <v>0</v>
      </c>
      <c r="I53" s="909"/>
      <c r="J53" s="984"/>
      <c r="K53" s="984"/>
      <c r="L53" s="974"/>
      <c r="M53" s="974"/>
      <c r="N53" s="984"/>
      <c r="O53" s="984"/>
      <c r="P53" s="974"/>
      <c r="Q53" s="974"/>
      <c r="R53" s="984"/>
      <c r="S53" s="974"/>
      <c r="T53" s="974"/>
      <c r="U53" s="984"/>
      <c r="V53" s="974"/>
      <c r="W53" s="974"/>
    </row>
    <row r="54" spans="1:23" s="308" customFormat="1" ht="12.75" hidden="1" customHeight="1">
      <c r="A54" s="910"/>
      <c r="B54" s="988"/>
      <c r="C54" s="986"/>
      <c r="D54" s="914"/>
      <c r="E54" s="988"/>
      <c r="F54" s="910"/>
      <c r="G54" s="307">
        <v>605350</v>
      </c>
      <c r="H54" s="307">
        <v>0</v>
      </c>
      <c r="I54" s="286" t="s">
        <v>1</v>
      </c>
      <c r="J54" s="309">
        <f>K54+N54</f>
        <v>0</v>
      </c>
      <c r="K54" s="309">
        <f>L54+M54</f>
        <v>0</v>
      </c>
      <c r="L54" s="310">
        <v>0</v>
      </c>
      <c r="M54" s="310">
        <v>0</v>
      </c>
      <c r="N54" s="309">
        <f>O54+R54+U54</f>
        <v>0</v>
      </c>
      <c r="O54" s="309">
        <f>P54+Q54</f>
        <v>0</v>
      </c>
      <c r="P54" s="310">
        <v>0</v>
      </c>
      <c r="Q54" s="310">
        <v>0</v>
      </c>
      <c r="R54" s="309">
        <f>S54+T54</f>
        <v>0</v>
      </c>
      <c r="S54" s="310">
        <v>0</v>
      </c>
      <c r="T54" s="310">
        <v>0</v>
      </c>
      <c r="U54" s="309">
        <f>V54+W54</f>
        <v>0</v>
      </c>
      <c r="V54" s="310">
        <v>0</v>
      </c>
      <c r="W54" s="310">
        <v>0</v>
      </c>
    </row>
    <row r="55" spans="1:23" s="308" customFormat="1" ht="12.75" hidden="1" customHeight="1">
      <c r="A55" s="910"/>
      <c r="B55" s="988"/>
      <c r="C55" s="986"/>
      <c r="D55" s="914"/>
      <c r="E55" s="988"/>
      <c r="F55" s="910"/>
      <c r="G55" s="307">
        <v>302675</v>
      </c>
      <c r="H55" s="307">
        <v>0</v>
      </c>
      <c r="I55" s="908" t="s">
        <v>2</v>
      </c>
      <c r="J55" s="984">
        <f t="shared" ref="J55:W55" si="7">J52+J54</f>
        <v>6053500</v>
      </c>
      <c r="K55" s="984">
        <f t="shared" si="7"/>
        <v>5145475</v>
      </c>
      <c r="L55" s="974">
        <f t="shared" si="7"/>
        <v>38195</v>
      </c>
      <c r="M55" s="974">
        <f t="shared" si="7"/>
        <v>5107280</v>
      </c>
      <c r="N55" s="984">
        <f t="shared" si="7"/>
        <v>908025</v>
      </c>
      <c r="O55" s="984">
        <f t="shared" si="7"/>
        <v>605350</v>
      </c>
      <c r="P55" s="974">
        <f t="shared" si="7"/>
        <v>4494</v>
      </c>
      <c r="Q55" s="974">
        <f t="shared" si="7"/>
        <v>600856</v>
      </c>
      <c r="R55" s="984">
        <f t="shared" si="7"/>
        <v>302675</v>
      </c>
      <c r="S55" s="974">
        <f t="shared" si="7"/>
        <v>2247</v>
      </c>
      <c r="T55" s="974">
        <f t="shared" si="7"/>
        <v>300428</v>
      </c>
      <c r="U55" s="984">
        <f t="shared" si="7"/>
        <v>0</v>
      </c>
      <c r="V55" s="974">
        <f t="shared" si="7"/>
        <v>0</v>
      </c>
      <c r="W55" s="974">
        <f t="shared" si="7"/>
        <v>0</v>
      </c>
    </row>
    <row r="56" spans="1:23" s="308" customFormat="1" ht="12.75" hidden="1" customHeight="1">
      <c r="A56" s="910"/>
      <c r="B56" s="988"/>
      <c r="C56" s="987"/>
      <c r="D56" s="914"/>
      <c r="E56" s="988"/>
      <c r="F56" s="910"/>
      <c r="G56" s="307">
        <v>0</v>
      </c>
      <c r="H56" s="307">
        <v>0</v>
      </c>
      <c r="I56" s="909"/>
      <c r="J56" s="984"/>
      <c r="K56" s="984"/>
      <c r="L56" s="974"/>
      <c r="M56" s="974"/>
      <c r="N56" s="984"/>
      <c r="O56" s="984"/>
      <c r="P56" s="974"/>
      <c r="Q56" s="974"/>
      <c r="R56" s="984"/>
      <c r="S56" s="974"/>
      <c r="T56" s="974"/>
      <c r="U56" s="984"/>
      <c r="V56" s="974"/>
      <c r="W56" s="974"/>
    </row>
    <row r="57" spans="1:23" s="308" customFormat="1" ht="12.75" hidden="1" customHeight="1">
      <c r="A57" s="910">
        <v>7</v>
      </c>
      <c r="B57" s="988" t="s">
        <v>781</v>
      </c>
      <c r="C57" s="985" t="s">
        <v>788</v>
      </c>
      <c r="D57" s="914" t="s">
        <v>783</v>
      </c>
      <c r="E57" s="988" t="s">
        <v>784</v>
      </c>
      <c r="F57" s="910" t="s">
        <v>785</v>
      </c>
      <c r="G57" s="307">
        <f>G58+G59+G60+G61</f>
        <v>10369739</v>
      </c>
      <c r="H57" s="307">
        <f>H59+H58+H60+H61</f>
        <v>0</v>
      </c>
      <c r="I57" s="908" t="s">
        <v>0</v>
      </c>
      <c r="J57" s="984">
        <f>K57+N57</f>
        <v>10369739</v>
      </c>
      <c r="K57" s="984">
        <f>L57+M57</f>
        <v>8814279</v>
      </c>
      <c r="L57" s="974">
        <v>74520</v>
      </c>
      <c r="M57" s="974">
        <v>8739759</v>
      </c>
      <c r="N57" s="984">
        <f>O57+R57+U57</f>
        <v>1555460</v>
      </c>
      <c r="O57" s="984">
        <f>P57+Q57</f>
        <v>1036974</v>
      </c>
      <c r="P57" s="974">
        <v>8767</v>
      </c>
      <c r="Q57" s="974">
        <v>1028207</v>
      </c>
      <c r="R57" s="984">
        <f>S57+T57</f>
        <v>518486</v>
      </c>
      <c r="S57" s="974">
        <v>4384</v>
      </c>
      <c r="T57" s="974">
        <v>514102</v>
      </c>
      <c r="U57" s="984">
        <f>V57+W57</f>
        <v>0</v>
      </c>
      <c r="V57" s="974">
        <v>0</v>
      </c>
      <c r="W57" s="974">
        <v>0</v>
      </c>
    </row>
    <row r="58" spans="1:23" s="308" customFormat="1" ht="12.75" hidden="1" customHeight="1">
      <c r="A58" s="910"/>
      <c r="B58" s="988"/>
      <c r="C58" s="986"/>
      <c r="D58" s="914"/>
      <c r="E58" s="988"/>
      <c r="F58" s="910"/>
      <c r="G58" s="307">
        <v>8814279</v>
      </c>
      <c r="H58" s="307">
        <v>0</v>
      </c>
      <c r="I58" s="909"/>
      <c r="J58" s="984"/>
      <c r="K58" s="984"/>
      <c r="L58" s="974"/>
      <c r="M58" s="974"/>
      <c r="N58" s="984"/>
      <c r="O58" s="984"/>
      <c r="P58" s="974"/>
      <c r="Q58" s="974"/>
      <c r="R58" s="984"/>
      <c r="S58" s="974"/>
      <c r="T58" s="974"/>
      <c r="U58" s="984"/>
      <c r="V58" s="974"/>
      <c r="W58" s="974"/>
    </row>
    <row r="59" spans="1:23" s="308" customFormat="1" ht="12.75" hidden="1" customHeight="1">
      <c r="A59" s="910"/>
      <c r="B59" s="988"/>
      <c r="C59" s="986"/>
      <c r="D59" s="914"/>
      <c r="E59" s="988"/>
      <c r="F59" s="910"/>
      <c r="G59" s="307">
        <v>1036974</v>
      </c>
      <c r="H59" s="307">
        <v>0</v>
      </c>
      <c r="I59" s="286" t="s">
        <v>1</v>
      </c>
      <c r="J59" s="309">
        <f>K59+N59</f>
        <v>0</v>
      </c>
      <c r="K59" s="309">
        <f>L59+M59</f>
        <v>0</v>
      </c>
      <c r="L59" s="310">
        <v>0</v>
      </c>
      <c r="M59" s="310">
        <v>0</v>
      </c>
      <c r="N59" s="309">
        <f>O59+R59+U59</f>
        <v>0</v>
      </c>
      <c r="O59" s="309">
        <f>P59+Q59</f>
        <v>0</v>
      </c>
      <c r="P59" s="310">
        <v>0</v>
      </c>
      <c r="Q59" s="310">
        <v>0</v>
      </c>
      <c r="R59" s="309">
        <f>S59+T59</f>
        <v>0</v>
      </c>
      <c r="S59" s="310">
        <v>0</v>
      </c>
      <c r="T59" s="310">
        <v>0</v>
      </c>
      <c r="U59" s="309">
        <f>V59+W59</f>
        <v>0</v>
      </c>
      <c r="V59" s="310">
        <v>0</v>
      </c>
      <c r="W59" s="310">
        <v>0</v>
      </c>
    </row>
    <row r="60" spans="1:23" s="308" customFormat="1" ht="12.75" hidden="1" customHeight="1">
      <c r="A60" s="910"/>
      <c r="B60" s="988"/>
      <c r="C60" s="986"/>
      <c r="D60" s="914"/>
      <c r="E60" s="988"/>
      <c r="F60" s="910"/>
      <c r="G60" s="307">
        <v>518486</v>
      </c>
      <c r="H60" s="307">
        <v>0</v>
      </c>
      <c r="I60" s="908" t="s">
        <v>2</v>
      </c>
      <c r="J60" s="984">
        <f t="shared" ref="J60:W60" si="8">J57+J59</f>
        <v>10369739</v>
      </c>
      <c r="K60" s="984">
        <f t="shared" si="8"/>
        <v>8814279</v>
      </c>
      <c r="L60" s="974">
        <f t="shared" si="8"/>
        <v>74520</v>
      </c>
      <c r="M60" s="974">
        <f t="shared" si="8"/>
        <v>8739759</v>
      </c>
      <c r="N60" s="984">
        <f t="shared" si="8"/>
        <v>1555460</v>
      </c>
      <c r="O60" s="984">
        <f t="shared" si="8"/>
        <v>1036974</v>
      </c>
      <c r="P60" s="974">
        <f t="shared" si="8"/>
        <v>8767</v>
      </c>
      <c r="Q60" s="974">
        <f t="shared" si="8"/>
        <v>1028207</v>
      </c>
      <c r="R60" s="984">
        <f t="shared" si="8"/>
        <v>518486</v>
      </c>
      <c r="S60" s="974">
        <f t="shared" si="8"/>
        <v>4384</v>
      </c>
      <c r="T60" s="974">
        <f t="shared" si="8"/>
        <v>514102</v>
      </c>
      <c r="U60" s="984">
        <f t="shared" si="8"/>
        <v>0</v>
      </c>
      <c r="V60" s="974">
        <f t="shared" si="8"/>
        <v>0</v>
      </c>
      <c r="W60" s="974">
        <f t="shared" si="8"/>
        <v>0</v>
      </c>
    </row>
    <row r="61" spans="1:23" s="308" customFormat="1" ht="12.75" hidden="1" customHeight="1">
      <c r="A61" s="910"/>
      <c r="B61" s="988"/>
      <c r="C61" s="987"/>
      <c r="D61" s="914"/>
      <c r="E61" s="988"/>
      <c r="F61" s="910"/>
      <c r="G61" s="307">
        <v>0</v>
      </c>
      <c r="H61" s="307">
        <v>0</v>
      </c>
      <c r="I61" s="909"/>
      <c r="J61" s="984"/>
      <c r="K61" s="984"/>
      <c r="L61" s="974"/>
      <c r="M61" s="974"/>
      <c r="N61" s="984"/>
      <c r="O61" s="984"/>
      <c r="P61" s="974"/>
      <c r="Q61" s="974"/>
      <c r="R61" s="984"/>
      <c r="S61" s="974"/>
      <c r="T61" s="974"/>
      <c r="U61" s="984"/>
      <c r="V61" s="974"/>
      <c r="W61" s="974"/>
    </row>
    <row r="62" spans="1:23" s="308" customFormat="1" ht="12.75" hidden="1" customHeight="1">
      <c r="A62" s="910">
        <v>1</v>
      </c>
      <c r="B62" s="988" t="s">
        <v>781</v>
      </c>
      <c r="C62" s="985" t="s">
        <v>789</v>
      </c>
      <c r="D62" s="914" t="s">
        <v>783</v>
      </c>
      <c r="E62" s="988" t="s">
        <v>784</v>
      </c>
      <c r="F62" s="910" t="s">
        <v>776</v>
      </c>
      <c r="G62" s="307">
        <f>G64+G63+G65+G66</f>
        <v>86689140</v>
      </c>
      <c r="H62" s="307">
        <f>H64+H63+H65+H66</f>
        <v>0</v>
      </c>
      <c r="I62" s="908" t="s">
        <v>0</v>
      </c>
      <c r="J62" s="984">
        <f>K62+N62</f>
        <v>28559700</v>
      </c>
      <c r="K62" s="984">
        <f>L62+M62</f>
        <v>24275744</v>
      </c>
      <c r="L62" s="974">
        <v>434328</v>
      </c>
      <c r="M62" s="974">
        <v>23841416</v>
      </c>
      <c r="N62" s="984">
        <f>O62+R62+U62</f>
        <v>4283956</v>
      </c>
      <c r="O62" s="984">
        <f>P62+Q62</f>
        <v>2855971</v>
      </c>
      <c r="P62" s="974">
        <v>51098</v>
      </c>
      <c r="Q62" s="974">
        <v>2804873</v>
      </c>
      <c r="R62" s="984">
        <f>S62+T62</f>
        <v>1427985</v>
      </c>
      <c r="S62" s="974">
        <v>25549</v>
      </c>
      <c r="T62" s="974">
        <v>1402436</v>
      </c>
      <c r="U62" s="984">
        <f>V62+W62</f>
        <v>0</v>
      </c>
      <c r="V62" s="974">
        <v>0</v>
      </c>
      <c r="W62" s="974">
        <v>0</v>
      </c>
    </row>
    <row r="63" spans="1:23" s="308" customFormat="1" ht="12.75" hidden="1" customHeight="1">
      <c r="A63" s="910"/>
      <c r="B63" s="988"/>
      <c r="C63" s="986"/>
      <c r="D63" s="914"/>
      <c r="E63" s="988"/>
      <c r="F63" s="910"/>
      <c r="G63" s="307">
        <v>73396004</v>
      </c>
      <c r="H63" s="307">
        <v>0</v>
      </c>
      <c r="I63" s="909"/>
      <c r="J63" s="984"/>
      <c r="K63" s="984"/>
      <c r="L63" s="974"/>
      <c r="M63" s="974"/>
      <c r="N63" s="984"/>
      <c r="O63" s="984"/>
      <c r="P63" s="974"/>
      <c r="Q63" s="974"/>
      <c r="R63" s="984"/>
      <c r="S63" s="974"/>
      <c r="T63" s="974"/>
      <c r="U63" s="984"/>
      <c r="V63" s="974"/>
      <c r="W63" s="974"/>
    </row>
    <row r="64" spans="1:23" s="308" customFormat="1" ht="12.75" hidden="1" customHeight="1">
      <c r="A64" s="910"/>
      <c r="B64" s="988"/>
      <c r="C64" s="986"/>
      <c r="D64" s="914"/>
      <c r="E64" s="988"/>
      <c r="F64" s="910"/>
      <c r="G64" s="307">
        <v>8634824</v>
      </c>
      <c r="H64" s="307">
        <v>0</v>
      </c>
      <c r="I64" s="286" t="s">
        <v>1</v>
      </c>
      <c r="J64" s="309">
        <f>K64+N64</f>
        <v>0</v>
      </c>
      <c r="K64" s="309">
        <f>L64+M64</f>
        <v>0</v>
      </c>
      <c r="L64" s="310">
        <v>0</v>
      </c>
      <c r="M64" s="310">
        <v>0</v>
      </c>
      <c r="N64" s="309">
        <f>O64+R64+U64</f>
        <v>0</v>
      </c>
      <c r="O64" s="309">
        <f>P64+Q64</f>
        <v>0</v>
      </c>
      <c r="P64" s="310">
        <v>0</v>
      </c>
      <c r="Q64" s="310">
        <v>0</v>
      </c>
      <c r="R64" s="309">
        <f>S64+T64</f>
        <v>0</v>
      </c>
      <c r="S64" s="310">
        <v>0</v>
      </c>
      <c r="T64" s="310">
        <v>0</v>
      </c>
      <c r="U64" s="309">
        <f>V64+W64</f>
        <v>0</v>
      </c>
      <c r="V64" s="310">
        <v>0</v>
      </c>
      <c r="W64" s="310">
        <v>0</v>
      </c>
    </row>
    <row r="65" spans="1:23" s="308" customFormat="1" ht="12.75" hidden="1" customHeight="1">
      <c r="A65" s="910"/>
      <c r="B65" s="988"/>
      <c r="C65" s="986"/>
      <c r="D65" s="914"/>
      <c r="E65" s="988"/>
      <c r="F65" s="910"/>
      <c r="G65" s="307">
        <v>4658312</v>
      </c>
      <c r="H65" s="307">
        <v>0</v>
      </c>
      <c r="I65" s="908" t="s">
        <v>2</v>
      </c>
      <c r="J65" s="984">
        <f t="shared" ref="J65:W65" si="9">J62+J64</f>
        <v>28559700</v>
      </c>
      <c r="K65" s="984">
        <f t="shared" si="9"/>
        <v>24275744</v>
      </c>
      <c r="L65" s="974">
        <f t="shared" si="9"/>
        <v>434328</v>
      </c>
      <c r="M65" s="974">
        <f t="shared" si="9"/>
        <v>23841416</v>
      </c>
      <c r="N65" s="984">
        <f t="shared" si="9"/>
        <v>4283956</v>
      </c>
      <c r="O65" s="984">
        <f t="shared" si="9"/>
        <v>2855971</v>
      </c>
      <c r="P65" s="974">
        <f t="shared" si="9"/>
        <v>51098</v>
      </c>
      <c r="Q65" s="974">
        <f t="shared" si="9"/>
        <v>2804873</v>
      </c>
      <c r="R65" s="984">
        <f t="shared" si="9"/>
        <v>1427985</v>
      </c>
      <c r="S65" s="974">
        <f t="shared" si="9"/>
        <v>25549</v>
      </c>
      <c r="T65" s="974">
        <f t="shared" si="9"/>
        <v>1402436</v>
      </c>
      <c r="U65" s="984">
        <f t="shared" si="9"/>
        <v>0</v>
      </c>
      <c r="V65" s="974">
        <f t="shared" si="9"/>
        <v>0</v>
      </c>
      <c r="W65" s="974">
        <f t="shared" si="9"/>
        <v>0</v>
      </c>
    </row>
    <row r="66" spans="1:23" s="308" customFormat="1" ht="12.75" hidden="1" customHeight="1">
      <c r="A66" s="910"/>
      <c r="B66" s="988"/>
      <c r="C66" s="987"/>
      <c r="D66" s="914"/>
      <c r="E66" s="988"/>
      <c r="F66" s="910"/>
      <c r="G66" s="307">
        <v>0</v>
      </c>
      <c r="H66" s="307">
        <v>0</v>
      </c>
      <c r="I66" s="909"/>
      <c r="J66" s="984"/>
      <c r="K66" s="984"/>
      <c r="L66" s="974"/>
      <c r="M66" s="974"/>
      <c r="N66" s="984"/>
      <c r="O66" s="984"/>
      <c r="P66" s="974"/>
      <c r="Q66" s="974"/>
      <c r="R66" s="984"/>
      <c r="S66" s="974"/>
      <c r="T66" s="974"/>
      <c r="U66" s="984"/>
      <c r="V66" s="974"/>
      <c r="W66" s="974"/>
    </row>
    <row r="67" spans="1:23" s="308" customFormat="1" ht="12.75" customHeight="1">
      <c r="A67" s="910">
        <v>3</v>
      </c>
      <c r="B67" s="988" t="s">
        <v>790</v>
      </c>
      <c r="C67" s="985" t="s">
        <v>791</v>
      </c>
      <c r="D67" s="914" t="s">
        <v>460</v>
      </c>
      <c r="E67" s="988" t="s">
        <v>710</v>
      </c>
      <c r="F67" s="910" t="s">
        <v>792</v>
      </c>
      <c r="G67" s="307">
        <f>G69+G68+G70+G71</f>
        <v>21850508</v>
      </c>
      <c r="H67" s="307">
        <f>H68+H69+H70+H71</f>
        <v>659827</v>
      </c>
      <c r="I67" s="908" t="s">
        <v>0</v>
      </c>
      <c r="J67" s="984">
        <f>K67+N67</f>
        <v>20277035</v>
      </c>
      <c r="K67" s="984">
        <f>L67+M67</f>
        <v>18142610</v>
      </c>
      <c r="L67" s="974">
        <v>545621</v>
      </c>
      <c r="M67" s="974">
        <v>17596989</v>
      </c>
      <c r="N67" s="984">
        <f>O67+R67+U67</f>
        <v>2134425</v>
      </c>
      <c r="O67" s="984">
        <f>P67+Q67</f>
        <v>2134425</v>
      </c>
      <c r="P67" s="974">
        <v>64191</v>
      </c>
      <c r="Q67" s="974">
        <v>2070234</v>
      </c>
      <c r="R67" s="984">
        <f>S67+T67</f>
        <v>0</v>
      </c>
      <c r="S67" s="974">
        <v>0</v>
      </c>
      <c r="T67" s="974">
        <v>0</v>
      </c>
      <c r="U67" s="984">
        <f>V67+W67</f>
        <v>0</v>
      </c>
      <c r="V67" s="974">
        <v>0</v>
      </c>
      <c r="W67" s="974">
        <v>0</v>
      </c>
    </row>
    <row r="68" spans="1:23" s="308" customFormat="1" ht="12.75" customHeight="1">
      <c r="A68" s="910"/>
      <c r="B68" s="988"/>
      <c r="C68" s="986"/>
      <c r="D68" s="914"/>
      <c r="E68" s="988"/>
      <c r="F68" s="910"/>
      <c r="G68" s="307">
        <v>18732982</v>
      </c>
      <c r="H68" s="307">
        <v>590372</v>
      </c>
      <c r="I68" s="909"/>
      <c r="J68" s="984"/>
      <c r="K68" s="984"/>
      <c r="L68" s="974"/>
      <c r="M68" s="974"/>
      <c r="N68" s="984"/>
      <c r="O68" s="984"/>
      <c r="P68" s="974"/>
      <c r="Q68" s="974"/>
      <c r="R68" s="984"/>
      <c r="S68" s="974"/>
      <c r="T68" s="974"/>
      <c r="U68" s="984"/>
      <c r="V68" s="974"/>
      <c r="W68" s="974"/>
    </row>
    <row r="69" spans="1:23" s="308" customFormat="1" ht="12.75" customHeight="1">
      <c r="A69" s="910"/>
      <c r="B69" s="988"/>
      <c r="C69" s="986"/>
      <c r="D69" s="914"/>
      <c r="E69" s="988"/>
      <c r="F69" s="910"/>
      <c r="G69" s="307">
        <v>2203880</v>
      </c>
      <c r="H69" s="307">
        <v>69455</v>
      </c>
      <c r="I69" s="286" t="s">
        <v>1</v>
      </c>
      <c r="J69" s="309">
        <f>K69+N69</f>
        <v>913646</v>
      </c>
      <c r="K69" s="309">
        <f>L69+M69</f>
        <v>0</v>
      </c>
      <c r="L69" s="310">
        <v>0</v>
      </c>
      <c r="M69" s="310">
        <v>0</v>
      </c>
      <c r="N69" s="309">
        <f>O69+R69+U69</f>
        <v>913646</v>
      </c>
      <c r="O69" s="309">
        <f>P69+Q69</f>
        <v>0</v>
      </c>
      <c r="P69" s="310">
        <v>0</v>
      </c>
      <c r="Q69" s="310">
        <v>0</v>
      </c>
      <c r="R69" s="309">
        <f>S69+T69</f>
        <v>913646</v>
      </c>
      <c r="S69" s="310">
        <v>0</v>
      </c>
      <c r="T69" s="310">
        <v>913646</v>
      </c>
      <c r="U69" s="309">
        <f>V69+W69</f>
        <v>0</v>
      </c>
      <c r="V69" s="310">
        <v>0</v>
      </c>
      <c r="W69" s="310">
        <v>0</v>
      </c>
    </row>
    <row r="70" spans="1:23" s="308" customFormat="1" ht="12.75" customHeight="1">
      <c r="A70" s="910"/>
      <c r="B70" s="988"/>
      <c r="C70" s="986"/>
      <c r="D70" s="914"/>
      <c r="E70" s="988"/>
      <c r="F70" s="910"/>
      <c r="G70" s="307">
        <v>913646</v>
      </c>
      <c r="H70" s="307">
        <v>0</v>
      </c>
      <c r="I70" s="908" t="s">
        <v>2</v>
      </c>
      <c r="J70" s="984">
        <f t="shared" ref="J70:W70" si="10">J67+J69</f>
        <v>21190681</v>
      </c>
      <c r="K70" s="984">
        <f t="shared" si="10"/>
        <v>18142610</v>
      </c>
      <c r="L70" s="974">
        <f t="shared" si="10"/>
        <v>545621</v>
      </c>
      <c r="M70" s="974">
        <f t="shared" si="10"/>
        <v>17596989</v>
      </c>
      <c r="N70" s="984">
        <f t="shared" si="10"/>
        <v>3048071</v>
      </c>
      <c r="O70" s="984">
        <f t="shared" si="10"/>
        <v>2134425</v>
      </c>
      <c r="P70" s="974">
        <f t="shared" si="10"/>
        <v>64191</v>
      </c>
      <c r="Q70" s="974">
        <f t="shared" si="10"/>
        <v>2070234</v>
      </c>
      <c r="R70" s="984">
        <f t="shared" si="10"/>
        <v>913646</v>
      </c>
      <c r="S70" s="974">
        <f t="shared" si="10"/>
        <v>0</v>
      </c>
      <c r="T70" s="974">
        <f t="shared" si="10"/>
        <v>913646</v>
      </c>
      <c r="U70" s="984">
        <f t="shared" si="10"/>
        <v>0</v>
      </c>
      <c r="V70" s="974">
        <f t="shared" si="10"/>
        <v>0</v>
      </c>
      <c r="W70" s="974">
        <f t="shared" si="10"/>
        <v>0</v>
      </c>
    </row>
    <row r="71" spans="1:23" s="308" customFormat="1" ht="12.75" customHeight="1">
      <c r="A71" s="910"/>
      <c r="B71" s="988"/>
      <c r="C71" s="987"/>
      <c r="D71" s="914"/>
      <c r="E71" s="988"/>
      <c r="F71" s="910"/>
      <c r="G71" s="307">
        <v>0</v>
      </c>
      <c r="H71" s="307">
        <v>0</v>
      </c>
      <c r="I71" s="909"/>
      <c r="J71" s="984"/>
      <c r="K71" s="984"/>
      <c r="L71" s="974"/>
      <c r="M71" s="974"/>
      <c r="N71" s="984"/>
      <c r="O71" s="984"/>
      <c r="P71" s="974"/>
      <c r="Q71" s="974"/>
      <c r="R71" s="984"/>
      <c r="S71" s="974"/>
      <c r="T71" s="974"/>
      <c r="U71" s="984"/>
      <c r="V71" s="974"/>
      <c r="W71" s="974"/>
    </row>
    <row r="72" spans="1:23" s="308" customFormat="1" ht="12.75" customHeight="1">
      <c r="A72" s="910">
        <v>4</v>
      </c>
      <c r="B72" s="988" t="s">
        <v>793</v>
      </c>
      <c r="C72" s="985" t="s">
        <v>794</v>
      </c>
      <c r="D72" s="914" t="s">
        <v>411</v>
      </c>
      <c r="E72" s="988" t="s">
        <v>795</v>
      </c>
      <c r="F72" s="910" t="s">
        <v>785</v>
      </c>
      <c r="G72" s="307">
        <f>G74+G73+G75+G76</f>
        <v>337500</v>
      </c>
      <c r="H72" s="307">
        <f>H74+H73+H75+H76</f>
        <v>0</v>
      </c>
      <c r="I72" s="908" t="s">
        <v>0</v>
      </c>
      <c r="J72" s="984">
        <f>K72+N72</f>
        <v>287100</v>
      </c>
      <c r="K72" s="984">
        <f>L72+M72</f>
        <v>244035</v>
      </c>
      <c r="L72" s="974">
        <v>244035</v>
      </c>
      <c r="M72" s="974">
        <v>0</v>
      </c>
      <c r="N72" s="984">
        <f>O72+R72+U72</f>
        <v>43065</v>
      </c>
      <c r="O72" s="984">
        <f>P72+Q72</f>
        <v>14355</v>
      </c>
      <c r="P72" s="974">
        <v>14355</v>
      </c>
      <c r="Q72" s="974">
        <v>0</v>
      </c>
      <c r="R72" s="984">
        <f>S72+T72</f>
        <v>28710</v>
      </c>
      <c r="S72" s="974">
        <v>28710</v>
      </c>
      <c r="T72" s="974">
        <v>0</v>
      </c>
      <c r="U72" s="984">
        <f>V72+W72</f>
        <v>0</v>
      </c>
      <c r="V72" s="974">
        <v>0</v>
      </c>
      <c r="W72" s="974">
        <v>0</v>
      </c>
    </row>
    <row r="73" spans="1:23" s="308" customFormat="1" ht="12.75" customHeight="1">
      <c r="A73" s="910"/>
      <c r="B73" s="988"/>
      <c r="C73" s="986"/>
      <c r="D73" s="914"/>
      <c r="E73" s="988"/>
      <c r="F73" s="910"/>
      <c r="G73" s="307">
        <v>286875</v>
      </c>
      <c r="H73" s="307">
        <v>0</v>
      </c>
      <c r="I73" s="909"/>
      <c r="J73" s="984"/>
      <c r="K73" s="984"/>
      <c r="L73" s="974"/>
      <c r="M73" s="974"/>
      <c r="N73" s="984"/>
      <c r="O73" s="984"/>
      <c r="P73" s="974"/>
      <c r="Q73" s="974"/>
      <c r="R73" s="984"/>
      <c r="S73" s="974"/>
      <c r="T73" s="974"/>
      <c r="U73" s="984"/>
      <c r="V73" s="974"/>
      <c r="W73" s="974"/>
    </row>
    <row r="74" spans="1:23" s="308" customFormat="1" ht="12.75" customHeight="1">
      <c r="A74" s="910"/>
      <c r="B74" s="988"/>
      <c r="C74" s="986"/>
      <c r="D74" s="914"/>
      <c r="E74" s="988"/>
      <c r="F74" s="910"/>
      <c r="G74" s="307">
        <v>16875</v>
      </c>
      <c r="H74" s="307">
        <v>0</v>
      </c>
      <c r="I74" s="286" t="s">
        <v>1</v>
      </c>
      <c r="J74" s="309">
        <f>K74+N74</f>
        <v>50400</v>
      </c>
      <c r="K74" s="309">
        <f>L74+M74</f>
        <v>42840</v>
      </c>
      <c r="L74" s="310">
        <v>42840</v>
      </c>
      <c r="M74" s="310">
        <v>0</v>
      </c>
      <c r="N74" s="309">
        <f>O74+R74+U74</f>
        <v>7560</v>
      </c>
      <c r="O74" s="309">
        <f>P74+Q74</f>
        <v>2520</v>
      </c>
      <c r="P74" s="310">
        <v>2520</v>
      </c>
      <c r="Q74" s="310">
        <v>0</v>
      </c>
      <c r="R74" s="309">
        <f>S74+T74</f>
        <v>5040</v>
      </c>
      <c r="S74" s="310">
        <v>5040</v>
      </c>
      <c r="T74" s="310">
        <v>0</v>
      </c>
      <c r="U74" s="309">
        <f>V74+W74</f>
        <v>0</v>
      </c>
      <c r="V74" s="310">
        <v>0</v>
      </c>
      <c r="W74" s="310">
        <v>0</v>
      </c>
    </row>
    <row r="75" spans="1:23" s="308" customFormat="1" ht="12.75" customHeight="1">
      <c r="A75" s="910"/>
      <c r="B75" s="988"/>
      <c r="C75" s="986"/>
      <c r="D75" s="914"/>
      <c r="E75" s="988"/>
      <c r="F75" s="910"/>
      <c r="G75" s="307">
        <v>33750</v>
      </c>
      <c r="H75" s="307">
        <v>0</v>
      </c>
      <c r="I75" s="908" t="s">
        <v>2</v>
      </c>
      <c r="J75" s="984">
        <f t="shared" ref="J75:W75" si="11">J72+J74</f>
        <v>337500</v>
      </c>
      <c r="K75" s="984">
        <f t="shared" si="11"/>
        <v>286875</v>
      </c>
      <c r="L75" s="974">
        <f t="shared" si="11"/>
        <v>286875</v>
      </c>
      <c r="M75" s="974">
        <f t="shared" si="11"/>
        <v>0</v>
      </c>
      <c r="N75" s="984">
        <f t="shared" si="11"/>
        <v>50625</v>
      </c>
      <c r="O75" s="984">
        <f t="shared" si="11"/>
        <v>16875</v>
      </c>
      <c r="P75" s="974">
        <f t="shared" si="11"/>
        <v>16875</v>
      </c>
      <c r="Q75" s="974">
        <f t="shared" si="11"/>
        <v>0</v>
      </c>
      <c r="R75" s="984">
        <f t="shared" si="11"/>
        <v>33750</v>
      </c>
      <c r="S75" s="974">
        <f t="shared" si="11"/>
        <v>33750</v>
      </c>
      <c r="T75" s="974">
        <f t="shared" si="11"/>
        <v>0</v>
      </c>
      <c r="U75" s="984">
        <f t="shared" si="11"/>
        <v>0</v>
      </c>
      <c r="V75" s="974">
        <f t="shared" si="11"/>
        <v>0</v>
      </c>
      <c r="W75" s="974">
        <f t="shared" si="11"/>
        <v>0</v>
      </c>
    </row>
    <row r="76" spans="1:23" s="308" customFormat="1" ht="12.75" customHeight="1">
      <c r="A76" s="910"/>
      <c r="B76" s="988"/>
      <c r="C76" s="987"/>
      <c r="D76" s="914"/>
      <c r="E76" s="988"/>
      <c r="F76" s="910"/>
      <c r="G76" s="307">
        <v>0</v>
      </c>
      <c r="H76" s="307">
        <v>0</v>
      </c>
      <c r="I76" s="909"/>
      <c r="J76" s="984"/>
      <c r="K76" s="984"/>
      <c r="L76" s="974"/>
      <c r="M76" s="974"/>
      <c r="N76" s="984"/>
      <c r="O76" s="984"/>
      <c r="P76" s="974"/>
      <c r="Q76" s="974"/>
      <c r="R76" s="984"/>
      <c r="S76" s="974"/>
      <c r="T76" s="974"/>
      <c r="U76" s="984"/>
      <c r="V76" s="974"/>
      <c r="W76" s="974"/>
    </row>
    <row r="77" spans="1:23" s="308" customFormat="1" ht="12.75" customHeight="1">
      <c r="A77" s="910">
        <v>5</v>
      </c>
      <c r="B77" s="988" t="s">
        <v>796</v>
      </c>
      <c r="C77" s="985" t="s">
        <v>797</v>
      </c>
      <c r="D77" s="914" t="s">
        <v>411</v>
      </c>
      <c r="E77" s="988" t="s">
        <v>798</v>
      </c>
      <c r="F77" s="910" t="s">
        <v>799</v>
      </c>
      <c r="G77" s="307">
        <f>G79+G78+G80+G81</f>
        <v>3444447</v>
      </c>
      <c r="H77" s="307">
        <f>H78+H79+H80+H81</f>
        <v>0</v>
      </c>
      <c r="I77" s="908" t="s">
        <v>0</v>
      </c>
      <c r="J77" s="984">
        <f>K77+N77</f>
        <v>1799796</v>
      </c>
      <c r="K77" s="984">
        <f>L77+M77</f>
        <v>1529826</v>
      </c>
      <c r="L77" s="974">
        <v>1529826</v>
      </c>
      <c r="M77" s="974">
        <v>0</v>
      </c>
      <c r="N77" s="984">
        <f>O77+R77+U77</f>
        <v>269970</v>
      </c>
      <c r="O77" s="984">
        <f>P77+Q77</f>
        <v>89990</v>
      </c>
      <c r="P77" s="974">
        <v>89990</v>
      </c>
      <c r="Q77" s="974">
        <v>0</v>
      </c>
      <c r="R77" s="984">
        <f>S77+T77</f>
        <v>179980</v>
      </c>
      <c r="S77" s="974">
        <v>179980</v>
      </c>
      <c r="T77" s="974">
        <v>0</v>
      </c>
      <c r="U77" s="984">
        <f>V77+W77</f>
        <v>0</v>
      </c>
      <c r="V77" s="974">
        <v>0</v>
      </c>
      <c r="W77" s="974">
        <v>0</v>
      </c>
    </row>
    <row r="78" spans="1:23" s="308" customFormat="1" ht="12.75" customHeight="1">
      <c r="A78" s="910"/>
      <c r="B78" s="988"/>
      <c r="C78" s="986"/>
      <c r="D78" s="914"/>
      <c r="E78" s="988"/>
      <c r="F78" s="910"/>
      <c r="G78" s="307">
        <v>2927779</v>
      </c>
      <c r="H78" s="307">
        <v>0</v>
      </c>
      <c r="I78" s="909"/>
      <c r="J78" s="984"/>
      <c r="K78" s="984"/>
      <c r="L78" s="974"/>
      <c r="M78" s="974"/>
      <c r="N78" s="984"/>
      <c r="O78" s="984"/>
      <c r="P78" s="974"/>
      <c r="Q78" s="974"/>
      <c r="R78" s="984"/>
      <c r="S78" s="974"/>
      <c r="T78" s="974"/>
      <c r="U78" s="984"/>
      <c r="V78" s="974"/>
      <c r="W78" s="974"/>
    </row>
    <row r="79" spans="1:23" s="308" customFormat="1" ht="15" customHeight="1">
      <c r="A79" s="910"/>
      <c r="B79" s="988"/>
      <c r="C79" s="986"/>
      <c r="D79" s="914"/>
      <c r="E79" s="988"/>
      <c r="F79" s="910"/>
      <c r="G79" s="307">
        <v>172223</v>
      </c>
      <c r="H79" s="307">
        <v>0</v>
      </c>
      <c r="I79" s="286" t="s">
        <v>1</v>
      </c>
      <c r="J79" s="309">
        <f>K79+N79</f>
        <v>-423592</v>
      </c>
      <c r="K79" s="309">
        <f>L79+M79</f>
        <v>-360055</v>
      </c>
      <c r="L79" s="310">
        <v>-360055</v>
      </c>
      <c r="M79" s="310">
        <v>0</v>
      </c>
      <c r="N79" s="309">
        <f>O79+R79+U79</f>
        <v>-63537</v>
      </c>
      <c r="O79" s="309">
        <f>P79+Q79</f>
        <v>-21179</v>
      </c>
      <c r="P79" s="310">
        <v>-21179</v>
      </c>
      <c r="Q79" s="310">
        <v>0</v>
      </c>
      <c r="R79" s="309">
        <f>S79+T79</f>
        <v>-42358</v>
      </c>
      <c r="S79" s="310">
        <v>-42358</v>
      </c>
      <c r="T79" s="310">
        <v>0</v>
      </c>
      <c r="U79" s="309">
        <f>V79+W79</f>
        <v>0</v>
      </c>
      <c r="V79" s="310">
        <v>0</v>
      </c>
      <c r="W79" s="310">
        <v>0</v>
      </c>
    </row>
    <row r="80" spans="1:23" s="308" customFormat="1" ht="12.75" customHeight="1">
      <c r="A80" s="910"/>
      <c r="B80" s="988"/>
      <c r="C80" s="986"/>
      <c r="D80" s="914"/>
      <c r="E80" s="988"/>
      <c r="F80" s="910"/>
      <c r="G80" s="307">
        <v>344445</v>
      </c>
      <c r="H80" s="307">
        <v>0</v>
      </c>
      <c r="I80" s="908" t="s">
        <v>2</v>
      </c>
      <c r="J80" s="984">
        <f t="shared" ref="J80:W80" si="12">J77+J79</f>
        <v>1376204</v>
      </c>
      <c r="K80" s="984">
        <f t="shared" si="12"/>
        <v>1169771</v>
      </c>
      <c r="L80" s="974">
        <f t="shared" si="12"/>
        <v>1169771</v>
      </c>
      <c r="M80" s="974">
        <f t="shared" si="12"/>
        <v>0</v>
      </c>
      <c r="N80" s="984">
        <f t="shared" si="12"/>
        <v>206433</v>
      </c>
      <c r="O80" s="984">
        <f t="shared" si="12"/>
        <v>68811</v>
      </c>
      <c r="P80" s="974">
        <f t="shared" si="12"/>
        <v>68811</v>
      </c>
      <c r="Q80" s="974">
        <f t="shared" si="12"/>
        <v>0</v>
      </c>
      <c r="R80" s="984">
        <f t="shared" si="12"/>
        <v>137622</v>
      </c>
      <c r="S80" s="974">
        <f t="shared" si="12"/>
        <v>137622</v>
      </c>
      <c r="T80" s="974">
        <f t="shared" si="12"/>
        <v>0</v>
      </c>
      <c r="U80" s="984">
        <f t="shared" si="12"/>
        <v>0</v>
      </c>
      <c r="V80" s="974">
        <f t="shared" si="12"/>
        <v>0</v>
      </c>
      <c r="W80" s="974">
        <f t="shared" si="12"/>
        <v>0</v>
      </c>
    </row>
    <row r="81" spans="1:23" s="308" customFormat="1" ht="12.75" customHeight="1">
      <c r="A81" s="910"/>
      <c r="B81" s="988"/>
      <c r="C81" s="987"/>
      <c r="D81" s="914"/>
      <c r="E81" s="988"/>
      <c r="F81" s="910"/>
      <c r="G81" s="307">
        <v>0</v>
      </c>
      <c r="H81" s="307">
        <v>0</v>
      </c>
      <c r="I81" s="909"/>
      <c r="J81" s="984"/>
      <c r="K81" s="984"/>
      <c r="L81" s="974"/>
      <c r="M81" s="974"/>
      <c r="N81" s="984"/>
      <c r="O81" s="984"/>
      <c r="P81" s="974"/>
      <c r="Q81" s="974"/>
      <c r="R81" s="984"/>
      <c r="S81" s="974"/>
      <c r="T81" s="974"/>
      <c r="U81" s="984"/>
      <c r="V81" s="974"/>
      <c r="W81" s="974"/>
    </row>
    <row r="82" spans="1:23" s="308" customFormat="1" ht="12.75" customHeight="1">
      <c r="A82" s="910">
        <v>6</v>
      </c>
      <c r="B82" s="988" t="s">
        <v>796</v>
      </c>
      <c r="C82" s="985" t="s">
        <v>800</v>
      </c>
      <c r="D82" s="914" t="s">
        <v>801</v>
      </c>
      <c r="E82" s="988" t="s">
        <v>802</v>
      </c>
      <c r="F82" s="910">
        <v>2024</v>
      </c>
      <c r="G82" s="307">
        <f>G84+G83+G85+G86</f>
        <v>246711</v>
      </c>
      <c r="H82" s="307">
        <f>H83+H84+H85+H86</f>
        <v>0</v>
      </c>
      <c r="I82" s="908" t="s">
        <v>0</v>
      </c>
      <c r="J82" s="984">
        <f>K82+N82</f>
        <v>0</v>
      </c>
      <c r="K82" s="984">
        <f>L82+M82</f>
        <v>0</v>
      </c>
      <c r="L82" s="974">
        <v>0</v>
      </c>
      <c r="M82" s="974">
        <v>0</v>
      </c>
      <c r="N82" s="984">
        <f>O82+R82+U82</f>
        <v>0</v>
      </c>
      <c r="O82" s="984">
        <f>P82+Q82</f>
        <v>0</v>
      </c>
      <c r="P82" s="974">
        <v>0</v>
      </c>
      <c r="Q82" s="974">
        <v>0</v>
      </c>
      <c r="R82" s="984">
        <f>S82+T82</f>
        <v>0</v>
      </c>
      <c r="S82" s="974">
        <v>0</v>
      </c>
      <c r="T82" s="974">
        <v>0</v>
      </c>
      <c r="U82" s="984">
        <f>V82+W82</f>
        <v>0</v>
      </c>
      <c r="V82" s="974">
        <v>0</v>
      </c>
      <c r="W82" s="974">
        <v>0</v>
      </c>
    </row>
    <row r="83" spans="1:23" s="308" customFormat="1" ht="12.75" customHeight="1">
      <c r="A83" s="910"/>
      <c r="B83" s="988"/>
      <c r="C83" s="986"/>
      <c r="D83" s="914"/>
      <c r="E83" s="988"/>
      <c r="F83" s="910"/>
      <c r="G83" s="307">
        <v>233004</v>
      </c>
      <c r="H83" s="307">
        <v>0</v>
      </c>
      <c r="I83" s="909"/>
      <c r="J83" s="984"/>
      <c r="K83" s="984"/>
      <c r="L83" s="974"/>
      <c r="M83" s="974"/>
      <c r="N83" s="984"/>
      <c r="O83" s="984"/>
      <c r="P83" s="974"/>
      <c r="Q83" s="974"/>
      <c r="R83" s="984"/>
      <c r="S83" s="974"/>
      <c r="T83" s="974"/>
      <c r="U83" s="984"/>
      <c r="V83" s="974"/>
      <c r="W83" s="974"/>
    </row>
    <row r="84" spans="1:23" s="308" customFormat="1" ht="12.75" customHeight="1">
      <c r="A84" s="910"/>
      <c r="B84" s="988"/>
      <c r="C84" s="986"/>
      <c r="D84" s="914"/>
      <c r="E84" s="988"/>
      <c r="F84" s="910"/>
      <c r="G84" s="307">
        <v>13707</v>
      </c>
      <c r="H84" s="307">
        <v>0</v>
      </c>
      <c r="I84" s="286" t="s">
        <v>1</v>
      </c>
      <c r="J84" s="309">
        <f>K84+N84</f>
        <v>246711</v>
      </c>
      <c r="K84" s="309">
        <f>L84+M84</f>
        <v>233004</v>
      </c>
      <c r="L84" s="310">
        <v>233004</v>
      </c>
      <c r="M84" s="310">
        <v>0</v>
      </c>
      <c r="N84" s="309">
        <f>O84+R84+U84</f>
        <v>13707</v>
      </c>
      <c r="O84" s="309">
        <f>P84+Q84</f>
        <v>13707</v>
      </c>
      <c r="P84" s="310">
        <v>13707</v>
      </c>
      <c r="Q84" s="310">
        <v>0</v>
      </c>
      <c r="R84" s="309">
        <f>S84+T84</f>
        <v>0</v>
      </c>
      <c r="S84" s="310">
        <v>0</v>
      </c>
      <c r="T84" s="310">
        <v>0</v>
      </c>
      <c r="U84" s="309">
        <f>V84+W84</f>
        <v>0</v>
      </c>
      <c r="V84" s="310">
        <v>0</v>
      </c>
      <c r="W84" s="310">
        <v>0</v>
      </c>
    </row>
    <row r="85" spans="1:23" s="308" customFormat="1" ht="12.75" customHeight="1">
      <c r="A85" s="910"/>
      <c r="B85" s="988"/>
      <c r="C85" s="986"/>
      <c r="D85" s="914"/>
      <c r="E85" s="988"/>
      <c r="F85" s="910"/>
      <c r="G85" s="307">
        <v>0</v>
      </c>
      <c r="H85" s="307">
        <v>0</v>
      </c>
      <c r="I85" s="908" t="s">
        <v>2</v>
      </c>
      <c r="J85" s="984">
        <f t="shared" ref="J85:W85" si="13">J82+J84</f>
        <v>246711</v>
      </c>
      <c r="K85" s="984">
        <f t="shared" si="13"/>
        <v>233004</v>
      </c>
      <c r="L85" s="974">
        <f t="shared" si="13"/>
        <v>233004</v>
      </c>
      <c r="M85" s="974">
        <f t="shared" si="13"/>
        <v>0</v>
      </c>
      <c r="N85" s="984">
        <f t="shared" si="13"/>
        <v>13707</v>
      </c>
      <c r="O85" s="984">
        <f t="shared" si="13"/>
        <v>13707</v>
      </c>
      <c r="P85" s="974">
        <f t="shared" si="13"/>
        <v>13707</v>
      </c>
      <c r="Q85" s="974">
        <f t="shared" si="13"/>
        <v>0</v>
      </c>
      <c r="R85" s="984">
        <f t="shared" si="13"/>
        <v>0</v>
      </c>
      <c r="S85" s="974">
        <f t="shared" si="13"/>
        <v>0</v>
      </c>
      <c r="T85" s="974">
        <f t="shared" si="13"/>
        <v>0</v>
      </c>
      <c r="U85" s="984">
        <f t="shared" si="13"/>
        <v>0</v>
      </c>
      <c r="V85" s="974">
        <f t="shared" si="13"/>
        <v>0</v>
      </c>
      <c r="W85" s="974">
        <f t="shared" si="13"/>
        <v>0</v>
      </c>
    </row>
    <row r="86" spans="1:23" s="308" customFormat="1" ht="12.75" customHeight="1">
      <c r="A86" s="910"/>
      <c r="B86" s="988"/>
      <c r="C86" s="987"/>
      <c r="D86" s="914"/>
      <c r="E86" s="988"/>
      <c r="F86" s="910"/>
      <c r="G86" s="307">
        <v>0</v>
      </c>
      <c r="H86" s="307">
        <v>0</v>
      </c>
      <c r="I86" s="909"/>
      <c r="J86" s="984"/>
      <c r="K86" s="984"/>
      <c r="L86" s="974"/>
      <c r="M86" s="974"/>
      <c r="N86" s="984"/>
      <c r="O86" s="984"/>
      <c r="P86" s="974"/>
      <c r="Q86" s="974"/>
      <c r="R86" s="984"/>
      <c r="S86" s="974"/>
      <c r="T86" s="974"/>
      <c r="U86" s="984"/>
      <c r="V86" s="974"/>
      <c r="W86" s="974"/>
    </row>
    <row r="87" spans="1:23" s="308" customFormat="1" ht="12.75" hidden="1" customHeight="1">
      <c r="A87" s="910">
        <v>3</v>
      </c>
      <c r="B87" s="988" t="s">
        <v>796</v>
      </c>
      <c r="C87" s="985" t="s">
        <v>803</v>
      </c>
      <c r="D87" s="914" t="s">
        <v>804</v>
      </c>
      <c r="E87" s="988" t="s">
        <v>805</v>
      </c>
      <c r="F87" s="910" t="s">
        <v>799</v>
      </c>
      <c r="G87" s="307">
        <f>G89+G88+G90+G91</f>
        <v>540000</v>
      </c>
      <c r="H87" s="307">
        <f>H88+H89+H90+H91</f>
        <v>0</v>
      </c>
      <c r="I87" s="908" t="s">
        <v>0</v>
      </c>
      <c r="J87" s="984">
        <f>K87+N87</f>
        <v>468900</v>
      </c>
      <c r="K87" s="984">
        <f>L87+M87</f>
        <v>442850</v>
      </c>
      <c r="L87" s="974">
        <v>442850</v>
      </c>
      <c r="M87" s="974">
        <v>0</v>
      </c>
      <c r="N87" s="984">
        <f>O87+R87+U87</f>
        <v>26050</v>
      </c>
      <c r="O87" s="984">
        <f>P87+Q87</f>
        <v>26050</v>
      </c>
      <c r="P87" s="974">
        <v>26050</v>
      </c>
      <c r="Q87" s="974">
        <v>0</v>
      </c>
      <c r="R87" s="984">
        <f>S87+T87</f>
        <v>0</v>
      </c>
      <c r="S87" s="974">
        <v>0</v>
      </c>
      <c r="T87" s="974">
        <v>0</v>
      </c>
      <c r="U87" s="984">
        <f>V87+W87</f>
        <v>0</v>
      </c>
      <c r="V87" s="974">
        <v>0</v>
      </c>
      <c r="W87" s="974">
        <v>0</v>
      </c>
    </row>
    <row r="88" spans="1:23" s="308" customFormat="1" ht="12.75" hidden="1" customHeight="1">
      <c r="A88" s="910"/>
      <c r="B88" s="988"/>
      <c r="C88" s="986"/>
      <c r="D88" s="914"/>
      <c r="E88" s="988"/>
      <c r="F88" s="910"/>
      <c r="G88" s="307">
        <v>510000</v>
      </c>
      <c r="H88" s="307">
        <v>0</v>
      </c>
      <c r="I88" s="909"/>
      <c r="J88" s="984"/>
      <c r="K88" s="984"/>
      <c r="L88" s="974"/>
      <c r="M88" s="974"/>
      <c r="N88" s="984"/>
      <c r="O88" s="984"/>
      <c r="P88" s="974"/>
      <c r="Q88" s="974"/>
      <c r="R88" s="984"/>
      <c r="S88" s="974"/>
      <c r="T88" s="974"/>
      <c r="U88" s="984"/>
      <c r="V88" s="974"/>
      <c r="W88" s="974"/>
    </row>
    <row r="89" spans="1:23" s="308" customFormat="1" ht="12.75" hidden="1" customHeight="1">
      <c r="A89" s="910"/>
      <c r="B89" s="988"/>
      <c r="C89" s="986"/>
      <c r="D89" s="914"/>
      <c r="E89" s="988"/>
      <c r="F89" s="910"/>
      <c r="G89" s="307">
        <v>30000</v>
      </c>
      <c r="H89" s="307">
        <v>0</v>
      </c>
      <c r="I89" s="286" t="s">
        <v>1</v>
      </c>
      <c r="J89" s="309">
        <f>K89+N89</f>
        <v>0</v>
      </c>
      <c r="K89" s="309">
        <f>L89+M89</f>
        <v>0</v>
      </c>
      <c r="L89" s="310">
        <v>0</v>
      </c>
      <c r="M89" s="310">
        <v>0</v>
      </c>
      <c r="N89" s="309">
        <f>O89+R89+U89</f>
        <v>0</v>
      </c>
      <c r="O89" s="309">
        <f>P89+Q89</f>
        <v>0</v>
      </c>
      <c r="P89" s="310">
        <v>0</v>
      </c>
      <c r="Q89" s="310">
        <v>0</v>
      </c>
      <c r="R89" s="309">
        <f>S89+T89</f>
        <v>0</v>
      </c>
      <c r="S89" s="310">
        <v>0</v>
      </c>
      <c r="T89" s="310">
        <v>0</v>
      </c>
      <c r="U89" s="309">
        <f>V89+W89</f>
        <v>0</v>
      </c>
      <c r="V89" s="310">
        <v>0</v>
      </c>
      <c r="W89" s="310">
        <v>0</v>
      </c>
    </row>
    <row r="90" spans="1:23" s="308" customFormat="1" ht="12.75" hidden="1" customHeight="1">
      <c r="A90" s="910"/>
      <c r="B90" s="988"/>
      <c r="C90" s="986"/>
      <c r="D90" s="914"/>
      <c r="E90" s="988"/>
      <c r="F90" s="910"/>
      <c r="G90" s="307">
        <v>0</v>
      </c>
      <c r="H90" s="307">
        <v>0</v>
      </c>
      <c r="I90" s="908" t="s">
        <v>2</v>
      </c>
      <c r="J90" s="984">
        <f t="shared" ref="J90:W90" si="14">J87+J89</f>
        <v>468900</v>
      </c>
      <c r="K90" s="984">
        <f t="shared" si="14"/>
        <v>442850</v>
      </c>
      <c r="L90" s="974">
        <f t="shared" si="14"/>
        <v>442850</v>
      </c>
      <c r="M90" s="974">
        <f t="shared" si="14"/>
        <v>0</v>
      </c>
      <c r="N90" s="984">
        <f t="shared" si="14"/>
        <v>26050</v>
      </c>
      <c r="O90" s="984">
        <f t="shared" si="14"/>
        <v>26050</v>
      </c>
      <c r="P90" s="974">
        <f t="shared" si="14"/>
        <v>26050</v>
      </c>
      <c r="Q90" s="974">
        <f t="shared" si="14"/>
        <v>0</v>
      </c>
      <c r="R90" s="984">
        <f t="shared" si="14"/>
        <v>0</v>
      </c>
      <c r="S90" s="974">
        <f t="shared" si="14"/>
        <v>0</v>
      </c>
      <c r="T90" s="974">
        <f t="shared" si="14"/>
        <v>0</v>
      </c>
      <c r="U90" s="984">
        <f t="shared" si="14"/>
        <v>0</v>
      </c>
      <c r="V90" s="974">
        <f t="shared" si="14"/>
        <v>0</v>
      </c>
      <c r="W90" s="974">
        <f t="shared" si="14"/>
        <v>0</v>
      </c>
    </row>
    <row r="91" spans="1:23" s="308" customFormat="1" ht="12.75" hidden="1" customHeight="1">
      <c r="A91" s="910"/>
      <c r="B91" s="988"/>
      <c r="C91" s="987"/>
      <c r="D91" s="914"/>
      <c r="E91" s="988"/>
      <c r="F91" s="910"/>
      <c r="G91" s="307">
        <v>0</v>
      </c>
      <c r="H91" s="307">
        <v>0</v>
      </c>
      <c r="I91" s="909"/>
      <c r="J91" s="984"/>
      <c r="K91" s="984"/>
      <c r="L91" s="974"/>
      <c r="M91" s="974"/>
      <c r="N91" s="984"/>
      <c r="O91" s="984"/>
      <c r="P91" s="974"/>
      <c r="Q91" s="974"/>
      <c r="R91" s="984"/>
      <c r="S91" s="974"/>
      <c r="T91" s="974"/>
      <c r="U91" s="984"/>
      <c r="V91" s="974"/>
      <c r="W91" s="974"/>
    </row>
    <row r="92" spans="1:23" s="308" customFormat="1" ht="12.75" hidden="1" customHeight="1">
      <c r="A92" s="910">
        <v>4</v>
      </c>
      <c r="B92" s="988" t="s">
        <v>806</v>
      </c>
      <c r="C92" s="985" t="s">
        <v>807</v>
      </c>
      <c r="D92" s="914" t="s">
        <v>808</v>
      </c>
      <c r="E92" s="988" t="s">
        <v>717</v>
      </c>
      <c r="F92" s="910" t="s">
        <v>809</v>
      </c>
      <c r="G92" s="307">
        <f>G94+G93+G95+G96</f>
        <v>4709250</v>
      </c>
      <c r="H92" s="307">
        <f>H93+H94+H95+H96</f>
        <v>0</v>
      </c>
      <c r="I92" s="908" t="s">
        <v>0</v>
      </c>
      <c r="J92" s="984">
        <f>K92+N92</f>
        <v>3838310</v>
      </c>
      <c r="K92" s="984">
        <f>L92+M92</f>
        <v>3625071</v>
      </c>
      <c r="L92" s="974">
        <v>3625071</v>
      </c>
      <c r="M92" s="974">
        <v>0</v>
      </c>
      <c r="N92" s="984">
        <f>O92+R92+U92</f>
        <v>213239</v>
      </c>
      <c r="O92" s="984">
        <f>P92+Q92</f>
        <v>213239</v>
      </c>
      <c r="P92" s="974">
        <v>213239</v>
      </c>
      <c r="Q92" s="974">
        <v>0</v>
      </c>
      <c r="R92" s="984">
        <f>S92+T92</f>
        <v>0</v>
      </c>
      <c r="S92" s="974">
        <v>0</v>
      </c>
      <c r="T92" s="974">
        <v>0</v>
      </c>
      <c r="U92" s="984">
        <f>V92+W92</f>
        <v>0</v>
      </c>
      <c r="V92" s="974">
        <v>0</v>
      </c>
      <c r="W92" s="974">
        <v>0</v>
      </c>
    </row>
    <row r="93" spans="1:23" s="308" customFormat="1" ht="12.75" hidden="1" customHeight="1">
      <c r="A93" s="910"/>
      <c r="B93" s="988"/>
      <c r="C93" s="986"/>
      <c r="D93" s="914"/>
      <c r="E93" s="988"/>
      <c r="F93" s="910"/>
      <c r="G93" s="307">
        <v>4447625</v>
      </c>
      <c r="H93" s="307">
        <v>0</v>
      </c>
      <c r="I93" s="909"/>
      <c r="J93" s="984"/>
      <c r="K93" s="984"/>
      <c r="L93" s="974"/>
      <c r="M93" s="974"/>
      <c r="N93" s="984"/>
      <c r="O93" s="984"/>
      <c r="P93" s="974"/>
      <c r="Q93" s="974"/>
      <c r="R93" s="984"/>
      <c r="S93" s="974"/>
      <c r="T93" s="974"/>
      <c r="U93" s="984"/>
      <c r="V93" s="974"/>
      <c r="W93" s="974"/>
    </row>
    <row r="94" spans="1:23" s="308" customFormat="1" ht="12.75" hidden="1" customHeight="1">
      <c r="A94" s="910"/>
      <c r="B94" s="988"/>
      <c r="C94" s="986"/>
      <c r="D94" s="914"/>
      <c r="E94" s="988"/>
      <c r="F94" s="910"/>
      <c r="G94" s="307">
        <v>261625</v>
      </c>
      <c r="H94" s="307">
        <v>0</v>
      </c>
      <c r="I94" s="286" t="s">
        <v>1</v>
      </c>
      <c r="J94" s="309">
        <f>K94+N94</f>
        <v>0</v>
      </c>
      <c r="K94" s="309">
        <f>L94+M94</f>
        <v>0</v>
      </c>
      <c r="L94" s="310">
        <v>0</v>
      </c>
      <c r="M94" s="310">
        <v>0</v>
      </c>
      <c r="N94" s="309">
        <f>O94+R94+U94</f>
        <v>0</v>
      </c>
      <c r="O94" s="309">
        <f>P94+Q94</f>
        <v>0</v>
      </c>
      <c r="P94" s="310">
        <v>0</v>
      </c>
      <c r="Q94" s="310">
        <v>0</v>
      </c>
      <c r="R94" s="309">
        <f>S94+T94</f>
        <v>0</v>
      </c>
      <c r="S94" s="310">
        <v>0</v>
      </c>
      <c r="T94" s="310">
        <v>0</v>
      </c>
      <c r="U94" s="309">
        <f>V94+W94</f>
        <v>0</v>
      </c>
      <c r="V94" s="310">
        <v>0</v>
      </c>
      <c r="W94" s="310">
        <v>0</v>
      </c>
    </row>
    <row r="95" spans="1:23" s="308" customFormat="1" ht="12.75" hidden="1" customHeight="1">
      <c r="A95" s="910"/>
      <c r="B95" s="988"/>
      <c r="C95" s="986"/>
      <c r="D95" s="914"/>
      <c r="E95" s="988"/>
      <c r="F95" s="910"/>
      <c r="G95" s="307">
        <v>0</v>
      </c>
      <c r="H95" s="307">
        <v>0</v>
      </c>
      <c r="I95" s="908" t="s">
        <v>2</v>
      </c>
      <c r="J95" s="984">
        <f t="shared" ref="J95:W95" si="15">J92+J94</f>
        <v>3838310</v>
      </c>
      <c r="K95" s="984">
        <f t="shared" si="15"/>
        <v>3625071</v>
      </c>
      <c r="L95" s="974">
        <f t="shared" si="15"/>
        <v>3625071</v>
      </c>
      <c r="M95" s="974">
        <f t="shared" si="15"/>
        <v>0</v>
      </c>
      <c r="N95" s="984">
        <f t="shared" si="15"/>
        <v>213239</v>
      </c>
      <c r="O95" s="984">
        <f t="shared" si="15"/>
        <v>213239</v>
      </c>
      <c r="P95" s="974">
        <f t="shared" si="15"/>
        <v>213239</v>
      </c>
      <c r="Q95" s="974">
        <f t="shared" si="15"/>
        <v>0</v>
      </c>
      <c r="R95" s="984">
        <f t="shared" si="15"/>
        <v>0</v>
      </c>
      <c r="S95" s="974">
        <f t="shared" si="15"/>
        <v>0</v>
      </c>
      <c r="T95" s="974">
        <f t="shared" si="15"/>
        <v>0</v>
      </c>
      <c r="U95" s="984">
        <f t="shared" si="15"/>
        <v>0</v>
      </c>
      <c r="V95" s="974">
        <f t="shared" si="15"/>
        <v>0</v>
      </c>
      <c r="W95" s="974">
        <f t="shared" si="15"/>
        <v>0</v>
      </c>
    </row>
    <row r="96" spans="1:23" s="308" customFormat="1" ht="12.75" hidden="1" customHeight="1">
      <c r="A96" s="910"/>
      <c r="B96" s="988"/>
      <c r="C96" s="987"/>
      <c r="D96" s="914"/>
      <c r="E96" s="988"/>
      <c r="F96" s="910"/>
      <c r="G96" s="307">
        <v>0</v>
      </c>
      <c r="H96" s="307">
        <v>0</v>
      </c>
      <c r="I96" s="909"/>
      <c r="J96" s="984"/>
      <c r="K96" s="984"/>
      <c r="L96" s="974"/>
      <c r="M96" s="974"/>
      <c r="N96" s="984"/>
      <c r="O96" s="984"/>
      <c r="P96" s="974"/>
      <c r="Q96" s="974"/>
      <c r="R96" s="984"/>
      <c r="S96" s="974"/>
      <c r="T96" s="974"/>
      <c r="U96" s="984"/>
      <c r="V96" s="974"/>
      <c r="W96" s="974"/>
    </row>
    <row r="97" spans="1:23" s="308" customFormat="1" ht="14.25" hidden="1" customHeight="1">
      <c r="A97" s="910">
        <v>12</v>
      </c>
      <c r="B97" s="988" t="s">
        <v>810</v>
      </c>
      <c r="C97" s="985" t="s">
        <v>811</v>
      </c>
      <c r="D97" s="914" t="s">
        <v>411</v>
      </c>
      <c r="E97" s="988" t="s">
        <v>812</v>
      </c>
      <c r="F97" s="910" t="s">
        <v>776</v>
      </c>
      <c r="G97" s="307">
        <f>G99+G98+G100+G101</f>
        <v>5209500</v>
      </c>
      <c r="H97" s="307">
        <f>H99+H98+H100+H101</f>
        <v>59400</v>
      </c>
      <c r="I97" s="908" t="s">
        <v>0</v>
      </c>
      <c r="J97" s="984">
        <f>K97+N97</f>
        <v>1728800</v>
      </c>
      <c r="K97" s="984">
        <f>L97+M97</f>
        <v>1469480</v>
      </c>
      <c r="L97" s="974">
        <v>1469480</v>
      </c>
      <c r="M97" s="974">
        <v>0</v>
      </c>
      <c r="N97" s="984">
        <f>O97+R97+U97</f>
        <v>259320</v>
      </c>
      <c r="O97" s="984">
        <f>P97+Q97</f>
        <v>86440</v>
      </c>
      <c r="P97" s="974">
        <v>86440</v>
      </c>
      <c r="Q97" s="974">
        <v>0</v>
      </c>
      <c r="R97" s="984">
        <f>S97+T97</f>
        <v>172880</v>
      </c>
      <c r="S97" s="974">
        <v>172880</v>
      </c>
      <c r="T97" s="974">
        <v>0</v>
      </c>
      <c r="U97" s="984">
        <f>V97+W97</f>
        <v>0</v>
      </c>
      <c r="V97" s="974">
        <v>0</v>
      </c>
      <c r="W97" s="974">
        <v>0</v>
      </c>
    </row>
    <row r="98" spans="1:23" s="308" customFormat="1" ht="14.25" hidden="1" customHeight="1">
      <c r="A98" s="910"/>
      <c r="B98" s="988"/>
      <c r="C98" s="986"/>
      <c r="D98" s="914"/>
      <c r="E98" s="988"/>
      <c r="F98" s="910"/>
      <c r="G98" s="307">
        <v>4428075</v>
      </c>
      <c r="H98" s="307">
        <v>50490</v>
      </c>
      <c r="I98" s="909"/>
      <c r="J98" s="984"/>
      <c r="K98" s="984"/>
      <c r="L98" s="974"/>
      <c r="M98" s="974"/>
      <c r="N98" s="984"/>
      <c r="O98" s="984"/>
      <c r="P98" s="974"/>
      <c r="Q98" s="974"/>
      <c r="R98" s="984"/>
      <c r="S98" s="974"/>
      <c r="T98" s="974"/>
      <c r="U98" s="984"/>
      <c r="V98" s="974"/>
      <c r="W98" s="974"/>
    </row>
    <row r="99" spans="1:23" s="308" customFormat="1" ht="14.25" hidden="1" customHeight="1">
      <c r="A99" s="910"/>
      <c r="B99" s="988"/>
      <c r="C99" s="986"/>
      <c r="D99" s="914"/>
      <c r="E99" s="988"/>
      <c r="F99" s="910"/>
      <c r="G99" s="307">
        <v>260475</v>
      </c>
      <c r="H99" s="307">
        <v>2970</v>
      </c>
      <c r="I99" s="286" t="s">
        <v>1</v>
      </c>
      <c r="J99" s="309">
        <f>K99+N99</f>
        <v>0</v>
      </c>
      <c r="K99" s="309">
        <f>L99+M99</f>
        <v>0</v>
      </c>
      <c r="L99" s="310">
        <v>0</v>
      </c>
      <c r="M99" s="310">
        <v>0</v>
      </c>
      <c r="N99" s="309">
        <f>O99+R99+U99</f>
        <v>0</v>
      </c>
      <c r="O99" s="309">
        <f>P99+Q99</f>
        <v>0</v>
      </c>
      <c r="P99" s="310">
        <v>0</v>
      </c>
      <c r="Q99" s="310">
        <v>0</v>
      </c>
      <c r="R99" s="309">
        <f>S99+T99</f>
        <v>0</v>
      </c>
      <c r="S99" s="310">
        <v>0</v>
      </c>
      <c r="T99" s="310">
        <v>0</v>
      </c>
      <c r="U99" s="309">
        <f>V99+W99</f>
        <v>0</v>
      </c>
      <c r="V99" s="310">
        <v>0</v>
      </c>
      <c r="W99" s="310">
        <v>0</v>
      </c>
    </row>
    <row r="100" spans="1:23" s="308" customFormat="1" ht="14.25" hidden="1" customHeight="1">
      <c r="A100" s="910"/>
      <c r="B100" s="988"/>
      <c r="C100" s="986"/>
      <c r="D100" s="914"/>
      <c r="E100" s="988"/>
      <c r="F100" s="910"/>
      <c r="G100" s="307">
        <v>520950</v>
      </c>
      <c r="H100" s="307">
        <v>5940</v>
      </c>
      <c r="I100" s="908" t="s">
        <v>2</v>
      </c>
      <c r="J100" s="984">
        <f t="shared" ref="J100:W100" si="16">J97+J99</f>
        <v>1728800</v>
      </c>
      <c r="K100" s="984">
        <f t="shared" si="16"/>
        <v>1469480</v>
      </c>
      <c r="L100" s="974">
        <f t="shared" si="16"/>
        <v>1469480</v>
      </c>
      <c r="M100" s="974">
        <f t="shared" si="16"/>
        <v>0</v>
      </c>
      <c r="N100" s="984">
        <f t="shared" si="16"/>
        <v>259320</v>
      </c>
      <c r="O100" s="984">
        <f t="shared" si="16"/>
        <v>86440</v>
      </c>
      <c r="P100" s="974">
        <f t="shared" si="16"/>
        <v>86440</v>
      </c>
      <c r="Q100" s="974">
        <f t="shared" si="16"/>
        <v>0</v>
      </c>
      <c r="R100" s="984">
        <f t="shared" si="16"/>
        <v>172880</v>
      </c>
      <c r="S100" s="974">
        <f t="shared" si="16"/>
        <v>172880</v>
      </c>
      <c r="T100" s="974">
        <f t="shared" si="16"/>
        <v>0</v>
      </c>
      <c r="U100" s="984">
        <f t="shared" si="16"/>
        <v>0</v>
      </c>
      <c r="V100" s="974">
        <f t="shared" si="16"/>
        <v>0</v>
      </c>
      <c r="W100" s="974">
        <f t="shared" si="16"/>
        <v>0</v>
      </c>
    </row>
    <row r="101" spans="1:23" s="308" customFormat="1" ht="14.25" hidden="1" customHeight="1">
      <c r="A101" s="910"/>
      <c r="B101" s="988"/>
      <c r="C101" s="987"/>
      <c r="D101" s="914"/>
      <c r="E101" s="988"/>
      <c r="F101" s="910"/>
      <c r="G101" s="307">
        <v>0</v>
      </c>
      <c r="H101" s="307">
        <v>0</v>
      </c>
      <c r="I101" s="909"/>
      <c r="J101" s="984"/>
      <c r="K101" s="984"/>
      <c r="L101" s="974"/>
      <c r="M101" s="974"/>
      <c r="N101" s="984"/>
      <c r="O101" s="984"/>
      <c r="P101" s="974"/>
      <c r="Q101" s="974"/>
      <c r="R101" s="984"/>
      <c r="S101" s="974"/>
      <c r="T101" s="974"/>
      <c r="U101" s="984"/>
      <c r="V101" s="974"/>
      <c r="W101" s="974"/>
    </row>
    <row r="102" spans="1:23" s="308" customFormat="1" ht="14.25" hidden="1" customHeight="1">
      <c r="A102" s="910">
        <v>13</v>
      </c>
      <c r="B102" s="988" t="s">
        <v>810</v>
      </c>
      <c r="C102" s="985" t="s">
        <v>813</v>
      </c>
      <c r="D102" s="914" t="s">
        <v>411</v>
      </c>
      <c r="E102" s="988" t="s">
        <v>812</v>
      </c>
      <c r="F102" s="910" t="s">
        <v>776</v>
      </c>
      <c r="G102" s="307">
        <f>G104+G103+G105+G106</f>
        <v>13464000</v>
      </c>
      <c r="H102" s="307">
        <f>H104+H103+H105+H106</f>
        <v>103620</v>
      </c>
      <c r="I102" s="908" t="s">
        <v>0</v>
      </c>
      <c r="J102" s="984">
        <f>K102+N102</f>
        <v>4475480</v>
      </c>
      <c r="K102" s="984">
        <f>L102+M102</f>
        <v>3804158</v>
      </c>
      <c r="L102" s="974">
        <v>3804158</v>
      </c>
      <c r="M102" s="974">
        <v>0</v>
      </c>
      <c r="N102" s="984">
        <f>O102+R102+U102</f>
        <v>671322</v>
      </c>
      <c r="O102" s="984">
        <f>P102+Q102</f>
        <v>223774</v>
      </c>
      <c r="P102" s="974">
        <v>223774</v>
      </c>
      <c r="Q102" s="974">
        <v>0</v>
      </c>
      <c r="R102" s="984">
        <f>S102+T102</f>
        <v>447548</v>
      </c>
      <c r="S102" s="974">
        <v>447548</v>
      </c>
      <c r="T102" s="974">
        <v>0</v>
      </c>
      <c r="U102" s="984">
        <f>V102+W102</f>
        <v>0</v>
      </c>
      <c r="V102" s="974">
        <v>0</v>
      </c>
      <c r="W102" s="974">
        <v>0</v>
      </c>
    </row>
    <row r="103" spans="1:23" s="308" customFormat="1" ht="14.25" hidden="1" customHeight="1">
      <c r="A103" s="910"/>
      <c r="B103" s="988"/>
      <c r="C103" s="986"/>
      <c r="D103" s="914"/>
      <c r="E103" s="988"/>
      <c r="F103" s="910"/>
      <c r="G103" s="307">
        <v>11444400</v>
      </c>
      <c r="H103" s="307">
        <v>88077</v>
      </c>
      <c r="I103" s="909"/>
      <c r="J103" s="984"/>
      <c r="K103" s="984"/>
      <c r="L103" s="974"/>
      <c r="M103" s="974"/>
      <c r="N103" s="984"/>
      <c r="O103" s="984"/>
      <c r="P103" s="974"/>
      <c r="Q103" s="974"/>
      <c r="R103" s="984"/>
      <c r="S103" s="974"/>
      <c r="T103" s="974"/>
      <c r="U103" s="984"/>
      <c r="V103" s="974"/>
      <c r="W103" s="974"/>
    </row>
    <row r="104" spans="1:23" s="308" customFormat="1" ht="14.25" hidden="1" customHeight="1">
      <c r="A104" s="910"/>
      <c r="B104" s="988"/>
      <c r="C104" s="986"/>
      <c r="D104" s="914"/>
      <c r="E104" s="988"/>
      <c r="F104" s="910"/>
      <c r="G104" s="307">
        <v>673200</v>
      </c>
      <c r="H104" s="307">
        <v>5181</v>
      </c>
      <c r="I104" s="286" t="s">
        <v>1</v>
      </c>
      <c r="J104" s="309">
        <f>K104+N104</f>
        <v>0</v>
      </c>
      <c r="K104" s="309">
        <f>L104+M104</f>
        <v>0</v>
      </c>
      <c r="L104" s="310">
        <v>0</v>
      </c>
      <c r="M104" s="310">
        <v>0</v>
      </c>
      <c r="N104" s="309">
        <f>O104+R104+U104</f>
        <v>0</v>
      </c>
      <c r="O104" s="309">
        <f>P104+Q104</f>
        <v>0</v>
      </c>
      <c r="P104" s="310">
        <v>0</v>
      </c>
      <c r="Q104" s="310">
        <v>0</v>
      </c>
      <c r="R104" s="309">
        <f>S104+T104</f>
        <v>0</v>
      </c>
      <c r="S104" s="310">
        <v>0</v>
      </c>
      <c r="T104" s="310">
        <v>0</v>
      </c>
      <c r="U104" s="309">
        <f>V104+W104</f>
        <v>0</v>
      </c>
      <c r="V104" s="310">
        <v>0</v>
      </c>
      <c r="W104" s="310">
        <v>0</v>
      </c>
    </row>
    <row r="105" spans="1:23" s="308" customFormat="1" ht="14.25" hidden="1" customHeight="1">
      <c r="A105" s="910"/>
      <c r="B105" s="988"/>
      <c r="C105" s="986"/>
      <c r="D105" s="914"/>
      <c r="E105" s="988"/>
      <c r="F105" s="910"/>
      <c r="G105" s="307">
        <v>1346400</v>
      </c>
      <c r="H105" s="307">
        <v>10362</v>
      </c>
      <c r="I105" s="908" t="s">
        <v>2</v>
      </c>
      <c r="J105" s="984">
        <f t="shared" ref="J105:W105" si="17">J102+J104</f>
        <v>4475480</v>
      </c>
      <c r="K105" s="984">
        <f t="shared" si="17"/>
        <v>3804158</v>
      </c>
      <c r="L105" s="974">
        <f t="shared" si="17"/>
        <v>3804158</v>
      </c>
      <c r="M105" s="974">
        <f t="shared" si="17"/>
        <v>0</v>
      </c>
      <c r="N105" s="984">
        <f t="shared" si="17"/>
        <v>671322</v>
      </c>
      <c r="O105" s="984">
        <f t="shared" si="17"/>
        <v>223774</v>
      </c>
      <c r="P105" s="974">
        <f t="shared" si="17"/>
        <v>223774</v>
      </c>
      <c r="Q105" s="974">
        <f t="shared" si="17"/>
        <v>0</v>
      </c>
      <c r="R105" s="984">
        <f t="shared" si="17"/>
        <v>447548</v>
      </c>
      <c r="S105" s="974">
        <f t="shared" si="17"/>
        <v>447548</v>
      </c>
      <c r="T105" s="974">
        <f t="shared" si="17"/>
        <v>0</v>
      </c>
      <c r="U105" s="984">
        <f t="shared" si="17"/>
        <v>0</v>
      </c>
      <c r="V105" s="974">
        <f t="shared" si="17"/>
        <v>0</v>
      </c>
      <c r="W105" s="974">
        <f t="shared" si="17"/>
        <v>0</v>
      </c>
    </row>
    <row r="106" spans="1:23" s="308" customFormat="1" ht="14.25" hidden="1" customHeight="1">
      <c r="A106" s="910"/>
      <c r="B106" s="988"/>
      <c r="C106" s="987"/>
      <c r="D106" s="914"/>
      <c r="E106" s="988"/>
      <c r="F106" s="910"/>
      <c r="G106" s="307">
        <v>0</v>
      </c>
      <c r="H106" s="307">
        <v>0</v>
      </c>
      <c r="I106" s="909"/>
      <c r="J106" s="984"/>
      <c r="K106" s="984"/>
      <c r="L106" s="974"/>
      <c r="M106" s="974"/>
      <c r="N106" s="984"/>
      <c r="O106" s="984"/>
      <c r="P106" s="974"/>
      <c r="Q106" s="974"/>
      <c r="R106" s="984"/>
      <c r="S106" s="974"/>
      <c r="T106" s="974"/>
      <c r="U106" s="984"/>
      <c r="V106" s="974"/>
      <c r="W106" s="974"/>
    </row>
    <row r="107" spans="1:23" s="308" customFormat="1" ht="12.75" customHeight="1">
      <c r="A107" s="910">
        <v>7</v>
      </c>
      <c r="B107" s="988" t="s">
        <v>814</v>
      </c>
      <c r="C107" s="985" t="s">
        <v>815</v>
      </c>
      <c r="D107" s="914" t="s">
        <v>804</v>
      </c>
      <c r="E107" s="988" t="s">
        <v>816</v>
      </c>
      <c r="F107" s="910" t="s">
        <v>776</v>
      </c>
      <c r="G107" s="307">
        <f>G109+G108+G110+G111</f>
        <v>39280838</v>
      </c>
      <c r="H107" s="307">
        <f>H109+H108+H110+H111</f>
        <v>185899</v>
      </c>
      <c r="I107" s="908" t="s">
        <v>0</v>
      </c>
      <c r="J107" s="984">
        <f>K107+N107</f>
        <v>17624211</v>
      </c>
      <c r="K107" s="984">
        <f>L107+M107</f>
        <v>15837254</v>
      </c>
      <c r="L107" s="974">
        <v>15837254</v>
      </c>
      <c r="M107" s="974">
        <v>0</v>
      </c>
      <c r="N107" s="984">
        <f>O107+R107+U107</f>
        <v>1786957</v>
      </c>
      <c r="O107" s="984">
        <f>P107+Q107</f>
        <v>1786957</v>
      </c>
      <c r="P107" s="974">
        <v>1786957</v>
      </c>
      <c r="Q107" s="974">
        <v>0</v>
      </c>
      <c r="R107" s="984">
        <f>S107+T107</f>
        <v>0</v>
      </c>
      <c r="S107" s="974">
        <v>0</v>
      </c>
      <c r="T107" s="974">
        <v>0</v>
      </c>
      <c r="U107" s="984">
        <f>V107+W107</f>
        <v>0</v>
      </c>
      <c r="V107" s="974">
        <v>0</v>
      </c>
      <c r="W107" s="974">
        <v>0</v>
      </c>
    </row>
    <row r="108" spans="1:23" s="308" customFormat="1" ht="12.75" customHeight="1">
      <c r="A108" s="910"/>
      <c r="B108" s="988"/>
      <c r="C108" s="986"/>
      <c r="D108" s="914"/>
      <c r="E108" s="988"/>
      <c r="F108" s="910"/>
      <c r="G108" s="307">
        <v>35146013</v>
      </c>
      <c r="H108" s="307">
        <v>166330</v>
      </c>
      <c r="I108" s="909"/>
      <c r="J108" s="984"/>
      <c r="K108" s="984"/>
      <c r="L108" s="974"/>
      <c r="M108" s="974"/>
      <c r="N108" s="984"/>
      <c r="O108" s="984"/>
      <c r="P108" s="974"/>
      <c r="Q108" s="974"/>
      <c r="R108" s="984"/>
      <c r="S108" s="974"/>
      <c r="T108" s="974"/>
      <c r="U108" s="984"/>
      <c r="V108" s="974"/>
      <c r="W108" s="974"/>
    </row>
    <row r="109" spans="1:23" s="308" customFormat="1" ht="12.75" customHeight="1">
      <c r="A109" s="910"/>
      <c r="B109" s="988"/>
      <c r="C109" s="986"/>
      <c r="D109" s="914"/>
      <c r="E109" s="988"/>
      <c r="F109" s="910"/>
      <c r="G109" s="307">
        <v>4134825</v>
      </c>
      <c r="H109" s="307">
        <v>19569</v>
      </c>
      <c r="I109" s="286" t="s">
        <v>1</v>
      </c>
      <c r="J109" s="309">
        <f>K109+N109</f>
        <v>0</v>
      </c>
      <c r="K109" s="309">
        <f>L109+M109</f>
        <v>0</v>
      </c>
      <c r="L109" s="310">
        <v>-33104</v>
      </c>
      <c r="M109" s="310">
        <v>33104</v>
      </c>
      <c r="N109" s="309">
        <f>O109+R109+U109</f>
        <v>0</v>
      </c>
      <c r="O109" s="309">
        <f>P109+Q109</f>
        <v>0</v>
      </c>
      <c r="P109" s="310">
        <v>-3896</v>
      </c>
      <c r="Q109" s="310">
        <v>3896</v>
      </c>
      <c r="R109" s="309">
        <f>S109+T109</f>
        <v>0</v>
      </c>
      <c r="S109" s="310">
        <v>0</v>
      </c>
      <c r="T109" s="310">
        <v>0</v>
      </c>
      <c r="U109" s="309">
        <f>V109+W109</f>
        <v>0</v>
      </c>
      <c r="V109" s="310">
        <v>0</v>
      </c>
      <c r="W109" s="310">
        <v>0</v>
      </c>
    </row>
    <row r="110" spans="1:23" s="308" customFormat="1" ht="12.75" customHeight="1">
      <c r="A110" s="910"/>
      <c r="B110" s="988"/>
      <c r="C110" s="986"/>
      <c r="D110" s="914"/>
      <c r="E110" s="988"/>
      <c r="F110" s="910"/>
      <c r="G110" s="307">
        <v>0</v>
      </c>
      <c r="H110" s="307">
        <v>0</v>
      </c>
      <c r="I110" s="908" t="s">
        <v>2</v>
      </c>
      <c r="J110" s="984">
        <f t="shared" ref="J110:W110" si="18">J107+J109</f>
        <v>17624211</v>
      </c>
      <c r="K110" s="984">
        <f t="shared" si="18"/>
        <v>15837254</v>
      </c>
      <c r="L110" s="974">
        <f t="shared" si="18"/>
        <v>15804150</v>
      </c>
      <c r="M110" s="974">
        <f t="shared" si="18"/>
        <v>33104</v>
      </c>
      <c r="N110" s="984">
        <f t="shared" si="18"/>
        <v>1786957</v>
      </c>
      <c r="O110" s="984">
        <f t="shared" si="18"/>
        <v>1786957</v>
      </c>
      <c r="P110" s="974">
        <f t="shared" si="18"/>
        <v>1783061</v>
      </c>
      <c r="Q110" s="974">
        <f t="shared" si="18"/>
        <v>3896</v>
      </c>
      <c r="R110" s="984">
        <f t="shared" si="18"/>
        <v>0</v>
      </c>
      <c r="S110" s="974">
        <f t="shared" si="18"/>
        <v>0</v>
      </c>
      <c r="T110" s="974">
        <f t="shared" si="18"/>
        <v>0</v>
      </c>
      <c r="U110" s="984">
        <f t="shared" si="18"/>
        <v>0</v>
      </c>
      <c r="V110" s="974">
        <f t="shared" si="18"/>
        <v>0</v>
      </c>
      <c r="W110" s="974">
        <f t="shared" si="18"/>
        <v>0</v>
      </c>
    </row>
    <row r="111" spans="1:23" s="308" customFormat="1" ht="12.75" customHeight="1">
      <c r="A111" s="910"/>
      <c r="B111" s="988"/>
      <c r="C111" s="987"/>
      <c r="D111" s="914"/>
      <c r="E111" s="988"/>
      <c r="F111" s="910"/>
      <c r="G111" s="307">
        <v>0</v>
      </c>
      <c r="H111" s="307">
        <v>0</v>
      </c>
      <c r="I111" s="909"/>
      <c r="J111" s="984"/>
      <c r="K111" s="984"/>
      <c r="L111" s="974"/>
      <c r="M111" s="974"/>
      <c r="N111" s="984"/>
      <c r="O111" s="984"/>
      <c r="P111" s="974"/>
      <c r="Q111" s="974"/>
      <c r="R111" s="984"/>
      <c r="S111" s="974"/>
      <c r="T111" s="974"/>
      <c r="U111" s="984"/>
      <c r="V111" s="974"/>
      <c r="W111" s="974"/>
    </row>
    <row r="112" spans="1:23" s="308" customFormat="1" ht="12.75" customHeight="1">
      <c r="A112" s="910">
        <v>8</v>
      </c>
      <c r="B112" s="988" t="s">
        <v>817</v>
      </c>
      <c r="C112" s="985" t="s">
        <v>818</v>
      </c>
      <c r="D112" s="914" t="s">
        <v>411</v>
      </c>
      <c r="E112" s="988" t="s">
        <v>819</v>
      </c>
      <c r="F112" s="910" t="s">
        <v>809</v>
      </c>
      <c r="G112" s="307">
        <f>G114+G113+G115+G116</f>
        <v>3661264</v>
      </c>
      <c r="H112" s="307">
        <f>H114+H113+H115+H116</f>
        <v>0</v>
      </c>
      <c r="I112" s="908" t="s">
        <v>0</v>
      </c>
      <c r="J112" s="984">
        <f>K112+N112</f>
        <v>1276532</v>
      </c>
      <c r="K112" s="984">
        <f>L112+M112</f>
        <v>1142160</v>
      </c>
      <c r="L112" s="974">
        <v>1142160</v>
      </c>
      <c r="M112" s="974">
        <v>0</v>
      </c>
      <c r="N112" s="984">
        <f>O112+R112+U112</f>
        <v>134372</v>
      </c>
      <c r="O112" s="984">
        <f>P112+Q112</f>
        <v>134372</v>
      </c>
      <c r="P112" s="974">
        <v>134372</v>
      </c>
      <c r="Q112" s="974">
        <v>0</v>
      </c>
      <c r="R112" s="984">
        <f>S112+T112</f>
        <v>0</v>
      </c>
      <c r="S112" s="974">
        <v>0</v>
      </c>
      <c r="T112" s="974">
        <v>0</v>
      </c>
      <c r="U112" s="984">
        <f>V112+W112</f>
        <v>0</v>
      </c>
      <c r="V112" s="974">
        <v>0</v>
      </c>
      <c r="W112" s="974">
        <v>0</v>
      </c>
    </row>
    <row r="113" spans="1:23" s="308" customFormat="1" ht="12.75" customHeight="1">
      <c r="A113" s="910"/>
      <c r="B113" s="988"/>
      <c r="C113" s="986"/>
      <c r="D113" s="914"/>
      <c r="E113" s="988"/>
      <c r="F113" s="910"/>
      <c r="G113" s="307">
        <v>3276067</v>
      </c>
      <c r="H113" s="307">
        <v>0</v>
      </c>
      <c r="I113" s="909"/>
      <c r="J113" s="984"/>
      <c r="K113" s="984"/>
      <c r="L113" s="974"/>
      <c r="M113" s="974"/>
      <c r="N113" s="984"/>
      <c r="O113" s="984"/>
      <c r="P113" s="974"/>
      <c r="Q113" s="974"/>
      <c r="R113" s="984"/>
      <c r="S113" s="974"/>
      <c r="T113" s="974"/>
      <c r="U113" s="984"/>
      <c r="V113" s="974"/>
      <c r="W113" s="974"/>
    </row>
    <row r="114" spans="1:23" s="308" customFormat="1" ht="12.75" customHeight="1">
      <c r="A114" s="910"/>
      <c r="B114" s="988"/>
      <c r="C114" s="986"/>
      <c r="D114" s="914"/>
      <c r="E114" s="988"/>
      <c r="F114" s="910"/>
      <c r="G114" s="307">
        <v>385197</v>
      </c>
      <c r="H114" s="307">
        <v>0</v>
      </c>
      <c r="I114" s="286" t="s">
        <v>1</v>
      </c>
      <c r="J114" s="309">
        <f>K114+N114</f>
        <v>0</v>
      </c>
      <c r="K114" s="309">
        <f>L114+M114</f>
        <v>69</v>
      </c>
      <c r="L114" s="310">
        <v>69</v>
      </c>
      <c r="M114" s="310">
        <v>0</v>
      </c>
      <c r="N114" s="309">
        <f>O114+R114+U114</f>
        <v>-69</v>
      </c>
      <c r="O114" s="309">
        <f>P114+Q114</f>
        <v>-69</v>
      </c>
      <c r="P114" s="310">
        <v>-69</v>
      </c>
      <c r="Q114" s="310">
        <v>0</v>
      </c>
      <c r="R114" s="309">
        <f>S114+T114</f>
        <v>0</v>
      </c>
      <c r="S114" s="310">
        <v>0</v>
      </c>
      <c r="T114" s="310">
        <v>0</v>
      </c>
      <c r="U114" s="309">
        <f>V114+W114</f>
        <v>0</v>
      </c>
      <c r="V114" s="310">
        <v>0</v>
      </c>
      <c r="W114" s="310">
        <v>0</v>
      </c>
    </row>
    <row r="115" spans="1:23" s="308" customFormat="1" ht="12.75" customHeight="1">
      <c r="A115" s="910"/>
      <c r="B115" s="988"/>
      <c r="C115" s="986"/>
      <c r="D115" s="914"/>
      <c r="E115" s="988"/>
      <c r="F115" s="910"/>
      <c r="G115" s="307">
        <v>0</v>
      </c>
      <c r="H115" s="307">
        <v>0</v>
      </c>
      <c r="I115" s="908" t="s">
        <v>2</v>
      </c>
      <c r="J115" s="984">
        <f t="shared" ref="J115:W115" si="19">J112+J114</f>
        <v>1276532</v>
      </c>
      <c r="K115" s="984">
        <f t="shared" si="19"/>
        <v>1142229</v>
      </c>
      <c r="L115" s="974">
        <f t="shared" si="19"/>
        <v>1142229</v>
      </c>
      <c r="M115" s="974">
        <f t="shared" si="19"/>
        <v>0</v>
      </c>
      <c r="N115" s="984">
        <f t="shared" si="19"/>
        <v>134303</v>
      </c>
      <c r="O115" s="984">
        <f t="shared" si="19"/>
        <v>134303</v>
      </c>
      <c r="P115" s="974">
        <f t="shared" si="19"/>
        <v>134303</v>
      </c>
      <c r="Q115" s="974">
        <f t="shared" si="19"/>
        <v>0</v>
      </c>
      <c r="R115" s="984">
        <f t="shared" si="19"/>
        <v>0</v>
      </c>
      <c r="S115" s="974">
        <f t="shared" si="19"/>
        <v>0</v>
      </c>
      <c r="T115" s="974">
        <f t="shared" si="19"/>
        <v>0</v>
      </c>
      <c r="U115" s="984">
        <f t="shared" si="19"/>
        <v>0</v>
      </c>
      <c r="V115" s="974">
        <f t="shared" si="19"/>
        <v>0</v>
      </c>
      <c r="W115" s="974">
        <f t="shared" si="19"/>
        <v>0</v>
      </c>
    </row>
    <row r="116" spans="1:23" s="308" customFormat="1" ht="12.75" customHeight="1">
      <c r="A116" s="910"/>
      <c r="B116" s="988"/>
      <c r="C116" s="987"/>
      <c r="D116" s="914"/>
      <c r="E116" s="988"/>
      <c r="F116" s="910"/>
      <c r="G116" s="307">
        <v>0</v>
      </c>
      <c r="H116" s="307">
        <v>0</v>
      </c>
      <c r="I116" s="909"/>
      <c r="J116" s="984"/>
      <c r="K116" s="984"/>
      <c r="L116" s="974"/>
      <c r="M116" s="974"/>
      <c r="N116" s="984"/>
      <c r="O116" s="984"/>
      <c r="P116" s="974"/>
      <c r="Q116" s="974"/>
      <c r="R116" s="984"/>
      <c r="S116" s="974"/>
      <c r="T116" s="974"/>
      <c r="U116" s="984"/>
      <c r="V116" s="974"/>
      <c r="W116" s="974"/>
    </row>
    <row r="117" spans="1:23" s="308" customFormat="1" ht="12.75" hidden="1" customHeight="1">
      <c r="A117" s="910">
        <v>15</v>
      </c>
      <c r="B117" s="988" t="s">
        <v>820</v>
      </c>
      <c r="C117" s="985" t="s">
        <v>821</v>
      </c>
      <c r="D117" s="914" t="s">
        <v>804</v>
      </c>
      <c r="E117" s="988" t="s">
        <v>819</v>
      </c>
      <c r="F117" s="910" t="s">
        <v>776</v>
      </c>
      <c r="G117" s="307">
        <f>G119+G118+G120+G121</f>
        <v>4876581</v>
      </c>
      <c r="H117" s="307">
        <f>H119+H118+H120+H121</f>
        <v>116159</v>
      </c>
      <c r="I117" s="908" t="s">
        <v>0</v>
      </c>
      <c r="J117" s="984">
        <f>K117+N117</f>
        <v>2267613</v>
      </c>
      <c r="K117" s="984">
        <f>L117+M117</f>
        <v>2028833</v>
      </c>
      <c r="L117" s="974">
        <v>2028833</v>
      </c>
      <c r="M117" s="974">
        <v>0</v>
      </c>
      <c r="N117" s="984">
        <f>O117+R117+U117</f>
        <v>238780</v>
      </c>
      <c r="O117" s="984">
        <f>P117+Q117</f>
        <v>238780</v>
      </c>
      <c r="P117" s="974">
        <v>238780</v>
      </c>
      <c r="Q117" s="974">
        <v>0</v>
      </c>
      <c r="R117" s="984">
        <f>S117+T117</f>
        <v>0</v>
      </c>
      <c r="S117" s="974">
        <v>0</v>
      </c>
      <c r="T117" s="974">
        <v>0</v>
      </c>
      <c r="U117" s="984">
        <f>V117+W117</f>
        <v>0</v>
      </c>
      <c r="V117" s="974">
        <v>0</v>
      </c>
      <c r="W117" s="974">
        <v>0</v>
      </c>
    </row>
    <row r="118" spans="1:23" s="308" customFormat="1" ht="12.75" hidden="1" customHeight="1">
      <c r="A118" s="910"/>
      <c r="B118" s="988"/>
      <c r="C118" s="986"/>
      <c r="D118" s="914"/>
      <c r="E118" s="988"/>
      <c r="F118" s="910"/>
      <c r="G118" s="307">
        <v>4363257</v>
      </c>
      <c r="H118" s="307">
        <v>103927</v>
      </c>
      <c r="I118" s="909"/>
      <c r="J118" s="984"/>
      <c r="K118" s="984"/>
      <c r="L118" s="974"/>
      <c r="M118" s="974"/>
      <c r="N118" s="984"/>
      <c r="O118" s="984"/>
      <c r="P118" s="974"/>
      <c r="Q118" s="974"/>
      <c r="R118" s="984"/>
      <c r="S118" s="974"/>
      <c r="T118" s="974"/>
      <c r="U118" s="984"/>
      <c r="V118" s="974"/>
      <c r="W118" s="974"/>
    </row>
    <row r="119" spans="1:23" s="308" customFormat="1" ht="12.75" hidden="1" customHeight="1">
      <c r="A119" s="910"/>
      <c r="B119" s="988"/>
      <c r="C119" s="986"/>
      <c r="D119" s="914"/>
      <c r="E119" s="988"/>
      <c r="F119" s="910"/>
      <c r="G119" s="307">
        <v>513324</v>
      </c>
      <c r="H119" s="307">
        <v>12232</v>
      </c>
      <c r="I119" s="286" t="s">
        <v>1</v>
      </c>
      <c r="J119" s="309">
        <f>K119+N119</f>
        <v>0</v>
      </c>
      <c r="K119" s="309">
        <f>L119+M119</f>
        <v>0</v>
      </c>
      <c r="L119" s="310">
        <v>0</v>
      </c>
      <c r="M119" s="310">
        <v>0</v>
      </c>
      <c r="N119" s="309">
        <f>O119+R119+U119</f>
        <v>0</v>
      </c>
      <c r="O119" s="309">
        <f>P119+Q119</f>
        <v>0</v>
      </c>
      <c r="P119" s="310">
        <v>0</v>
      </c>
      <c r="Q119" s="310">
        <v>0</v>
      </c>
      <c r="R119" s="309">
        <f>S119+T119</f>
        <v>0</v>
      </c>
      <c r="S119" s="310">
        <v>0</v>
      </c>
      <c r="T119" s="310">
        <v>0</v>
      </c>
      <c r="U119" s="309">
        <f>V119+W119</f>
        <v>0</v>
      </c>
      <c r="V119" s="310">
        <v>0</v>
      </c>
      <c r="W119" s="310">
        <v>0</v>
      </c>
    </row>
    <row r="120" spans="1:23" s="308" customFormat="1" ht="12.75" hidden="1" customHeight="1">
      <c r="A120" s="910"/>
      <c r="B120" s="988"/>
      <c r="C120" s="986"/>
      <c r="D120" s="914"/>
      <c r="E120" s="988"/>
      <c r="F120" s="910"/>
      <c r="G120" s="307">
        <v>0</v>
      </c>
      <c r="H120" s="307">
        <v>0</v>
      </c>
      <c r="I120" s="908" t="s">
        <v>2</v>
      </c>
      <c r="J120" s="984">
        <f t="shared" ref="J120:W120" si="20">J117+J119</f>
        <v>2267613</v>
      </c>
      <c r="K120" s="984">
        <f t="shared" si="20"/>
        <v>2028833</v>
      </c>
      <c r="L120" s="974">
        <f t="shared" si="20"/>
        <v>2028833</v>
      </c>
      <c r="M120" s="974">
        <f t="shared" si="20"/>
        <v>0</v>
      </c>
      <c r="N120" s="984">
        <f t="shared" si="20"/>
        <v>238780</v>
      </c>
      <c r="O120" s="984">
        <f t="shared" si="20"/>
        <v>238780</v>
      </c>
      <c r="P120" s="974">
        <f t="shared" si="20"/>
        <v>238780</v>
      </c>
      <c r="Q120" s="974">
        <f t="shared" si="20"/>
        <v>0</v>
      </c>
      <c r="R120" s="984">
        <f t="shared" si="20"/>
        <v>0</v>
      </c>
      <c r="S120" s="974">
        <f t="shared" si="20"/>
        <v>0</v>
      </c>
      <c r="T120" s="974">
        <f t="shared" si="20"/>
        <v>0</v>
      </c>
      <c r="U120" s="984">
        <f t="shared" si="20"/>
        <v>0</v>
      </c>
      <c r="V120" s="974">
        <f t="shared" si="20"/>
        <v>0</v>
      </c>
      <c r="W120" s="974">
        <f t="shared" si="20"/>
        <v>0</v>
      </c>
    </row>
    <row r="121" spans="1:23" s="308" customFormat="1" ht="12.75" hidden="1" customHeight="1">
      <c r="A121" s="910"/>
      <c r="B121" s="988"/>
      <c r="C121" s="987"/>
      <c r="D121" s="914"/>
      <c r="E121" s="988"/>
      <c r="F121" s="910"/>
      <c r="G121" s="307">
        <v>0</v>
      </c>
      <c r="H121" s="307">
        <v>0</v>
      </c>
      <c r="I121" s="909"/>
      <c r="J121" s="984"/>
      <c r="K121" s="984"/>
      <c r="L121" s="974"/>
      <c r="M121" s="974"/>
      <c r="N121" s="984"/>
      <c r="O121" s="984"/>
      <c r="P121" s="974"/>
      <c r="Q121" s="974"/>
      <c r="R121" s="984"/>
      <c r="S121" s="974"/>
      <c r="T121" s="974"/>
      <c r="U121" s="984"/>
      <c r="V121" s="974"/>
      <c r="W121" s="974"/>
    </row>
    <row r="122" spans="1:23" s="308" customFormat="1" ht="12.75" customHeight="1">
      <c r="A122" s="910">
        <v>9</v>
      </c>
      <c r="B122" s="988" t="s">
        <v>822</v>
      </c>
      <c r="C122" s="985" t="s">
        <v>823</v>
      </c>
      <c r="D122" s="914" t="s">
        <v>411</v>
      </c>
      <c r="E122" s="988" t="s">
        <v>795</v>
      </c>
      <c r="F122" s="910" t="s">
        <v>824</v>
      </c>
      <c r="G122" s="307">
        <f>G124+G123+G125+G126</f>
        <v>405625</v>
      </c>
      <c r="H122" s="307">
        <f>H124+H123+H125+H126</f>
        <v>0</v>
      </c>
      <c r="I122" s="908" t="s">
        <v>0</v>
      </c>
      <c r="J122" s="984">
        <f>K122+N122</f>
        <v>187500</v>
      </c>
      <c r="K122" s="984">
        <f>L122+M122</f>
        <v>159375</v>
      </c>
      <c r="L122" s="974">
        <v>159375</v>
      </c>
      <c r="M122" s="974">
        <v>0</v>
      </c>
      <c r="N122" s="984">
        <f>O122+R122+U122</f>
        <v>28125</v>
      </c>
      <c r="O122" s="984">
        <f>P122+Q122</f>
        <v>18750</v>
      </c>
      <c r="P122" s="974">
        <v>18750</v>
      </c>
      <c r="Q122" s="974">
        <v>0</v>
      </c>
      <c r="R122" s="984">
        <f>S122+T122</f>
        <v>9375</v>
      </c>
      <c r="S122" s="974">
        <v>9375</v>
      </c>
      <c r="T122" s="974">
        <v>0</v>
      </c>
      <c r="U122" s="984">
        <f>V122+W122</f>
        <v>0</v>
      </c>
      <c r="V122" s="974">
        <v>0</v>
      </c>
      <c r="W122" s="974">
        <v>0</v>
      </c>
    </row>
    <row r="123" spans="1:23" s="308" customFormat="1" ht="12.75" customHeight="1">
      <c r="A123" s="910"/>
      <c r="B123" s="988"/>
      <c r="C123" s="986"/>
      <c r="D123" s="914"/>
      <c r="E123" s="988"/>
      <c r="F123" s="910"/>
      <c r="G123" s="307">
        <v>344781</v>
      </c>
      <c r="H123" s="307">
        <v>0</v>
      </c>
      <c r="I123" s="909"/>
      <c r="J123" s="984"/>
      <c r="K123" s="984"/>
      <c r="L123" s="974"/>
      <c r="M123" s="974"/>
      <c r="N123" s="984"/>
      <c r="O123" s="984"/>
      <c r="P123" s="974"/>
      <c r="Q123" s="974"/>
      <c r="R123" s="984"/>
      <c r="S123" s="974"/>
      <c r="T123" s="974"/>
      <c r="U123" s="984"/>
      <c r="V123" s="974"/>
      <c r="W123" s="974"/>
    </row>
    <row r="124" spans="1:23" s="308" customFormat="1" ht="12.75" customHeight="1">
      <c r="A124" s="910"/>
      <c r="B124" s="988"/>
      <c r="C124" s="986"/>
      <c r="D124" s="914"/>
      <c r="E124" s="988"/>
      <c r="F124" s="910"/>
      <c r="G124" s="307">
        <v>40563</v>
      </c>
      <c r="H124" s="307">
        <v>0</v>
      </c>
      <c r="I124" s="286" t="s">
        <v>1</v>
      </c>
      <c r="J124" s="309">
        <f>K124+N124</f>
        <v>125000</v>
      </c>
      <c r="K124" s="309">
        <f>L124+M124</f>
        <v>106250</v>
      </c>
      <c r="L124" s="310">
        <v>106250</v>
      </c>
      <c r="M124" s="310">
        <v>0</v>
      </c>
      <c r="N124" s="309">
        <f>O124+R124+U124</f>
        <v>18750</v>
      </c>
      <c r="O124" s="309">
        <f>P124+Q124</f>
        <v>12500</v>
      </c>
      <c r="P124" s="310">
        <v>12500</v>
      </c>
      <c r="Q124" s="310">
        <v>0</v>
      </c>
      <c r="R124" s="309">
        <f>S124+T124</f>
        <v>6250</v>
      </c>
      <c r="S124" s="310">
        <v>6250</v>
      </c>
      <c r="T124" s="310">
        <v>0</v>
      </c>
      <c r="U124" s="309">
        <f>V124+W124</f>
        <v>0</v>
      </c>
      <c r="V124" s="310">
        <v>0</v>
      </c>
      <c r="W124" s="310">
        <v>0</v>
      </c>
    </row>
    <row r="125" spans="1:23" s="308" customFormat="1" ht="12.75" customHeight="1">
      <c r="A125" s="910"/>
      <c r="B125" s="988"/>
      <c r="C125" s="986"/>
      <c r="D125" s="914"/>
      <c r="E125" s="988"/>
      <c r="F125" s="910"/>
      <c r="G125" s="307">
        <v>20281</v>
      </c>
      <c r="H125" s="307">
        <v>0</v>
      </c>
      <c r="I125" s="908" t="s">
        <v>2</v>
      </c>
      <c r="J125" s="984">
        <f t="shared" ref="J125:W125" si="21">J122+J124</f>
        <v>312500</v>
      </c>
      <c r="K125" s="984">
        <f t="shared" si="21"/>
        <v>265625</v>
      </c>
      <c r="L125" s="974">
        <f t="shared" si="21"/>
        <v>265625</v>
      </c>
      <c r="M125" s="974">
        <f t="shared" si="21"/>
        <v>0</v>
      </c>
      <c r="N125" s="984">
        <f t="shared" si="21"/>
        <v>46875</v>
      </c>
      <c r="O125" s="984">
        <f t="shared" si="21"/>
        <v>31250</v>
      </c>
      <c r="P125" s="974">
        <f t="shared" si="21"/>
        <v>31250</v>
      </c>
      <c r="Q125" s="974">
        <f t="shared" si="21"/>
        <v>0</v>
      </c>
      <c r="R125" s="984">
        <f t="shared" si="21"/>
        <v>15625</v>
      </c>
      <c r="S125" s="974">
        <f t="shared" si="21"/>
        <v>15625</v>
      </c>
      <c r="T125" s="974">
        <f t="shared" si="21"/>
        <v>0</v>
      </c>
      <c r="U125" s="984">
        <f t="shared" si="21"/>
        <v>0</v>
      </c>
      <c r="V125" s="974">
        <f t="shared" si="21"/>
        <v>0</v>
      </c>
      <c r="W125" s="974">
        <f t="shared" si="21"/>
        <v>0</v>
      </c>
    </row>
    <row r="126" spans="1:23" s="308" customFormat="1" ht="12.75" customHeight="1">
      <c r="A126" s="910"/>
      <c r="B126" s="988"/>
      <c r="C126" s="987"/>
      <c r="D126" s="914"/>
      <c r="E126" s="988"/>
      <c r="F126" s="910"/>
      <c r="G126" s="307">
        <v>0</v>
      </c>
      <c r="H126" s="307">
        <v>0</v>
      </c>
      <c r="I126" s="909"/>
      <c r="J126" s="984"/>
      <c r="K126" s="984"/>
      <c r="L126" s="974"/>
      <c r="M126" s="974"/>
      <c r="N126" s="984"/>
      <c r="O126" s="984"/>
      <c r="P126" s="974"/>
      <c r="Q126" s="974"/>
      <c r="R126" s="984"/>
      <c r="S126" s="974"/>
      <c r="T126" s="974"/>
      <c r="U126" s="984"/>
      <c r="V126" s="974"/>
      <c r="W126" s="974"/>
    </row>
    <row r="127" spans="1:23" s="308" customFormat="1" ht="12.75" hidden="1" customHeight="1">
      <c r="A127" s="910">
        <v>6</v>
      </c>
      <c r="B127" s="988" t="s">
        <v>822</v>
      </c>
      <c r="C127" s="985" t="s">
        <v>825</v>
      </c>
      <c r="D127" s="914" t="s">
        <v>826</v>
      </c>
      <c r="E127" s="988" t="s">
        <v>710</v>
      </c>
      <c r="F127" s="910" t="s">
        <v>809</v>
      </c>
      <c r="G127" s="307">
        <f>G129+G128+G130+G131</f>
        <v>31650489</v>
      </c>
      <c r="H127" s="307">
        <f>H129+H128+H130+H131</f>
        <v>0</v>
      </c>
      <c r="I127" s="908" t="s">
        <v>0</v>
      </c>
      <c r="J127" s="984">
        <f>K127+N127</f>
        <v>12496687</v>
      </c>
      <c r="K127" s="984">
        <f>L127+M127</f>
        <v>11181246</v>
      </c>
      <c r="L127" s="974">
        <v>11181246</v>
      </c>
      <c r="M127" s="974">
        <v>0</v>
      </c>
      <c r="N127" s="984">
        <f>O127+R127+U127</f>
        <v>1315441</v>
      </c>
      <c r="O127" s="984">
        <f>P127+Q127</f>
        <v>1315441</v>
      </c>
      <c r="P127" s="974">
        <v>1315441</v>
      </c>
      <c r="Q127" s="974">
        <v>0</v>
      </c>
      <c r="R127" s="984">
        <f>S127+T127</f>
        <v>0</v>
      </c>
      <c r="S127" s="974">
        <v>0</v>
      </c>
      <c r="T127" s="974">
        <v>0</v>
      </c>
      <c r="U127" s="984">
        <f>V127+W127</f>
        <v>0</v>
      </c>
      <c r="V127" s="974">
        <v>0</v>
      </c>
      <c r="W127" s="974">
        <v>0</v>
      </c>
    </row>
    <row r="128" spans="1:23" s="308" customFormat="1" ht="12.75" hidden="1" customHeight="1">
      <c r="A128" s="910"/>
      <c r="B128" s="988"/>
      <c r="C128" s="986"/>
      <c r="D128" s="914"/>
      <c r="E128" s="988"/>
      <c r="F128" s="910"/>
      <c r="G128" s="307">
        <v>28318858</v>
      </c>
      <c r="H128" s="307">
        <v>0</v>
      </c>
      <c r="I128" s="909"/>
      <c r="J128" s="984"/>
      <c r="K128" s="984"/>
      <c r="L128" s="974"/>
      <c r="M128" s="974"/>
      <c r="N128" s="984"/>
      <c r="O128" s="984"/>
      <c r="P128" s="974"/>
      <c r="Q128" s="974"/>
      <c r="R128" s="984"/>
      <c r="S128" s="974"/>
      <c r="T128" s="974"/>
      <c r="U128" s="984"/>
      <c r="V128" s="974"/>
      <c r="W128" s="974"/>
    </row>
    <row r="129" spans="1:23" s="308" customFormat="1" ht="12.75" hidden="1" customHeight="1">
      <c r="A129" s="910"/>
      <c r="B129" s="988"/>
      <c r="C129" s="986"/>
      <c r="D129" s="914"/>
      <c r="E129" s="988"/>
      <c r="F129" s="910"/>
      <c r="G129" s="307">
        <v>3331631</v>
      </c>
      <c r="H129" s="307">
        <v>0</v>
      </c>
      <c r="I129" s="286" t="s">
        <v>1</v>
      </c>
      <c r="J129" s="309">
        <f>K129+N129</f>
        <v>0</v>
      </c>
      <c r="K129" s="309">
        <f>L129+M129</f>
        <v>0</v>
      </c>
      <c r="L129" s="310">
        <v>0</v>
      </c>
      <c r="M129" s="310">
        <v>0</v>
      </c>
      <c r="N129" s="309">
        <f>O129+R129+U129</f>
        <v>0</v>
      </c>
      <c r="O129" s="309">
        <f>P129+Q129</f>
        <v>0</v>
      </c>
      <c r="P129" s="310">
        <v>0</v>
      </c>
      <c r="Q129" s="310">
        <v>0</v>
      </c>
      <c r="R129" s="309">
        <f>S129+T129</f>
        <v>0</v>
      </c>
      <c r="S129" s="310">
        <v>0</v>
      </c>
      <c r="T129" s="310">
        <v>0</v>
      </c>
      <c r="U129" s="309">
        <f>V129+W129</f>
        <v>0</v>
      </c>
      <c r="V129" s="310">
        <v>0</v>
      </c>
      <c r="W129" s="310">
        <v>0</v>
      </c>
    </row>
    <row r="130" spans="1:23" s="308" customFormat="1" ht="12.75" hidden="1" customHeight="1">
      <c r="A130" s="910"/>
      <c r="B130" s="988"/>
      <c r="C130" s="986"/>
      <c r="D130" s="914"/>
      <c r="E130" s="988"/>
      <c r="F130" s="910"/>
      <c r="G130" s="307">
        <v>0</v>
      </c>
      <c r="H130" s="307">
        <v>0</v>
      </c>
      <c r="I130" s="908" t="s">
        <v>2</v>
      </c>
      <c r="J130" s="984">
        <f t="shared" ref="J130:W130" si="22">J127+J129</f>
        <v>12496687</v>
      </c>
      <c r="K130" s="984">
        <f t="shared" si="22"/>
        <v>11181246</v>
      </c>
      <c r="L130" s="974">
        <f t="shared" si="22"/>
        <v>11181246</v>
      </c>
      <c r="M130" s="974">
        <f t="shared" si="22"/>
        <v>0</v>
      </c>
      <c r="N130" s="984">
        <f t="shared" si="22"/>
        <v>1315441</v>
      </c>
      <c r="O130" s="984">
        <f t="shared" si="22"/>
        <v>1315441</v>
      </c>
      <c r="P130" s="974">
        <f t="shared" si="22"/>
        <v>1315441</v>
      </c>
      <c r="Q130" s="974">
        <f t="shared" si="22"/>
        <v>0</v>
      </c>
      <c r="R130" s="984">
        <f t="shared" si="22"/>
        <v>0</v>
      </c>
      <c r="S130" s="974">
        <f t="shared" si="22"/>
        <v>0</v>
      </c>
      <c r="T130" s="974">
        <f t="shared" si="22"/>
        <v>0</v>
      </c>
      <c r="U130" s="984">
        <f t="shared" si="22"/>
        <v>0</v>
      </c>
      <c r="V130" s="974">
        <f t="shared" si="22"/>
        <v>0</v>
      </c>
      <c r="W130" s="974">
        <f t="shared" si="22"/>
        <v>0</v>
      </c>
    </row>
    <row r="131" spans="1:23" s="308" customFormat="1" ht="12.75" hidden="1" customHeight="1">
      <c r="A131" s="910"/>
      <c r="B131" s="988"/>
      <c r="C131" s="987"/>
      <c r="D131" s="914"/>
      <c r="E131" s="988"/>
      <c r="F131" s="910"/>
      <c r="G131" s="307">
        <v>0</v>
      </c>
      <c r="H131" s="307">
        <v>0</v>
      </c>
      <c r="I131" s="909"/>
      <c r="J131" s="984"/>
      <c r="K131" s="984"/>
      <c r="L131" s="974"/>
      <c r="M131" s="974"/>
      <c r="N131" s="984"/>
      <c r="O131" s="984"/>
      <c r="P131" s="974"/>
      <c r="Q131" s="974"/>
      <c r="R131" s="984"/>
      <c r="S131" s="974"/>
      <c r="T131" s="974"/>
      <c r="U131" s="984"/>
      <c r="V131" s="974"/>
      <c r="W131" s="974"/>
    </row>
    <row r="132" spans="1:23" s="308" customFormat="1" ht="12.75" hidden="1" customHeight="1">
      <c r="A132" s="910">
        <v>7</v>
      </c>
      <c r="B132" s="988" t="s">
        <v>822</v>
      </c>
      <c r="C132" s="985" t="s">
        <v>827</v>
      </c>
      <c r="D132" s="914" t="s">
        <v>826</v>
      </c>
      <c r="E132" s="988" t="s">
        <v>710</v>
      </c>
      <c r="F132" s="910" t="s">
        <v>828</v>
      </c>
      <c r="G132" s="307">
        <f>G134+G133+G135+G136</f>
        <v>24511150</v>
      </c>
      <c r="H132" s="307">
        <f>H134+H133+H135+H136</f>
        <v>0</v>
      </c>
      <c r="I132" s="908" t="s">
        <v>0</v>
      </c>
      <c r="J132" s="984">
        <f>K132+N132</f>
        <v>3838881</v>
      </c>
      <c r="K132" s="984">
        <f>L132+M132</f>
        <v>3434788</v>
      </c>
      <c r="L132" s="974">
        <v>2540051</v>
      </c>
      <c r="M132" s="974">
        <v>894737</v>
      </c>
      <c r="N132" s="984">
        <f>O132+R132+U132</f>
        <v>404093</v>
      </c>
      <c r="O132" s="984">
        <f>P132+Q132</f>
        <v>404093</v>
      </c>
      <c r="P132" s="974">
        <v>298830</v>
      </c>
      <c r="Q132" s="974">
        <v>105263</v>
      </c>
      <c r="R132" s="984">
        <f>S132+T132</f>
        <v>0</v>
      </c>
      <c r="S132" s="974">
        <v>0</v>
      </c>
      <c r="T132" s="974">
        <v>0</v>
      </c>
      <c r="U132" s="984">
        <f>V132+W132</f>
        <v>0</v>
      </c>
      <c r="V132" s="974">
        <v>0</v>
      </c>
      <c r="W132" s="974">
        <v>0</v>
      </c>
    </row>
    <row r="133" spans="1:23" s="308" customFormat="1" ht="12.75" hidden="1" customHeight="1">
      <c r="A133" s="910"/>
      <c r="B133" s="988"/>
      <c r="C133" s="986"/>
      <c r="D133" s="914"/>
      <c r="E133" s="988"/>
      <c r="F133" s="910"/>
      <c r="G133" s="307">
        <v>21931028</v>
      </c>
      <c r="H133" s="307">
        <v>0</v>
      </c>
      <c r="I133" s="909"/>
      <c r="J133" s="984"/>
      <c r="K133" s="984"/>
      <c r="L133" s="974"/>
      <c r="M133" s="974"/>
      <c r="N133" s="984"/>
      <c r="O133" s="984"/>
      <c r="P133" s="974"/>
      <c r="Q133" s="974"/>
      <c r="R133" s="984"/>
      <c r="S133" s="974"/>
      <c r="T133" s="974"/>
      <c r="U133" s="984"/>
      <c r="V133" s="974"/>
      <c r="W133" s="974"/>
    </row>
    <row r="134" spans="1:23" s="308" customFormat="1" ht="12.75" hidden="1" customHeight="1">
      <c r="A134" s="910"/>
      <c r="B134" s="988"/>
      <c r="C134" s="986"/>
      <c r="D134" s="914"/>
      <c r="E134" s="988"/>
      <c r="F134" s="910"/>
      <c r="G134" s="307">
        <v>2580122</v>
      </c>
      <c r="H134" s="307">
        <v>0</v>
      </c>
      <c r="I134" s="286" t="s">
        <v>1</v>
      </c>
      <c r="J134" s="309">
        <f>K134+N134</f>
        <v>0</v>
      </c>
      <c r="K134" s="309">
        <f>L134+M134</f>
        <v>0</v>
      </c>
      <c r="L134" s="310">
        <v>0</v>
      </c>
      <c r="M134" s="310">
        <v>0</v>
      </c>
      <c r="N134" s="309">
        <f>O134+R134+U134</f>
        <v>0</v>
      </c>
      <c r="O134" s="309">
        <f>P134+Q134</f>
        <v>0</v>
      </c>
      <c r="P134" s="310">
        <v>0</v>
      </c>
      <c r="Q134" s="310">
        <v>0</v>
      </c>
      <c r="R134" s="309">
        <f>S134+T134</f>
        <v>0</v>
      </c>
      <c r="S134" s="310">
        <v>0</v>
      </c>
      <c r="T134" s="310">
        <v>0</v>
      </c>
      <c r="U134" s="309">
        <f>V134+W134</f>
        <v>0</v>
      </c>
      <c r="V134" s="310">
        <v>0</v>
      </c>
      <c r="W134" s="310">
        <v>0</v>
      </c>
    </row>
    <row r="135" spans="1:23" s="308" customFormat="1" ht="12.75" hidden="1" customHeight="1">
      <c r="A135" s="910"/>
      <c r="B135" s="988"/>
      <c r="C135" s="986"/>
      <c r="D135" s="914"/>
      <c r="E135" s="988"/>
      <c r="F135" s="910"/>
      <c r="G135" s="307">
        <v>0</v>
      </c>
      <c r="H135" s="307">
        <v>0</v>
      </c>
      <c r="I135" s="908" t="s">
        <v>2</v>
      </c>
      <c r="J135" s="984">
        <f t="shared" ref="J135:W135" si="23">J132+J134</f>
        <v>3838881</v>
      </c>
      <c r="K135" s="984">
        <f t="shared" si="23"/>
        <v>3434788</v>
      </c>
      <c r="L135" s="974">
        <f t="shared" si="23"/>
        <v>2540051</v>
      </c>
      <c r="M135" s="974">
        <f t="shared" si="23"/>
        <v>894737</v>
      </c>
      <c r="N135" s="984">
        <f t="shared" si="23"/>
        <v>404093</v>
      </c>
      <c r="O135" s="984">
        <f t="shared" si="23"/>
        <v>404093</v>
      </c>
      <c r="P135" s="974">
        <f t="shared" si="23"/>
        <v>298830</v>
      </c>
      <c r="Q135" s="974">
        <f t="shared" si="23"/>
        <v>105263</v>
      </c>
      <c r="R135" s="984">
        <f t="shared" si="23"/>
        <v>0</v>
      </c>
      <c r="S135" s="974">
        <f t="shared" si="23"/>
        <v>0</v>
      </c>
      <c r="T135" s="974">
        <f t="shared" si="23"/>
        <v>0</v>
      </c>
      <c r="U135" s="984">
        <f t="shared" si="23"/>
        <v>0</v>
      </c>
      <c r="V135" s="974">
        <f t="shared" si="23"/>
        <v>0</v>
      </c>
      <c r="W135" s="974">
        <f t="shared" si="23"/>
        <v>0</v>
      </c>
    </row>
    <row r="136" spans="1:23" s="308" customFormat="1" ht="12.75" hidden="1" customHeight="1">
      <c r="A136" s="910"/>
      <c r="B136" s="988"/>
      <c r="C136" s="987"/>
      <c r="D136" s="914"/>
      <c r="E136" s="988"/>
      <c r="F136" s="910"/>
      <c r="G136" s="307">
        <v>0</v>
      </c>
      <c r="H136" s="307">
        <v>0</v>
      </c>
      <c r="I136" s="909"/>
      <c r="J136" s="984"/>
      <c r="K136" s="984"/>
      <c r="L136" s="974"/>
      <c r="M136" s="974"/>
      <c r="N136" s="984"/>
      <c r="O136" s="984"/>
      <c r="P136" s="974"/>
      <c r="Q136" s="974"/>
      <c r="R136" s="984"/>
      <c r="S136" s="974"/>
      <c r="T136" s="974"/>
      <c r="U136" s="984"/>
      <c r="V136" s="974"/>
      <c r="W136" s="974"/>
    </row>
    <row r="137" spans="1:23" s="308" customFormat="1" ht="12.75" customHeight="1">
      <c r="A137" s="910">
        <v>10</v>
      </c>
      <c r="B137" s="988" t="s">
        <v>829</v>
      </c>
      <c r="C137" s="985" t="s">
        <v>830</v>
      </c>
      <c r="D137" s="914" t="s">
        <v>826</v>
      </c>
      <c r="E137" s="988" t="s">
        <v>710</v>
      </c>
      <c r="F137" s="910" t="s">
        <v>776</v>
      </c>
      <c r="G137" s="307">
        <f>G139+G138+G140+G141</f>
        <v>8200609</v>
      </c>
      <c r="H137" s="307">
        <f>H139+H138+H140+H141</f>
        <v>11424</v>
      </c>
      <c r="I137" s="908" t="s">
        <v>0</v>
      </c>
      <c r="J137" s="984">
        <f>K137+N137</f>
        <v>2555576</v>
      </c>
      <c r="K137" s="984">
        <f>L137+M137</f>
        <v>2286568</v>
      </c>
      <c r="L137" s="974">
        <v>2286568</v>
      </c>
      <c r="M137" s="974">
        <v>0</v>
      </c>
      <c r="N137" s="984">
        <f>O137+R137+U137</f>
        <v>269008</v>
      </c>
      <c r="O137" s="984">
        <f>P137+Q137</f>
        <v>269008</v>
      </c>
      <c r="P137" s="974">
        <v>269008</v>
      </c>
      <c r="Q137" s="974">
        <v>0</v>
      </c>
      <c r="R137" s="984">
        <f>S137+T137</f>
        <v>0</v>
      </c>
      <c r="S137" s="974">
        <v>0</v>
      </c>
      <c r="T137" s="974">
        <v>0</v>
      </c>
      <c r="U137" s="984">
        <f>V137+W137</f>
        <v>0</v>
      </c>
      <c r="V137" s="974">
        <v>0</v>
      </c>
      <c r="W137" s="974">
        <v>0</v>
      </c>
    </row>
    <row r="138" spans="1:23" s="308" customFormat="1" ht="12.75" customHeight="1">
      <c r="A138" s="910"/>
      <c r="B138" s="988"/>
      <c r="C138" s="986"/>
      <c r="D138" s="914"/>
      <c r="E138" s="988"/>
      <c r="F138" s="910"/>
      <c r="G138" s="307">
        <v>7337387</v>
      </c>
      <c r="H138" s="307">
        <v>10221</v>
      </c>
      <c r="I138" s="909"/>
      <c r="J138" s="984"/>
      <c r="K138" s="984"/>
      <c r="L138" s="974"/>
      <c r="M138" s="974"/>
      <c r="N138" s="984"/>
      <c r="O138" s="984"/>
      <c r="P138" s="974"/>
      <c r="Q138" s="974"/>
      <c r="R138" s="984"/>
      <c r="S138" s="974"/>
      <c r="T138" s="974"/>
      <c r="U138" s="984"/>
      <c r="V138" s="974"/>
      <c r="W138" s="974"/>
    </row>
    <row r="139" spans="1:23" s="308" customFormat="1" ht="12.75" customHeight="1">
      <c r="A139" s="910"/>
      <c r="B139" s="988"/>
      <c r="C139" s="986"/>
      <c r="D139" s="914"/>
      <c r="E139" s="988"/>
      <c r="F139" s="910"/>
      <c r="G139" s="307">
        <v>863222</v>
      </c>
      <c r="H139" s="307">
        <v>1203</v>
      </c>
      <c r="I139" s="286" t="s">
        <v>1</v>
      </c>
      <c r="J139" s="309">
        <f>K139+N139</f>
        <v>223415</v>
      </c>
      <c r="K139" s="309">
        <f>L139+M139</f>
        <v>199898</v>
      </c>
      <c r="L139" s="310">
        <v>199898</v>
      </c>
      <c r="M139" s="310">
        <v>0</v>
      </c>
      <c r="N139" s="309">
        <f>O139+R139+U139</f>
        <v>23517</v>
      </c>
      <c r="O139" s="309">
        <f>P139+Q139</f>
        <v>23517</v>
      </c>
      <c r="P139" s="310">
        <v>23517</v>
      </c>
      <c r="Q139" s="310">
        <v>0</v>
      </c>
      <c r="R139" s="309">
        <f>S139+T139</f>
        <v>0</v>
      </c>
      <c r="S139" s="310">
        <v>0</v>
      </c>
      <c r="T139" s="310">
        <v>0</v>
      </c>
      <c r="U139" s="309">
        <f>V139+W139</f>
        <v>0</v>
      </c>
      <c r="V139" s="310">
        <v>0</v>
      </c>
      <c r="W139" s="310">
        <v>0</v>
      </c>
    </row>
    <row r="140" spans="1:23" s="308" customFormat="1" ht="12.75" customHeight="1">
      <c r="A140" s="910"/>
      <c r="B140" s="988"/>
      <c r="C140" s="986"/>
      <c r="D140" s="914"/>
      <c r="E140" s="988"/>
      <c r="F140" s="910"/>
      <c r="G140" s="307">
        <v>0</v>
      </c>
      <c r="H140" s="307">
        <v>0</v>
      </c>
      <c r="I140" s="908" t="s">
        <v>2</v>
      </c>
      <c r="J140" s="984">
        <f t="shared" ref="J140:W140" si="24">J137+J139</f>
        <v>2778991</v>
      </c>
      <c r="K140" s="984">
        <f t="shared" si="24"/>
        <v>2486466</v>
      </c>
      <c r="L140" s="974">
        <f t="shared" si="24"/>
        <v>2486466</v>
      </c>
      <c r="M140" s="974">
        <f t="shared" si="24"/>
        <v>0</v>
      </c>
      <c r="N140" s="984">
        <f t="shared" si="24"/>
        <v>292525</v>
      </c>
      <c r="O140" s="984">
        <f t="shared" si="24"/>
        <v>292525</v>
      </c>
      <c r="P140" s="974">
        <f t="shared" si="24"/>
        <v>292525</v>
      </c>
      <c r="Q140" s="974">
        <f t="shared" si="24"/>
        <v>0</v>
      </c>
      <c r="R140" s="984">
        <f t="shared" si="24"/>
        <v>0</v>
      </c>
      <c r="S140" s="974">
        <f t="shared" si="24"/>
        <v>0</v>
      </c>
      <c r="T140" s="974">
        <f t="shared" si="24"/>
        <v>0</v>
      </c>
      <c r="U140" s="984">
        <f t="shared" si="24"/>
        <v>0</v>
      </c>
      <c r="V140" s="974">
        <f t="shared" si="24"/>
        <v>0</v>
      </c>
      <c r="W140" s="974">
        <f t="shared" si="24"/>
        <v>0</v>
      </c>
    </row>
    <row r="141" spans="1:23" s="308" customFormat="1" ht="12.75" customHeight="1">
      <c r="A141" s="910"/>
      <c r="B141" s="988"/>
      <c r="C141" s="987"/>
      <c r="D141" s="914"/>
      <c r="E141" s="988"/>
      <c r="F141" s="910"/>
      <c r="G141" s="307">
        <v>0</v>
      </c>
      <c r="H141" s="307">
        <v>0</v>
      </c>
      <c r="I141" s="909"/>
      <c r="J141" s="984"/>
      <c r="K141" s="984"/>
      <c r="L141" s="974"/>
      <c r="M141" s="974"/>
      <c r="N141" s="984"/>
      <c r="O141" s="984"/>
      <c r="P141" s="974"/>
      <c r="Q141" s="974"/>
      <c r="R141" s="984"/>
      <c r="S141" s="974"/>
      <c r="T141" s="974"/>
      <c r="U141" s="984"/>
      <c r="V141" s="974"/>
      <c r="W141" s="974"/>
    </row>
    <row r="142" spans="1:23" s="308" customFormat="1" ht="12.75" hidden="1" customHeight="1">
      <c r="A142" s="910">
        <v>8</v>
      </c>
      <c r="B142" s="988" t="s">
        <v>829</v>
      </c>
      <c r="C142" s="985" t="s">
        <v>831</v>
      </c>
      <c r="D142" s="914" t="s">
        <v>826</v>
      </c>
      <c r="E142" s="988" t="s">
        <v>710</v>
      </c>
      <c r="F142" s="910" t="s">
        <v>809</v>
      </c>
      <c r="G142" s="307">
        <f>G144+G143+G145+G146</f>
        <v>9803478</v>
      </c>
      <c r="H142" s="307">
        <f>H144+H143+H145+H146</f>
        <v>0</v>
      </c>
      <c r="I142" s="908" t="s">
        <v>0</v>
      </c>
      <c r="J142" s="984">
        <f>K142+N142</f>
        <v>3279822</v>
      </c>
      <c r="K142" s="984">
        <f>L142+M142</f>
        <v>2934577</v>
      </c>
      <c r="L142" s="974">
        <v>2934577</v>
      </c>
      <c r="M142" s="974">
        <v>0</v>
      </c>
      <c r="N142" s="984">
        <f>O142+R142+U142</f>
        <v>345245</v>
      </c>
      <c r="O142" s="984">
        <f>P142+Q142</f>
        <v>345245</v>
      </c>
      <c r="P142" s="974">
        <v>345245</v>
      </c>
      <c r="Q142" s="974">
        <v>0</v>
      </c>
      <c r="R142" s="984">
        <f>S142+T142</f>
        <v>0</v>
      </c>
      <c r="S142" s="974">
        <v>0</v>
      </c>
      <c r="T142" s="974">
        <v>0</v>
      </c>
      <c r="U142" s="984">
        <f>V142+W142</f>
        <v>0</v>
      </c>
      <c r="V142" s="974">
        <v>0</v>
      </c>
      <c r="W142" s="974">
        <v>0</v>
      </c>
    </row>
    <row r="143" spans="1:23" s="308" customFormat="1" ht="12.75" hidden="1" customHeight="1">
      <c r="A143" s="910"/>
      <c r="B143" s="988"/>
      <c r="C143" s="986"/>
      <c r="D143" s="914"/>
      <c r="E143" s="988"/>
      <c r="F143" s="910"/>
      <c r="G143" s="307">
        <v>8771533</v>
      </c>
      <c r="H143" s="307">
        <v>0</v>
      </c>
      <c r="I143" s="909"/>
      <c r="J143" s="984"/>
      <c r="K143" s="984"/>
      <c r="L143" s="974"/>
      <c r="M143" s="974"/>
      <c r="N143" s="984"/>
      <c r="O143" s="984"/>
      <c r="P143" s="974"/>
      <c r="Q143" s="974"/>
      <c r="R143" s="984"/>
      <c r="S143" s="974"/>
      <c r="T143" s="974"/>
      <c r="U143" s="984"/>
      <c r="V143" s="974"/>
      <c r="W143" s="974"/>
    </row>
    <row r="144" spans="1:23" s="308" customFormat="1" ht="12.75" hidden="1" customHeight="1">
      <c r="A144" s="910"/>
      <c r="B144" s="988"/>
      <c r="C144" s="986"/>
      <c r="D144" s="914"/>
      <c r="E144" s="988"/>
      <c r="F144" s="910"/>
      <c r="G144" s="307">
        <v>1031945</v>
      </c>
      <c r="H144" s="307">
        <v>0</v>
      </c>
      <c r="I144" s="286" t="s">
        <v>1</v>
      </c>
      <c r="J144" s="309">
        <f>K144+N144</f>
        <v>0</v>
      </c>
      <c r="K144" s="309">
        <f>L144+M144</f>
        <v>0</v>
      </c>
      <c r="L144" s="310">
        <v>0</v>
      </c>
      <c r="M144" s="310">
        <v>0</v>
      </c>
      <c r="N144" s="309">
        <f>O144+R144+U144</f>
        <v>0</v>
      </c>
      <c r="O144" s="309">
        <f>P144+Q144</f>
        <v>0</v>
      </c>
      <c r="P144" s="310">
        <v>0</v>
      </c>
      <c r="Q144" s="310">
        <v>0</v>
      </c>
      <c r="R144" s="309">
        <f>S144+T144</f>
        <v>0</v>
      </c>
      <c r="S144" s="310">
        <v>0</v>
      </c>
      <c r="T144" s="310">
        <v>0</v>
      </c>
      <c r="U144" s="309">
        <f>V144+W144</f>
        <v>0</v>
      </c>
      <c r="V144" s="310">
        <v>0</v>
      </c>
      <c r="W144" s="310">
        <v>0</v>
      </c>
    </row>
    <row r="145" spans="1:23" s="308" customFormat="1" ht="12.75" hidden="1" customHeight="1">
      <c r="A145" s="910"/>
      <c r="B145" s="988"/>
      <c r="C145" s="986"/>
      <c r="D145" s="914"/>
      <c r="E145" s="988"/>
      <c r="F145" s="910"/>
      <c r="G145" s="307">
        <v>0</v>
      </c>
      <c r="H145" s="307">
        <v>0</v>
      </c>
      <c r="I145" s="908" t="s">
        <v>2</v>
      </c>
      <c r="J145" s="984">
        <f t="shared" ref="J145:W145" si="25">J142+J144</f>
        <v>3279822</v>
      </c>
      <c r="K145" s="984">
        <f t="shared" si="25"/>
        <v>2934577</v>
      </c>
      <c r="L145" s="974">
        <f t="shared" si="25"/>
        <v>2934577</v>
      </c>
      <c r="M145" s="974">
        <f t="shared" si="25"/>
        <v>0</v>
      </c>
      <c r="N145" s="984">
        <f t="shared" si="25"/>
        <v>345245</v>
      </c>
      <c r="O145" s="984">
        <f t="shared" si="25"/>
        <v>345245</v>
      </c>
      <c r="P145" s="974">
        <f t="shared" si="25"/>
        <v>345245</v>
      </c>
      <c r="Q145" s="974">
        <f t="shared" si="25"/>
        <v>0</v>
      </c>
      <c r="R145" s="984">
        <f t="shared" si="25"/>
        <v>0</v>
      </c>
      <c r="S145" s="974">
        <f t="shared" si="25"/>
        <v>0</v>
      </c>
      <c r="T145" s="974">
        <f t="shared" si="25"/>
        <v>0</v>
      </c>
      <c r="U145" s="984">
        <f t="shared" si="25"/>
        <v>0</v>
      </c>
      <c r="V145" s="974">
        <f t="shared" si="25"/>
        <v>0</v>
      </c>
      <c r="W145" s="974">
        <f t="shared" si="25"/>
        <v>0</v>
      </c>
    </row>
    <row r="146" spans="1:23" s="308" customFormat="1" ht="12.75" hidden="1" customHeight="1">
      <c r="A146" s="910"/>
      <c r="B146" s="988"/>
      <c r="C146" s="987"/>
      <c r="D146" s="914"/>
      <c r="E146" s="988"/>
      <c r="F146" s="910"/>
      <c r="G146" s="307">
        <v>0</v>
      </c>
      <c r="H146" s="307">
        <v>0</v>
      </c>
      <c r="I146" s="909"/>
      <c r="J146" s="984"/>
      <c r="K146" s="984"/>
      <c r="L146" s="974"/>
      <c r="M146" s="974"/>
      <c r="N146" s="984"/>
      <c r="O146" s="984"/>
      <c r="P146" s="974"/>
      <c r="Q146" s="974"/>
      <c r="R146" s="984"/>
      <c r="S146" s="974"/>
      <c r="T146" s="974"/>
      <c r="U146" s="984"/>
      <c r="V146" s="974"/>
      <c r="W146" s="974"/>
    </row>
    <row r="147" spans="1:23" s="308" customFormat="1" ht="12.75" hidden="1" customHeight="1">
      <c r="A147" s="910">
        <v>2</v>
      </c>
      <c r="B147" s="988" t="s">
        <v>829</v>
      </c>
      <c r="C147" s="985" t="s">
        <v>832</v>
      </c>
      <c r="D147" s="914" t="s">
        <v>826</v>
      </c>
      <c r="E147" s="988" t="s">
        <v>833</v>
      </c>
      <c r="F147" s="910" t="s">
        <v>809</v>
      </c>
      <c r="G147" s="307">
        <f>G149+G148+G150+G151</f>
        <v>45186706</v>
      </c>
      <c r="H147" s="307">
        <f>H149+H148+H150+H151</f>
        <v>0</v>
      </c>
      <c r="I147" s="908" t="s">
        <v>0</v>
      </c>
      <c r="J147" s="984">
        <f>K147+N147</f>
        <v>13677992</v>
      </c>
      <c r="K147" s="984">
        <f>L147+M147</f>
        <v>12238203</v>
      </c>
      <c r="L147" s="974">
        <v>12238203</v>
      </c>
      <c r="M147" s="974">
        <v>0</v>
      </c>
      <c r="N147" s="984">
        <f>O147+R147+U147</f>
        <v>1439789</v>
      </c>
      <c r="O147" s="984">
        <f>P147+Q147</f>
        <v>1439789</v>
      </c>
      <c r="P147" s="974">
        <v>1439789</v>
      </c>
      <c r="Q147" s="974">
        <v>0</v>
      </c>
      <c r="R147" s="984">
        <f>S147+T147</f>
        <v>0</v>
      </c>
      <c r="S147" s="974">
        <v>0</v>
      </c>
      <c r="T147" s="974">
        <v>0</v>
      </c>
      <c r="U147" s="984">
        <f>V147+W147</f>
        <v>0</v>
      </c>
      <c r="V147" s="974">
        <v>0</v>
      </c>
      <c r="W147" s="974">
        <v>0</v>
      </c>
    </row>
    <row r="148" spans="1:23" s="308" customFormat="1" ht="12.75" hidden="1" customHeight="1">
      <c r="A148" s="910"/>
      <c r="B148" s="988"/>
      <c r="C148" s="986"/>
      <c r="D148" s="914"/>
      <c r="E148" s="988"/>
      <c r="F148" s="910"/>
      <c r="G148" s="307">
        <v>40430210</v>
      </c>
      <c r="H148" s="307">
        <v>0</v>
      </c>
      <c r="I148" s="909"/>
      <c r="J148" s="984"/>
      <c r="K148" s="984"/>
      <c r="L148" s="974"/>
      <c r="M148" s="974"/>
      <c r="N148" s="984"/>
      <c r="O148" s="984"/>
      <c r="P148" s="974"/>
      <c r="Q148" s="974"/>
      <c r="R148" s="984"/>
      <c r="S148" s="974"/>
      <c r="T148" s="974"/>
      <c r="U148" s="984"/>
      <c r="V148" s="974"/>
      <c r="W148" s="974"/>
    </row>
    <row r="149" spans="1:23" s="308" customFormat="1" ht="12.75" hidden="1" customHeight="1">
      <c r="A149" s="910"/>
      <c r="B149" s="988"/>
      <c r="C149" s="986"/>
      <c r="D149" s="914"/>
      <c r="E149" s="988"/>
      <c r="F149" s="910"/>
      <c r="G149" s="307">
        <v>4756496</v>
      </c>
      <c r="H149" s="307">
        <v>0</v>
      </c>
      <c r="I149" s="286" t="s">
        <v>1</v>
      </c>
      <c r="J149" s="309">
        <f>K149+N149</f>
        <v>0</v>
      </c>
      <c r="K149" s="309">
        <f>L149+M149</f>
        <v>0</v>
      </c>
      <c r="L149" s="310">
        <v>0</v>
      </c>
      <c r="M149" s="310">
        <v>0</v>
      </c>
      <c r="N149" s="309">
        <f>O149+R149+U149</f>
        <v>0</v>
      </c>
      <c r="O149" s="309">
        <f>P149+Q149</f>
        <v>0</v>
      </c>
      <c r="P149" s="310">
        <v>0</v>
      </c>
      <c r="Q149" s="310">
        <v>0</v>
      </c>
      <c r="R149" s="309">
        <f>S149+T149</f>
        <v>0</v>
      </c>
      <c r="S149" s="310">
        <v>0</v>
      </c>
      <c r="T149" s="310">
        <v>0</v>
      </c>
      <c r="U149" s="309">
        <f>V149+W149</f>
        <v>0</v>
      </c>
      <c r="V149" s="310">
        <v>0</v>
      </c>
      <c r="W149" s="310">
        <v>0</v>
      </c>
    </row>
    <row r="150" spans="1:23" s="308" customFormat="1" ht="12.75" hidden="1" customHeight="1">
      <c r="A150" s="910"/>
      <c r="B150" s="988"/>
      <c r="C150" s="986"/>
      <c r="D150" s="914"/>
      <c r="E150" s="988"/>
      <c r="F150" s="910"/>
      <c r="G150" s="307">
        <v>0</v>
      </c>
      <c r="H150" s="307">
        <v>0</v>
      </c>
      <c r="I150" s="908" t="s">
        <v>2</v>
      </c>
      <c r="J150" s="984">
        <f t="shared" ref="J150:W150" si="26">J147+J149</f>
        <v>13677992</v>
      </c>
      <c r="K150" s="984">
        <f t="shared" si="26"/>
        <v>12238203</v>
      </c>
      <c r="L150" s="974">
        <f t="shared" si="26"/>
        <v>12238203</v>
      </c>
      <c r="M150" s="974">
        <f t="shared" si="26"/>
        <v>0</v>
      </c>
      <c r="N150" s="984">
        <f t="shared" si="26"/>
        <v>1439789</v>
      </c>
      <c r="O150" s="984">
        <f t="shared" si="26"/>
        <v>1439789</v>
      </c>
      <c r="P150" s="974">
        <f t="shared" si="26"/>
        <v>1439789</v>
      </c>
      <c r="Q150" s="974">
        <f t="shared" si="26"/>
        <v>0</v>
      </c>
      <c r="R150" s="984">
        <f t="shared" si="26"/>
        <v>0</v>
      </c>
      <c r="S150" s="974">
        <f t="shared" si="26"/>
        <v>0</v>
      </c>
      <c r="T150" s="974">
        <f t="shared" si="26"/>
        <v>0</v>
      </c>
      <c r="U150" s="984">
        <f t="shared" si="26"/>
        <v>0</v>
      </c>
      <c r="V150" s="974">
        <f t="shared" si="26"/>
        <v>0</v>
      </c>
      <c r="W150" s="974">
        <f t="shared" si="26"/>
        <v>0</v>
      </c>
    </row>
    <row r="151" spans="1:23" s="308" customFormat="1" ht="12.75" hidden="1" customHeight="1">
      <c r="A151" s="910"/>
      <c r="B151" s="988"/>
      <c r="C151" s="987"/>
      <c r="D151" s="914"/>
      <c r="E151" s="988"/>
      <c r="F151" s="910"/>
      <c r="G151" s="307">
        <v>0</v>
      </c>
      <c r="H151" s="307">
        <v>0</v>
      </c>
      <c r="I151" s="909"/>
      <c r="J151" s="984"/>
      <c r="K151" s="984"/>
      <c r="L151" s="974"/>
      <c r="M151" s="974"/>
      <c r="N151" s="984"/>
      <c r="O151" s="984"/>
      <c r="P151" s="974"/>
      <c r="Q151" s="974"/>
      <c r="R151" s="984"/>
      <c r="S151" s="974"/>
      <c r="T151" s="974"/>
      <c r="U151" s="984"/>
      <c r="V151" s="974"/>
      <c r="W151" s="974"/>
    </row>
    <row r="152" spans="1:23" s="308" customFormat="1" ht="15.75" customHeight="1">
      <c r="A152" s="1001" t="s">
        <v>685</v>
      </c>
      <c r="B152" s="1002"/>
      <c r="C152" s="1002"/>
      <c r="D152" s="1002"/>
      <c r="E152" s="1002"/>
      <c r="F152" s="1003"/>
      <c r="G152" s="311">
        <f>G17+G22+G27+G42+G47+G52+G57+G62+G67+G72+G77+G97+G102+G107+G117+G122+G137+G147+G142+G132+G127+G112+G92+G32+G87+G82+G37</f>
        <v>511941050</v>
      </c>
      <c r="H152" s="311">
        <f>H17+H22+H27+H42+H47+H52+H57+H62+H67+H72+H77+H97+H102+H107+H117+H122+H137+H147+H142+H132+H127+H112+H92+H32+H87+H82+H37</f>
        <v>1386329</v>
      </c>
      <c r="I152" s="898" t="s">
        <v>0</v>
      </c>
      <c r="J152" s="989">
        <f>J137+J122+J117+J107+J102+J97+J77+J72+J67+J62+J57+J52+J47+J42+J27+J22+J17+J32+J87+J92+J112+J127+J132+J142+J147+J82+J37</f>
        <v>220009854</v>
      </c>
      <c r="K152" s="989">
        <f t="shared" ref="K152:W152" si="27">K137+K122+K117+K107+K102+K97+K77+K72+K67+K62+K57+K52+K47+K42+K27+K22+K17+K32+K87+K92+K112+K127+K132+K142+K147+K82+K37</f>
        <v>190176807</v>
      </c>
      <c r="L152" s="989">
        <f t="shared" si="27"/>
        <v>78309878</v>
      </c>
      <c r="M152" s="989">
        <f t="shared" si="27"/>
        <v>111866929</v>
      </c>
      <c r="N152" s="989">
        <f t="shared" si="27"/>
        <v>29833047</v>
      </c>
      <c r="O152" s="989">
        <f t="shared" si="27"/>
        <v>17519146</v>
      </c>
      <c r="P152" s="989">
        <f t="shared" si="27"/>
        <v>6664948</v>
      </c>
      <c r="Q152" s="989">
        <f t="shared" si="27"/>
        <v>10854198</v>
      </c>
      <c r="R152" s="989">
        <f t="shared" si="27"/>
        <v>10425904</v>
      </c>
      <c r="S152" s="989">
        <f t="shared" si="27"/>
        <v>3615330</v>
      </c>
      <c r="T152" s="989">
        <f t="shared" si="27"/>
        <v>6810574</v>
      </c>
      <c r="U152" s="989">
        <f t="shared" si="27"/>
        <v>1887997</v>
      </c>
      <c r="V152" s="989">
        <f t="shared" si="27"/>
        <v>0</v>
      </c>
      <c r="W152" s="989">
        <f t="shared" si="27"/>
        <v>1887997</v>
      </c>
    </row>
    <row r="153" spans="1:23" s="308" customFormat="1" ht="15.75" customHeight="1">
      <c r="A153" s="1004"/>
      <c r="B153" s="1005"/>
      <c r="C153" s="1005"/>
      <c r="D153" s="1005"/>
      <c r="E153" s="1005"/>
      <c r="F153" s="1006"/>
      <c r="G153" s="311">
        <f t="shared" ref="G153:H156" si="28">G18+G23+G28+G43+G48+G53+G58+G63+G68+G73+G78+G98+G103+G108+G118+G123+G138+G148+G143+G133+G128+G113+G93+G33+G88+G83+G38</f>
        <v>443662219</v>
      </c>
      <c r="H153" s="311">
        <f t="shared" si="28"/>
        <v>1221917</v>
      </c>
      <c r="I153" s="899"/>
      <c r="J153" s="989"/>
      <c r="K153" s="989"/>
      <c r="L153" s="989"/>
      <c r="M153" s="989"/>
      <c r="N153" s="989"/>
      <c r="O153" s="989"/>
      <c r="P153" s="989"/>
      <c r="Q153" s="989"/>
      <c r="R153" s="989"/>
      <c r="S153" s="989"/>
      <c r="T153" s="989"/>
      <c r="U153" s="989"/>
      <c r="V153" s="989"/>
      <c r="W153" s="989"/>
    </row>
    <row r="154" spans="1:23" s="308" customFormat="1" ht="15.75" customHeight="1">
      <c r="A154" s="1004"/>
      <c r="B154" s="1005"/>
      <c r="C154" s="1005"/>
      <c r="D154" s="1005"/>
      <c r="E154" s="1005"/>
      <c r="F154" s="1006"/>
      <c r="G154" s="311">
        <f t="shared" si="28"/>
        <v>35826601</v>
      </c>
      <c r="H154" s="311">
        <f t="shared" si="28"/>
        <v>110610</v>
      </c>
      <c r="I154" s="292" t="s">
        <v>1</v>
      </c>
      <c r="J154" s="313">
        <f>J139+J124+J119+J109+J104+J99+J79+J74+J69+J64+J59+J54+J49+J44+J29+J24+J19+J149+J144+J134+J129+J114+J94+J89+J34+J84+J39</f>
        <v>1516310</v>
      </c>
      <c r="K154" s="313">
        <f t="shared" ref="K154:W154" si="29">K139+K124+K119+K109+K104+K99+K79+K74+K69+K64+K59+K54+K49+K44+K29+K24+K19+K149+K144+K134+K129+K114+K94+K89+K34+K84+K39</f>
        <v>222006</v>
      </c>
      <c r="L154" s="313">
        <f t="shared" si="29"/>
        <v>188902</v>
      </c>
      <c r="M154" s="313">
        <f t="shared" si="29"/>
        <v>33104</v>
      </c>
      <c r="N154" s="313">
        <f t="shared" si="29"/>
        <v>1294304</v>
      </c>
      <c r="O154" s="313">
        <f t="shared" si="29"/>
        <v>30996</v>
      </c>
      <c r="P154" s="313">
        <f t="shared" si="29"/>
        <v>27100</v>
      </c>
      <c r="Q154" s="313">
        <f t="shared" si="29"/>
        <v>3896</v>
      </c>
      <c r="R154" s="313">
        <f t="shared" si="29"/>
        <v>1186579</v>
      </c>
      <c r="S154" s="313">
        <f t="shared" si="29"/>
        <v>349662</v>
      </c>
      <c r="T154" s="313">
        <f t="shared" si="29"/>
        <v>836917</v>
      </c>
      <c r="U154" s="313">
        <f t="shared" si="29"/>
        <v>76729</v>
      </c>
      <c r="V154" s="313">
        <f t="shared" si="29"/>
        <v>0</v>
      </c>
      <c r="W154" s="313">
        <f t="shared" si="29"/>
        <v>76729</v>
      </c>
    </row>
    <row r="155" spans="1:23" s="308" customFormat="1" ht="15.75" customHeight="1">
      <c r="A155" s="1004"/>
      <c r="B155" s="1005"/>
      <c r="C155" s="1005"/>
      <c r="D155" s="1005"/>
      <c r="E155" s="1005"/>
      <c r="F155" s="1006"/>
      <c r="G155" s="311">
        <f t="shared" si="28"/>
        <v>30487504</v>
      </c>
      <c r="H155" s="311">
        <f t="shared" si="28"/>
        <v>53802</v>
      </c>
      <c r="I155" s="898" t="s">
        <v>2</v>
      </c>
      <c r="J155" s="989">
        <f t="shared" ref="J155:W155" si="30">J152+J154</f>
        <v>221526164</v>
      </c>
      <c r="K155" s="989">
        <f t="shared" si="30"/>
        <v>190398813</v>
      </c>
      <c r="L155" s="989">
        <f t="shared" si="30"/>
        <v>78498780</v>
      </c>
      <c r="M155" s="989">
        <f t="shared" si="30"/>
        <v>111900033</v>
      </c>
      <c r="N155" s="989">
        <f t="shared" si="30"/>
        <v>31127351</v>
      </c>
      <c r="O155" s="989">
        <f t="shared" si="30"/>
        <v>17550142</v>
      </c>
      <c r="P155" s="989">
        <f t="shared" si="30"/>
        <v>6692048</v>
      </c>
      <c r="Q155" s="989">
        <f t="shared" si="30"/>
        <v>10858094</v>
      </c>
      <c r="R155" s="989">
        <f t="shared" si="30"/>
        <v>11612483</v>
      </c>
      <c r="S155" s="989">
        <f t="shared" si="30"/>
        <v>3964992</v>
      </c>
      <c r="T155" s="989">
        <f t="shared" si="30"/>
        <v>7647491</v>
      </c>
      <c r="U155" s="989">
        <f t="shared" si="30"/>
        <v>1964726</v>
      </c>
      <c r="V155" s="989">
        <f t="shared" si="30"/>
        <v>0</v>
      </c>
      <c r="W155" s="989">
        <f t="shared" si="30"/>
        <v>1964726</v>
      </c>
    </row>
    <row r="156" spans="1:23" s="308" customFormat="1" ht="15.75" customHeight="1">
      <c r="A156" s="1007"/>
      <c r="B156" s="1008"/>
      <c r="C156" s="1008"/>
      <c r="D156" s="1008"/>
      <c r="E156" s="1008"/>
      <c r="F156" s="1009"/>
      <c r="G156" s="311">
        <f t="shared" si="28"/>
        <v>1964726</v>
      </c>
      <c r="H156" s="311">
        <f t="shared" si="28"/>
        <v>0</v>
      </c>
      <c r="I156" s="899"/>
      <c r="J156" s="989"/>
      <c r="K156" s="989"/>
      <c r="L156" s="989"/>
      <c r="M156" s="989"/>
      <c r="N156" s="989"/>
      <c r="O156" s="989"/>
      <c r="P156" s="989"/>
      <c r="Q156" s="989"/>
      <c r="R156" s="989"/>
      <c r="S156" s="989"/>
      <c r="T156" s="989"/>
      <c r="U156" s="989"/>
      <c r="V156" s="989"/>
      <c r="W156" s="989"/>
    </row>
    <row r="157" spans="1:23" s="308" customFormat="1" ht="3.75" customHeight="1">
      <c r="A157" s="990"/>
      <c r="B157" s="991"/>
      <c r="C157" s="991"/>
      <c r="D157" s="991"/>
      <c r="E157" s="991"/>
      <c r="F157" s="991"/>
      <c r="G157" s="991"/>
      <c r="H157" s="991"/>
      <c r="I157" s="991"/>
      <c r="J157" s="991"/>
      <c r="K157" s="991"/>
      <c r="L157" s="991"/>
      <c r="M157" s="991"/>
      <c r="N157" s="991"/>
      <c r="O157" s="991"/>
      <c r="P157" s="991"/>
      <c r="Q157" s="991"/>
      <c r="R157" s="991"/>
      <c r="S157" s="991"/>
      <c r="T157" s="991"/>
      <c r="U157" s="991"/>
      <c r="V157" s="991"/>
      <c r="W157" s="992"/>
    </row>
    <row r="158" spans="1:23" s="283" customFormat="1" ht="18" customHeight="1">
      <c r="A158" s="999" t="s">
        <v>834</v>
      </c>
      <c r="B158" s="1000"/>
      <c r="C158" s="1000"/>
      <c r="D158" s="1000"/>
      <c r="E158" s="1000"/>
      <c r="F158" s="1000"/>
      <c r="G158" s="1000"/>
      <c r="H158" s="1000"/>
      <c r="I158" s="1000"/>
      <c r="J158" s="1000"/>
      <c r="K158" s="1000"/>
      <c r="L158" s="1000"/>
      <c r="M158" s="1000"/>
      <c r="N158" s="1000"/>
      <c r="O158" s="1000"/>
      <c r="P158" s="1000"/>
      <c r="Q158" s="1000"/>
      <c r="R158" s="1000"/>
      <c r="S158" s="1000"/>
      <c r="T158" s="1000"/>
      <c r="U158" s="1000"/>
      <c r="V158" s="1000"/>
      <c r="W158" s="1000"/>
    </row>
    <row r="159" spans="1:23" s="283" customFormat="1" ht="3.75" customHeight="1">
      <c r="A159" s="996"/>
      <c r="B159" s="997"/>
      <c r="C159" s="997"/>
      <c r="D159" s="997"/>
      <c r="E159" s="997"/>
      <c r="F159" s="997"/>
      <c r="G159" s="997"/>
      <c r="H159" s="997"/>
      <c r="I159" s="997"/>
      <c r="J159" s="997"/>
      <c r="K159" s="997"/>
      <c r="L159" s="997"/>
      <c r="M159" s="997"/>
      <c r="N159" s="997"/>
      <c r="O159" s="997"/>
      <c r="P159" s="997"/>
      <c r="Q159" s="997"/>
      <c r="R159" s="997"/>
      <c r="S159" s="997"/>
      <c r="T159" s="997"/>
      <c r="U159" s="997"/>
      <c r="V159" s="998"/>
    </row>
    <row r="160" spans="1:23" s="308" customFormat="1" ht="12.75" customHeight="1">
      <c r="A160" s="910">
        <v>1</v>
      </c>
      <c r="B160" s="988" t="s">
        <v>835</v>
      </c>
      <c r="C160" s="913" t="s">
        <v>836</v>
      </c>
      <c r="D160" s="914" t="s">
        <v>673</v>
      </c>
      <c r="E160" s="914" t="s">
        <v>837</v>
      </c>
      <c r="F160" s="914" t="s">
        <v>824</v>
      </c>
      <c r="G160" s="307">
        <f>G162+G161+G163+G164</f>
        <v>95472868</v>
      </c>
      <c r="H160" s="307">
        <f>H161+H162+H163+H164</f>
        <v>0</v>
      </c>
      <c r="I160" s="908" t="s">
        <v>0</v>
      </c>
      <c r="J160" s="984">
        <f>K160+N160</f>
        <v>58839770</v>
      </c>
      <c r="K160" s="984">
        <f>L160+M160</f>
        <v>50013805</v>
      </c>
      <c r="L160" s="974">
        <v>49928805</v>
      </c>
      <c r="M160" s="974">
        <v>85000</v>
      </c>
      <c r="N160" s="984">
        <f>O160+R160+U160</f>
        <v>8825965</v>
      </c>
      <c r="O160" s="984">
        <f>P160+Q160</f>
        <v>0</v>
      </c>
      <c r="P160" s="974">
        <v>0</v>
      </c>
      <c r="Q160" s="974">
        <v>0</v>
      </c>
      <c r="R160" s="984">
        <f>S160+T160</f>
        <v>8825965</v>
      </c>
      <c r="S160" s="974">
        <v>8810965</v>
      </c>
      <c r="T160" s="974">
        <v>15000</v>
      </c>
      <c r="U160" s="984">
        <f>V160+W160</f>
        <v>0</v>
      </c>
      <c r="V160" s="974">
        <v>0</v>
      </c>
      <c r="W160" s="974">
        <v>0</v>
      </c>
    </row>
    <row r="161" spans="1:23" s="308" customFormat="1" ht="12.75" customHeight="1">
      <c r="A161" s="910"/>
      <c r="B161" s="988"/>
      <c r="C161" s="913"/>
      <c r="D161" s="914"/>
      <c r="E161" s="914"/>
      <c r="F161" s="914"/>
      <c r="G161" s="307">
        <v>81151938</v>
      </c>
      <c r="H161" s="307">
        <v>0</v>
      </c>
      <c r="I161" s="909"/>
      <c r="J161" s="984"/>
      <c r="K161" s="984"/>
      <c r="L161" s="974"/>
      <c r="M161" s="974"/>
      <c r="N161" s="984"/>
      <c r="O161" s="984"/>
      <c r="P161" s="974"/>
      <c r="Q161" s="974"/>
      <c r="R161" s="984"/>
      <c r="S161" s="974"/>
      <c r="T161" s="974"/>
      <c r="U161" s="984"/>
      <c r="V161" s="974"/>
      <c r="W161" s="974"/>
    </row>
    <row r="162" spans="1:23" s="308" customFormat="1" ht="12.75" customHeight="1">
      <c r="A162" s="910"/>
      <c r="B162" s="988"/>
      <c r="C162" s="913"/>
      <c r="D162" s="914"/>
      <c r="E162" s="914"/>
      <c r="F162" s="914"/>
      <c r="G162" s="307">
        <v>0</v>
      </c>
      <c r="H162" s="307">
        <v>0</v>
      </c>
      <c r="I162" s="286" t="s">
        <v>1</v>
      </c>
      <c r="J162" s="309">
        <f>K162+N162</f>
        <v>0</v>
      </c>
      <c r="K162" s="309">
        <f>L162+M162</f>
        <v>0</v>
      </c>
      <c r="L162" s="310">
        <v>0</v>
      </c>
      <c r="M162" s="310">
        <v>0</v>
      </c>
      <c r="N162" s="309">
        <f>O162+R162+U162</f>
        <v>0</v>
      </c>
      <c r="O162" s="309">
        <f>P162+Q162</f>
        <v>0</v>
      </c>
      <c r="P162" s="310">
        <v>0</v>
      </c>
      <c r="Q162" s="310">
        <v>0</v>
      </c>
      <c r="R162" s="309">
        <f>S162+T162</f>
        <v>0</v>
      </c>
      <c r="S162" s="310">
        <v>0</v>
      </c>
      <c r="T162" s="310">
        <v>0</v>
      </c>
      <c r="U162" s="309">
        <f>V162+W162</f>
        <v>0</v>
      </c>
      <c r="V162" s="310">
        <v>0</v>
      </c>
      <c r="W162" s="310">
        <v>0</v>
      </c>
    </row>
    <row r="163" spans="1:23" s="308" customFormat="1" ht="12.75" customHeight="1">
      <c r="A163" s="910"/>
      <c r="B163" s="988"/>
      <c r="C163" s="913"/>
      <c r="D163" s="914"/>
      <c r="E163" s="914"/>
      <c r="F163" s="914"/>
      <c r="G163" s="307">
        <v>14320930</v>
      </c>
      <c r="H163" s="307">
        <v>0</v>
      </c>
      <c r="I163" s="908" t="s">
        <v>2</v>
      </c>
      <c r="J163" s="984">
        <f t="shared" ref="J163:W163" si="31">J160+J162</f>
        <v>58839770</v>
      </c>
      <c r="K163" s="984">
        <f t="shared" si="31"/>
        <v>50013805</v>
      </c>
      <c r="L163" s="974">
        <f t="shared" si="31"/>
        <v>49928805</v>
      </c>
      <c r="M163" s="974">
        <f t="shared" si="31"/>
        <v>85000</v>
      </c>
      <c r="N163" s="984">
        <f t="shared" si="31"/>
        <v>8825965</v>
      </c>
      <c r="O163" s="984">
        <f t="shared" si="31"/>
        <v>0</v>
      </c>
      <c r="P163" s="974">
        <f t="shared" si="31"/>
        <v>0</v>
      </c>
      <c r="Q163" s="974">
        <f t="shared" si="31"/>
        <v>0</v>
      </c>
      <c r="R163" s="984">
        <f t="shared" si="31"/>
        <v>8825965</v>
      </c>
      <c r="S163" s="974">
        <f t="shared" si="31"/>
        <v>8810965</v>
      </c>
      <c r="T163" s="974">
        <f t="shared" si="31"/>
        <v>15000</v>
      </c>
      <c r="U163" s="984">
        <f t="shared" si="31"/>
        <v>0</v>
      </c>
      <c r="V163" s="974">
        <f t="shared" si="31"/>
        <v>0</v>
      </c>
      <c r="W163" s="974">
        <f t="shared" si="31"/>
        <v>0</v>
      </c>
    </row>
    <row r="164" spans="1:23" s="308" customFormat="1" ht="12.75" customHeight="1">
      <c r="A164" s="910"/>
      <c r="B164" s="988"/>
      <c r="C164" s="913"/>
      <c r="D164" s="914"/>
      <c r="E164" s="914"/>
      <c r="F164" s="914"/>
      <c r="G164" s="307">
        <v>0</v>
      </c>
      <c r="H164" s="307">
        <v>0</v>
      </c>
      <c r="I164" s="909"/>
      <c r="J164" s="984"/>
      <c r="K164" s="984"/>
      <c r="L164" s="974"/>
      <c r="M164" s="974"/>
      <c r="N164" s="984"/>
      <c r="O164" s="984"/>
      <c r="P164" s="974"/>
      <c r="Q164" s="974"/>
      <c r="R164" s="984"/>
      <c r="S164" s="974"/>
      <c r="T164" s="974"/>
      <c r="U164" s="984"/>
      <c r="V164" s="974"/>
      <c r="W164" s="974"/>
    </row>
    <row r="165" spans="1:23" s="308" customFormat="1" ht="12.75" customHeight="1">
      <c r="A165" s="910">
        <v>2</v>
      </c>
      <c r="B165" s="988" t="s">
        <v>835</v>
      </c>
      <c r="C165" s="913" t="s">
        <v>838</v>
      </c>
      <c r="D165" s="914" t="s">
        <v>673</v>
      </c>
      <c r="E165" s="914" t="s">
        <v>839</v>
      </c>
      <c r="F165" s="914" t="s">
        <v>824</v>
      </c>
      <c r="G165" s="307">
        <f>G167+G166+G168+G169</f>
        <v>2254799</v>
      </c>
      <c r="H165" s="307">
        <f>H166+H167+H168+H169</f>
        <v>0</v>
      </c>
      <c r="I165" s="908" t="s">
        <v>0</v>
      </c>
      <c r="J165" s="984">
        <f>K165+N165</f>
        <v>2254799</v>
      </c>
      <c r="K165" s="984">
        <f>L165+M165</f>
        <v>2254799</v>
      </c>
      <c r="L165" s="974">
        <v>2254799</v>
      </c>
      <c r="M165" s="974">
        <v>0</v>
      </c>
      <c r="N165" s="984">
        <f>O165+R165+U165</f>
        <v>0</v>
      </c>
      <c r="O165" s="984">
        <f>P165+Q165</f>
        <v>0</v>
      </c>
      <c r="P165" s="974">
        <v>0</v>
      </c>
      <c r="Q165" s="974">
        <v>0</v>
      </c>
      <c r="R165" s="984">
        <f>S165+T165</f>
        <v>0</v>
      </c>
      <c r="S165" s="974">
        <v>0</v>
      </c>
      <c r="T165" s="974">
        <v>0</v>
      </c>
      <c r="U165" s="984">
        <f>V165+W165</f>
        <v>0</v>
      </c>
      <c r="V165" s="974">
        <v>0</v>
      </c>
      <c r="W165" s="974">
        <v>0</v>
      </c>
    </row>
    <row r="166" spans="1:23" s="308" customFormat="1" ht="12.75" customHeight="1">
      <c r="A166" s="910"/>
      <c r="B166" s="988"/>
      <c r="C166" s="913"/>
      <c r="D166" s="914"/>
      <c r="E166" s="914"/>
      <c r="F166" s="914"/>
      <c r="G166" s="307">
        <v>2254799</v>
      </c>
      <c r="H166" s="307">
        <v>0</v>
      </c>
      <c r="I166" s="909"/>
      <c r="J166" s="984"/>
      <c r="K166" s="984"/>
      <c r="L166" s="974"/>
      <c r="M166" s="974"/>
      <c r="N166" s="984"/>
      <c r="O166" s="984"/>
      <c r="P166" s="974"/>
      <c r="Q166" s="974"/>
      <c r="R166" s="984"/>
      <c r="S166" s="974"/>
      <c r="T166" s="974"/>
      <c r="U166" s="984"/>
      <c r="V166" s="974"/>
      <c r="W166" s="974"/>
    </row>
    <row r="167" spans="1:23" s="308" customFormat="1" ht="12.75" customHeight="1">
      <c r="A167" s="910"/>
      <c r="B167" s="988"/>
      <c r="C167" s="913"/>
      <c r="D167" s="914"/>
      <c r="E167" s="914"/>
      <c r="F167" s="914"/>
      <c r="G167" s="307">
        <v>0</v>
      </c>
      <c r="H167" s="307">
        <v>0</v>
      </c>
      <c r="I167" s="286" t="s">
        <v>1</v>
      </c>
      <c r="J167" s="309">
        <f>K167+N167</f>
        <v>0</v>
      </c>
      <c r="K167" s="309">
        <f>L167+M167</f>
        <v>0</v>
      </c>
      <c r="L167" s="310">
        <v>0</v>
      </c>
      <c r="M167" s="310">
        <v>0</v>
      </c>
      <c r="N167" s="309">
        <f>O167+R167+U167</f>
        <v>0</v>
      </c>
      <c r="O167" s="309">
        <f>P167+Q167</f>
        <v>0</v>
      </c>
      <c r="P167" s="310">
        <v>0</v>
      </c>
      <c r="Q167" s="310">
        <v>0</v>
      </c>
      <c r="R167" s="309">
        <f>S167+T167</f>
        <v>0</v>
      </c>
      <c r="S167" s="310">
        <v>0</v>
      </c>
      <c r="T167" s="310">
        <v>0</v>
      </c>
      <c r="U167" s="309">
        <f>V167+W167</f>
        <v>0</v>
      </c>
      <c r="V167" s="310">
        <v>0</v>
      </c>
      <c r="W167" s="310">
        <v>0</v>
      </c>
    </row>
    <row r="168" spans="1:23" s="308" customFormat="1" ht="12.75" customHeight="1">
      <c r="A168" s="910"/>
      <c r="B168" s="988"/>
      <c r="C168" s="913"/>
      <c r="D168" s="914"/>
      <c r="E168" s="914"/>
      <c r="F168" s="914"/>
      <c r="G168" s="307">
        <v>0</v>
      </c>
      <c r="H168" s="307">
        <v>0</v>
      </c>
      <c r="I168" s="908" t="s">
        <v>2</v>
      </c>
      <c r="J168" s="984">
        <f t="shared" ref="J168:W168" si="32">J165+J167</f>
        <v>2254799</v>
      </c>
      <c r="K168" s="984">
        <f t="shared" si="32"/>
        <v>2254799</v>
      </c>
      <c r="L168" s="974">
        <f t="shared" si="32"/>
        <v>2254799</v>
      </c>
      <c r="M168" s="974">
        <f t="shared" si="32"/>
        <v>0</v>
      </c>
      <c r="N168" s="984">
        <f t="shared" si="32"/>
        <v>0</v>
      </c>
      <c r="O168" s="984">
        <f t="shared" si="32"/>
        <v>0</v>
      </c>
      <c r="P168" s="974">
        <f t="shared" si="32"/>
        <v>0</v>
      </c>
      <c r="Q168" s="974">
        <f t="shared" si="32"/>
        <v>0</v>
      </c>
      <c r="R168" s="984">
        <f t="shared" si="32"/>
        <v>0</v>
      </c>
      <c r="S168" s="974">
        <f t="shared" si="32"/>
        <v>0</v>
      </c>
      <c r="T168" s="974">
        <f t="shared" si="32"/>
        <v>0</v>
      </c>
      <c r="U168" s="984">
        <f t="shared" si="32"/>
        <v>0</v>
      </c>
      <c r="V168" s="974">
        <f t="shared" si="32"/>
        <v>0</v>
      </c>
      <c r="W168" s="974">
        <f t="shared" si="32"/>
        <v>0</v>
      </c>
    </row>
    <row r="169" spans="1:23" s="308" customFormat="1" ht="12.75" customHeight="1">
      <c r="A169" s="910"/>
      <c r="B169" s="988"/>
      <c r="C169" s="913"/>
      <c r="D169" s="914"/>
      <c r="E169" s="914"/>
      <c r="F169" s="914"/>
      <c r="G169" s="307">
        <v>0</v>
      </c>
      <c r="H169" s="307">
        <v>0</v>
      </c>
      <c r="I169" s="909"/>
      <c r="J169" s="984"/>
      <c r="K169" s="984"/>
      <c r="L169" s="974"/>
      <c r="M169" s="974"/>
      <c r="N169" s="984"/>
      <c r="O169" s="984"/>
      <c r="P169" s="974"/>
      <c r="Q169" s="974"/>
      <c r="R169" s="984"/>
      <c r="S169" s="974"/>
      <c r="T169" s="974"/>
      <c r="U169" s="984"/>
      <c r="V169" s="974"/>
      <c r="W169" s="974"/>
    </row>
    <row r="170" spans="1:23" s="308" customFormat="1" ht="12.75" customHeight="1">
      <c r="A170" s="910">
        <v>3</v>
      </c>
      <c r="B170" s="988" t="s">
        <v>835</v>
      </c>
      <c r="C170" s="913" t="s">
        <v>836</v>
      </c>
      <c r="D170" s="914" t="s">
        <v>840</v>
      </c>
      <c r="E170" s="914" t="s">
        <v>805</v>
      </c>
      <c r="F170" s="914" t="s">
        <v>824</v>
      </c>
      <c r="G170" s="307">
        <f>G172+G171+G173+G174</f>
        <v>3630676</v>
      </c>
      <c r="H170" s="307">
        <f>H171+H172+H173+H174</f>
        <v>0</v>
      </c>
      <c r="I170" s="908" t="s">
        <v>0</v>
      </c>
      <c r="J170" s="984">
        <f>K170+N170</f>
        <v>3607176</v>
      </c>
      <c r="K170" s="984">
        <f>L170+M170</f>
        <v>3066100</v>
      </c>
      <c r="L170" s="974">
        <v>3066100</v>
      </c>
      <c r="M170" s="974">
        <v>0</v>
      </c>
      <c r="N170" s="984">
        <f>O170+R170+U170</f>
        <v>541076</v>
      </c>
      <c r="O170" s="984">
        <f>P170+Q170</f>
        <v>0</v>
      </c>
      <c r="P170" s="974">
        <v>0</v>
      </c>
      <c r="Q170" s="974">
        <v>0</v>
      </c>
      <c r="R170" s="984">
        <f>S170+T170</f>
        <v>541076</v>
      </c>
      <c r="S170" s="974">
        <v>541076</v>
      </c>
      <c r="T170" s="974">
        <v>0</v>
      </c>
      <c r="U170" s="984">
        <f>V170+W170</f>
        <v>0</v>
      </c>
      <c r="V170" s="974">
        <v>0</v>
      </c>
      <c r="W170" s="974">
        <v>0</v>
      </c>
    </row>
    <row r="171" spans="1:23" s="308" customFormat="1" ht="12.75" customHeight="1">
      <c r="A171" s="910"/>
      <c r="B171" s="988"/>
      <c r="C171" s="913"/>
      <c r="D171" s="914"/>
      <c r="E171" s="914"/>
      <c r="F171" s="914"/>
      <c r="G171" s="307">
        <v>3086075</v>
      </c>
      <c r="H171" s="307">
        <v>0</v>
      </c>
      <c r="I171" s="909"/>
      <c r="J171" s="984"/>
      <c r="K171" s="984"/>
      <c r="L171" s="974"/>
      <c r="M171" s="974"/>
      <c r="N171" s="984"/>
      <c r="O171" s="984"/>
      <c r="P171" s="974"/>
      <c r="Q171" s="974"/>
      <c r="R171" s="984"/>
      <c r="S171" s="974"/>
      <c r="T171" s="974"/>
      <c r="U171" s="984"/>
      <c r="V171" s="974"/>
      <c r="W171" s="974"/>
    </row>
    <row r="172" spans="1:23" s="308" customFormat="1" ht="12.75" customHeight="1">
      <c r="A172" s="910"/>
      <c r="B172" s="988"/>
      <c r="C172" s="913"/>
      <c r="D172" s="914"/>
      <c r="E172" s="914"/>
      <c r="F172" s="914"/>
      <c r="G172" s="307">
        <v>0</v>
      </c>
      <c r="H172" s="307">
        <v>0</v>
      </c>
      <c r="I172" s="286" t="s">
        <v>1</v>
      </c>
      <c r="J172" s="309">
        <f>K172+N172</f>
        <v>23500</v>
      </c>
      <c r="K172" s="309">
        <f>L172+M172</f>
        <v>19975</v>
      </c>
      <c r="L172" s="310">
        <v>19975</v>
      </c>
      <c r="M172" s="310">
        <v>0</v>
      </c>
      <c r="N172" s="309">
        <f>O172+R172+U172</f>
        <v>3525</v>
      </c>
      <c r="O172" s="309">
        <f>P172+Q172</f>
        <v>0</v>
      </c>
      <c r="P172" s="310">
        <v>0</v>
      </c>
      <c r="Q172" s="310">
        <v>0</v>
      </c>
      <c r="R172" s="309">
        <f>S172+T172</f>
        <v>3525</v>
      </c>
      <c r="S172" s="310">
        <v>3525</v>
      </c>
      <c r="T172" s="310">
        <v>0</v>
      </c>
      <c r="U172" s="309">
        <f>V172+W172</f>
        <v>0</v>
      </c>
      <c r="V172" s="310">
        <v>0</v>
      </c>
      <c r="W172" s="310">
        <v>0</v>
      </c>
    </row>
    <row r="173" spans="1:23" s="308" customFormat="1" ht="12.75" customHeight="1">
      <c r="A173" s="910"/>
      <c r="B173" s="988"/>
      <c r="C173" s="913"/>
      <c r="D173" s="914"/>
      <c r="E173" s="914"/>
      <c r="F173" s="914"/>
      <c r="G173" s="307">
        <v>544601</v>
      </c>
      <c r="H173" s="307">
        <v>0</v>
      </c>
      <c r="I173" s="908" t="s">
        <v>2</v>
      </c>
      <c r="J173" s="984">
        <f t="shared" ref="J173:W173" si="33">J170+J172</f>
        <v>3630676</v>
      </c>
      <c r="K173" s="984">
        <f t="shared" si="33"/>
        <v>3086075</v>
      </c>
      <c r="L173" s="974">
        <f t="shared" si="33"/>
        <v>3086075</v>
      </c>
      <c r="M173" s="974">
        <f t="shared" si="33"/>
        <v>0</v>
      </c>
      <c r="N173" s="984">
        <f t="shared" si="33"/>
        <v>544601</v>
      </c>
      <c r="O173" s="984">
        <f t="shared" si="33"/>
        <v>0</v>
      </c>
      <c r="P173" s="974">
        <f t="shared" si="33"/>
        <v>0</v>
      </c>
      <c r="Q173" s="974">
        <f t="shared" si="33"/>
        <v>0</v>
      </c>
      <c r="R173" s="984">
        <f t="shared" si="33"/>
        <v>544601</v>
      </c>
      <c r="S173" s="974">
        <f t="shared" si="33"/>
        <v>544601</v>
      </c>
      <c r="T173" s="974">
        <f t="shared" si="33"/>
        <v>0</v>
      </c>
      <c r="U173" s="984">
        <f t="shared" si="33"/>
        <v>0</v>
      </c>
      <c r="V173" s="974">
        <f t="shared" si="33"/>
        <v>0</v>
      </c>
      <c r="W173" s="974">
        <f t="shared" si="33"/>
        <v>0</v>
      </c>
    </row>
    <row r="174" spans="1:23" s="308" customFormat="1" ht="12.75" customHeight="1">
      <c r="A174" s="910"/>
      <c r="B174" s="988"/>
      <c r="C174" s="913"/>
      <c r="D174" s="914"/>
      <c r="E174" s="914"/>
      <c r="F174" s="914"/>
      <c r="G174" s="307">
        <v>0</v>
      </c>
      <c r="H174" s="307">
        <v>0</v>
      </c>
      <c r="I174" s="909"/>
      <c r="J174" s="984"/>
      <c r="K174" s="984"/>
      <c r="L174" s="974"/>
      <c r="M174" s="974"/>
      <c r="N174" s="984"/>
      <c r="O174" s="984"/>
      <c r="P174" s="974"/>
      <c r="Q174" s="974"/>
      <c r="R174" s="984"/>
      <c r="S174" s="974"/>
      <c r="T174" s="974"/>
      <c r="U174" s="984"/>
      <c r="V174" s="974"/>
      <c r="W174" s="974"/>
    </row>
    <row r="175" spans="1:23" s="308" customFormat="1" ht="12.75" customHeight="1">
      <c r="A175" s="910">
        <v>4</v>
      </c>
      <c r="B175" s="988" t="s">
        <v>841</v>
      </c>
      <c r="C175" s="913" t="s">
        <v>842</v>
      </c>
      <c r="D175" s="914" t="s">
        <v>673</v>
      </c>
      <c r="E175" s="914" t="s">
        <v>837</v>
      </c>
      <c r="F175" s="914" t="s">
        <v>824</v>
      </c>
      <c r="G175" s="307">
        <f>G177+G176+G178+G179</f>
        <v>3633878</v>
      </c>
      <c r="H175" s="307">
        <f>H176+H177+H178+H179</f>
        <v>0</v>
      </c>
      <c r="I175" s="908" t="s">
        <v>0</v>
      </c>
      <c r="J175" s="984">
        <f>K175+N175</f>
        <v>3633878</v>
      </c>
      <c r="K175" s="984">
        <f>L175+M175</f>
        <v>3088796</v>
      </c>
      <c r="L175" s="974">
        <v>3088796</v>
      </c>
      <c r="M175" s="974">
        <v>0</v>
      </c>
      <c r="N175" s="984">
        <f>O175+R175+U175</f>
        <v>545082</v>
      </c>
      <c r="O175" s="984">
        <f>P175+Q175</f>
        <v>0</v>
      </c>
      <c r="P175" s="974">
        <v>0</v>
      </c>
      <c r="Q175" s="974">
        <v>0</v>
      </c>
      <c r="R175" s="984">
        <f>S175+T175</f>
        <v>545082</v>
      </c>
      <c r="S175" s="974">
        <v>545082</v>
      </c>
      <c r="T175" s="974">
        <v>0</v>
      </c>
      <c r="U175" s="984">
        <f>V175+W175</f>
        <v>0</v>
      </c>
      <c r="V175" s="974">
        <v>0</v>
      </c>
      <c r="W175" s="974">
        <v>0</v>
      </c>
    </row>
    <row r="176" spans="1:23" s="308" customFormat="1" ht="12.75" customHeight="1">
      <c r="A176" s="910"/>
      <c r="B176" s="988"/>
      <c r="C176" s="913"/>
      <c r="D176" s="914"/>
      <c r="E176" s="914"/>
      <c r="F176" s="914"/>
      <c r="G176" s="307">
        <v>3088796</v>
      </c>
      <c r="H176" s="307">
        <v>0</v>
      </c>
      <c r="I176" s="909"/>
      <c r="J176" s="984"/>
      <c r="K176" s="984"/>
      <c r="L176" s="974"/>
      <c r="M176" s="974"/>
      <c r="N176" s="984"/>
      <c r="O176" s="984"/>
      <c r="P176" s="974"/>
      <c r="Q176" s="974"/>
      <c r="R176" s="984"/>
      <c r="S176" s="974"/>
      <c r="T176" s="974"/>
      <c r="U176" s="984"/>
      <c r="V176" s="974"/>
      <c r="W176" s="974"/>
    </row>
    <row r="177" spans="1:23" s="308" customFormat="1" ht="12.75" customHeight="1">
      <c r="A177" s="910"/>
      <c r="B177" s="988"/>
      <c r="C177" s="913"/>
      <c r="D177" s="914"/>
      <c r="E177" s="914"/>
      <c r="F177" s="914"/>
      <c r="G177" s="307">
        <v>0</v>
      </c>
      <c r="H177" s="307">
        <v>0</v>
      </c>
      <c r="I177" s="286" t="s">
        <v>1</v>
      </c>
      <c r="J177" s="309">
        <f>K177+N177</f>
        <v>0</v>
      </c>
      <c r="K177" s="309">
        <f>L177+M177</f>
        <v>0</v>
      </c>
      <c r="L177" s="310">
        <v>0</v>
      </c>
      <c r="M177" s="310">
        <v>0</v>
      </c>
      <c r="N177" s="309">
        <f>O177+R177+U177</f>
        <v>0</v>
      </c>
      <c r="O177" s="309">
        <f>P177+Q177</f>
        <v>0</v>
      </c>
      <c r="P177" s="310">
        <v>0</v>
      </c>
      <c r="Q177" s="310">
        <v>0</v>
      </c>
      <c r="R177" s="309">
        <f>S177+T177</f>
        <v>0</v>
      </c>
      <c r="S177" s="310">
        <v>0</v>
      </c>
      <c r="T177" s="310">
        <v>0</v>
      </c>
      <c r="U177" s="309">
        <f>V177+W177</f>
        <v>0</v>
      </c>
      <c r="V177" s="310">
        <v>0</v>
      </c>
      <c r="W177" s="310">
        <v>0</v>
      </c>
    </row>
    <row r="178" spans="1:23" s="308" customFormat="1" ht="12.75" customHeight="1">
      <c r="A178" s="910"/>
      <c r="B178" s="988"/>
      <c r="C178" s="913"/>
      <c r="D178" s="914"/>
      <c r="E178" s="914"/>
      <c r="F178" s="914"/>
      <c r="G178" s="307">
        <v>545082</v>
      </c>
      <c r="H178" s="307">
        <v>0</v>
      </c>
      <c r="I178" s="908" t="s">
        <v>2</v>
      </c>
      <c r="J178" s="984">
        <f t="shared" ref="J178:W178" si="34">J175+J177</f>
        <v>3633878</v>
      </c>
      <c r="K178" s="984">
        <f t="shared" si="34"/>
        <v>3088796</v>
      </c>
      <c r="L178" s="974">
        <f t="shared" si="34"/>
        <v>3088796</v>
      </c>
      <c r="M178" s="974">
        <f t="shared" si="34"/>
        <v>0</v>
      </c>
      <c r="N178" s="984">
        <f t="shared" si="34"/>
        <v>545082</v>
      </c>
      <c r="O178" s="984">
        <f t="shared" si="34"/>
        <v>0</v>
      </c>
      <c r="P178" s="974">
        <f t="shared" si="34"/>
        <v>0</v>
      </c>
      <c r="Q178" s="974">
        <f t="shared" si="34"/>
        <v>0</v>
      </c>
      <c r="R178" s="984">
        <f t="shared" si="34"/>
        <v>545082</v>
      </c>
      <c r="S178" s="974">
        <f t="shared" si="34"/>
        <v>545082</v>
      </c>
      <c r="T178" s="974">
        <f t="shared" si="34"/>
        <v>0</v>
      </c>
      <c r="U178" s="984">
        <f t="shared" si="34"/>
        <v>0</v>
      </c>
      <c r="V178" s="974">
        <f t="shared" si="34"/>
        <v>0</v>
      </c>
      <c r="W178" s="974">
        <f t="shared" si="34"/>
        <v>0</v>
      </c>
    </row>
    <row r="179" spans="1:23" s="308" customFormat="1" ht="12.75" customHeight="1">
      <c r="A179" s="910"/>
      <c r="B179" s="988"/>
      <c r="C179" s="913"/>
      <c r="D179" s="914"/>
      <c r="E179" s="914"/>
      <c r="F179" s="914"/>
      <c r="G179" s="307">
        <v>0</v>
      </c>
      <c r="H179" s="307">
        <v>0</v>
      </c>
      <c r="I179" s="909"/>
      <c r="J179" s="984"/>
      <c r="K179" s="984"/>
      <c r="L179" s="974"/>
      <c r="M179" s="974"/>
      <c r="N179" s="984"/>
      <c r="O179" s="984"/>
      <c r="P179" s="974"/>
      <c r="Q179" s="974"/>
      <c r="R179" s="984"/>
      <c r="S179" s="974"/>
      <c r="T179" s="974"/>
      <c r="U179" s="984"/>
      <c r="V179" s="974"/>
      <c r="W179" s="974"/>
    </row>
    <row r="180" spans="1:23" s="308" customFormat="1" ht="12.75" hidden="1" customHeight="1">
      <c r="A180" s="910">
        <v>5</v>
      </c>
      <c r="B180" s="988" t="s">
        <v>841</v>
      </c>
      <c r="C180" s="913" t="s">
        <v>843</v>
      </c>
      <c r="D180" s="914" t="s">
        <v>673</v>
      </c>
      <c r="E180" s="914" t="s">
        <v>839</v>
      </c>
      <c r="F180" s="914" t="s">
        <v>785</v>
      </c>
      <c r="G180" s="307">
        <f>G182+G181+G183+G184</f>
        <v>42500</v>
      </c>
      <c r="H180" s="307">
        <f>H181+H182+H183+H184</f>
        <v>0</v>
      </c>
      <c r="I180" s="908" t="s">
        <v>0</v>
      </c>
      <c r="J180" s="984">
        <f>K180+N180</f>
        <v>42500</v>
      </c>
      <c r="K180" s="984">
        <f>L180+M180</f>
        <v>42500</v>
      </c>
      <c r="L180" s="974">
        <v>42500</v>
      </c>
      <c r="M180" s="974">
        <v>0</v>
      </c>
      <c r="N180" s="984">
        <f>O180+R180+U180</f>
        <v>0</v>
      </c>
      <c r="O180" s="984">
        <f>P180+Q180</f>
        <v>0</v>
      </c>
      <c r="P180" s="974">
        <v>0</v>
      </c>
      <c r="Q180" s="974">
        <v>0</v>
      </c>
      <c r="R180" s="984">
        <f>S180+T180</f>
        <v>0</v>
      </c>
      <c r="S180" s="974">
        <v>0</v>
      </c>
      <c r="T180" s="974">
        <v>0</v>
      </c>
      <c r="U180" s="984">
        <f>V180+W180</f>
        <v>0</v>
      </c>
      <c r="V180" s="974">
        <v>0</v>
      </c>
      <c r="W180" s="974">
        <v>0</v>
      </c>
    </row>
    <row r="181" spans="1:23" s="308" customFormat="1" ht="12.75" hidden="1" customHeight="1">
      <c r="A181" s="910"/>
      <c r="B181" s="988"/>
      <c r="C181" s="913"/>
      <c r="D181" s="914"/>
      <c r="E181" s="914"/>
      <c r="F181" s="914"/>
      <c r="G181" s="307">
        <v>42500</v>
      </c>
      <c r="H181" s="307">
        <v>0</v>
      </c>
      <c r="I181" s="909"/>
      <c r="J181" s="984"/>
      <c r="K181" s="984"/>
      <c r="L181" s="974"/>
      <c r="M181" s="974"/>
      <c r="N181" s="984"/>
      <c r="O181" s="984"/>
      <c r="P181" s="974"/>
      <c r="Q181" s="974"/>
      <c r="R181" s="984"/>
      <c r="S181" s="974"/>
      <c r="T181" s="974"/>
      <c r="U181" s="984"/>
      <c r="V181" s="974"/>
      <c r="W181" s="974"/>
    </row>
    <row r="182" spans="1:23" s="308" customFormat="1" ht="12.75" hidden="1" customHeight="1">
      <c r="A182" s="910"/>
      <c r="B182" s="988"/>
      <c r="C182" s="913"/>
      <c r="D182" s="914"/>
      <c r="E182" s="914"/>
      <c r="F182" s="914"/>
      <c r="G182" s="307">
        <v>0</v>
      </c>
      <c r="H182" s="307">
        <v>0</v>
      </c>
      <c r="I182" s="286" t="s">
        <v>1</v>
      </c>
      <c r="J182" s="309">
        <f>K182+N182</f>
        <v>0</v>
      </c>
      <c r="K182" s="309">
        <f>L182+M182</f>
        <v>0</v>
      </c>
      <c r="L182" s="310">
        <v>0</v>
      </c>
      <c r="M182" s="310">
        <v>0</v>
      </c>
      <c r="N182" s="309">
        <f>O182+R182+U182</f>
        <v>0</v>
      </c>
      <c r="O182" s="309">
        <f>P182+Q182</f>
        <v>0</v>
      </c>
      <c r="P182" s="310">
        <v>0</v>
      </c>
      <c r="Q182" s="310">
        <v>0</v>
      </c>
      <c r="R182" s="309">
        <f>S182+T182</f>
        <v>0</v>
      </c>
      <c r="S182" s="310">
        <v>0</v>
      </c>
      <c r="T182" s="310">
        <v>0</v>
      </c>
      <c r="U182" s="309">
        <f>V182+W182</f>
        <v>0</v>
      </c>
      <c r="V182" s="310">
        <v>0</v>
      </c>
      <c r="W182" s="310">
        <v>0</v>
      </c>
    </row>
    <row r="183" spans="1:23" s="308" customFormat="1" ht="12.75" hidden="1" customHeight="1">
      <c r="A183" s="910"/>
      <c r="B183" s="988"/>
      <c r="C183" s="913"/>
      <c r="D183" s="914"/>
      <c r="E183" s="914"/>
      <c r="F183" s="914"/>
      <c r="G183" s="307">
        <v>0</v>
      </c>
      <c r="H183" s="307">
        <v>0</v>
      </c>
      <c r="I183" s="908" t="s">
        <v>2</v>
      </c>
      <c r="J183" s="984">
        <f t="shared" ref="J183:W183" si="35">J180+J182</f>
        <v>42500</v>
      </c>
      <c r="K183" s="984">
        <f t="shared" si="35"/>
        <v>42500</v>
      </c>
      <c r="L183" s="974">
        <f t="shared" si="35"/>
        <v>42500</v>
      </c>
      <c r="M183" s="974">
        <f t="shared" si="35"/>
        <v>0</v>
      </c>
      <c r="N183" s="984">
        <f t="shared" si="35"/>
        <v>0</v>
      </c>
      <c r="O183" s="984">
        <f t="shared" si="35"/>
        <v>0</v>
      </c>
      <c r="P183" s="974">
        <f t="shared" si="35"/>
        <v>0</v>
      </c>
      <c r="Q183" s="974">
        <f t="shared" si="35"/>
        <v>0</v>
      </c>
      <c r="R183" s="984">
        <f t="shared" si="35"/>
        <v>0</v>
      </c>
      <c r="S183" s="974">
        <f t="shared" si="35"/>
        <v>0</v>
      </c>
      <c r="T183" s="974">
        <f t="shared" si="35"/>
        <v>0</v>
      </c>
      <c r="U183" s="984">
        <f t="shared" si="35"/>
        <v>0</v>
      </c>
      <c r="V183" s="974">
        <f t="shared" si="35"/>
        <v>0</v>
      </c>
      <c r="W183" s="974">
        <f t="shared" si="35"/>
        <v>0</v>
      </c>
    </row>
    <row r="184" spans="1:23" s="308" customFormat="1" ht="12.75" hidden="1" customHeight="1">
      <c r="A184" s="910"/>
      <c r="B184" s="988"/>
      <c r="C184" s="913"/>
      <c r="D184" s="914"/>
      <c r="E184" s="914"/>
      <c r="F184" s="914"/>
      <c r="G184" s="307">
        <v>0</v>
      </c>
      <c r="H184" s="307">
        <v>0</v>
      </c>
      <c r="I184" s="909"/>
      <c r="J184" s="984"/>
      <c r="K184" s="984"/>
      <c r="L184" s="974"/>
      <c r="M184" s="974"/>
      <c r="N184" s="984"/>
      <c r="O184" s="984"/>
      <c r="P184" s="974"/>
      <c r="Q184" s="974"/>
      <c r="R184" s="984"/>
      <c r="S184" s="974"/>
      <c r="T184" s="974"/>
      <c r="U184" s="984"/>
      <c r="V184" s="974"/>
      <c r="W184" s="974"/>
    </row>
    <row r="185" spans="1:23" s="308" customFormat="1" ht="12.75" customHeight="1">
      <c r="A185" s="910">
        <v>5</v>
      </c>
      <c r="B185" s="988" t="s">
        <v>841</v>
      </c>
      <c r="C185" s="913" t="s">
        <v>842</v>
      </c>
      <c r="D185" s="914" t="s">
        <v>840</v>
      </c>
      <c r="E185" s="914" t="s">
        <v>805</v>
      </c>
      <c r="F185" s="914" t="s">
        <v>824</v>
      </c>
      <c r="G185" s="307">
        <f>G187+G186+G188+G189</f>
        <v>16500</v>
      </c>
      <c r="H185" s="307">
        <f>H186+H187+H188+H189</f>
        <v>0</v>
      </c>
      <c r="I185" s="908" t="s">
        <v>0</v>
      </c>
      <c r="J185" s="984">
        <f>K185+N185</f>
        <v>40000</v>
      </c>
      <c r="K185" s="984">
        <f>L185+M185</f>
        <v>34000</v>
      </c>
      <c r="L185" s="974">
        <v>34000</v>
      </c>
      <c r="M185" s="974">
        <v>0</v>
      </c>
      <c r="N185" s="984">
        <f>O185+R185+U185</f>
        <v>6000</v>
      </c>
      <c r="O185" s="984">
        <f>P185+Q185</f>
        <v>0</v>
      </c>
      <c r="P185" s="974">
        <v>0</v>
      </c>
      <c r="Q185" s="974">
        <v>0</v>
      </c>
      <c r="R185" s="984">
        <f>S185+T185</f>
        <v>6000</v>
      </c>
      <c r="S185" s="974">
        <v>6000</v>
      </c>
      <c r="T185" s="974">
        <v>0</v>
      </c>
      <c r="U185" s="984">
        <f>V185+W185</f>
        <v>0</v>
      </c>
      <c r="V185" s="974">
        <v>0</v>
      </c>
      <c r="W185" s="974">
        <v>0</v>
      </c>
    </row>
    <row r="186" spans="1:23" s="308" customFormat="1" ht="12.75" customHeight="1">
      <c r="A186" s="910"/>
      <c r="B186" s="988"/>
      <c r="C186" s="913"/>
      <c r="D186" s="914"/>
      <c r="E186" s="914"/>
      <c r="F186" s="914"/>
      <c r="G186" s="307">
        <v>14025</v>
      </c>
      <c r="H186" s="307">
        <v>0</v>
      </c>
      <c r="I186" s="909"/>
      <c r="J186" s="984"/>
      <c r="K186" s="984"/>
      <c r="L186" s="974"/>
      <c r="M186" s="974"/>
      <c r="N186" s="984"/>
      <c r="O186" s="984"/>
      <c r="P186" s="974"/>
      <c r="Q186" s="974"/>
      <c r="R186" s="984"/>
      <c r="S186" s="974"/>
      <c r="T186" s="974"/>
      <c r="U186" s="984"/>
      <c r="V186" s="974"/>
      <c r="W186" s="974"/>
    </row>
    <row r="187" spans="1:23" s="308" customFormat="1" ht="12.75" customHeight="1">
      <c r="A187" s="910"/>
      <c r="B187" s="988"/>
      <c r="C187" s="913"/>
      <c r="D187" s="914"/>
      <c r="E187" s="914"/>
      <c r="F187" s="914"/>
      <c r="G187" s="307">
        <v>0</v>
      </c>
      <c r="H187" s="307">
        <v>0</v>
      </c>
      <c r="I187" s="286" t="s">
        <v>1</v>
      </c>
      <c r="J187" s="309">
        <f>K187+N187</f>
        <v>-23500</v>
      </c>
      <c r="K187" s="309">
        <f>L187+M187</f>
        <v>-19975</v>
      </c>
      <c r="L187" s="310">
        <v>-19975</v>
      </c>
      <c r="M187" s="310">
        <v>0</v>
      </c>
      <c r="N187" s="309">
        <f>O187+R187+U187</f>
        <v>-3525</v>
      </c>
      <c r="O187" s="309">
        <f>P187+Q187</f>
        <v>0</v>
      </c>
      <c r="P187" s="310">
        <v>0</v>
      </c>
      <c r="Q187" s="310">
        <v>0</v>
      </c>
      <c r="R187" s="309">
        <f>S187+T187</f>
        <v>-3525</v>
      </c>
      <c r="S187" s="310">
        <v>-3525</v>
      </c>
      <c r="T187" s="310">
        <v>0</v>
      </c>
      <c r="U187" s="309">
        <f>V187+W187</f>
        <v>0</v>
      </c>
      <c r="V187" s="310">
        <v>0</v>
      </c>
      <c r="W187" s="310">
        <v>0</v>
      </c>
    </row>
    <row r="188" spans="1:23" s="308" customFormat="1" ht="12.75" customHeight="1">
      <c r="A188" s="910"/>
      <c r="B188" s="988"/>
      <c r="C188" s="913"/>
      <c r="D188" s="914"/>
      <c r="E188" s="914"/>
      <c r="F188" s="914"/>
      <c r="G188" s="307">
        <v>2475</v>
      </c>
      <c r="H188" s="307">
        <v>0</v>
      </c>
      <c r="I188" s="908" t="s">
        <v>2</v>
      </c>
      <c r="J188" s="984">
        <f t="shared" ref="J188:W188" si="36">J185+J187</f>
        <v>16500</v>
      </c>
      <c r="K188" s="984">
        <f t="shared" si="36"/>
        <v>14025</v>
      </c>
      <c r="L188" s="974">
        <f t="shared" si="36"/>
        <v>14025</v>
      </c>
      <c r="M188" s="974">
        <f t="shared" si="36"/>
        <v>0</v>
      </c>
      <c r="N188" s="984">
        <f t="shared" si="36"/>
        <v>2475</v>
      </c>
      <c r="O188" s="984">
        <f t="shared" si="36"/>
        <v>0</v>
      </c>
      <c r="P188" s="974">
        <f t="shared" si="36"/>
        <v>0</v>
      </c>
      <c r="Q188" s="974">
        <f t="shared" si="36"/>
        <v>0</v>
      </c>
      <c r="R188" s="984">
        <f t="shared" si="36"/>
        <v>2475</v>
      </c>
      <c r="S188" s="974">
        <f t="shared" si="36"/>
        <v>2475</v>
      </c>
      <c r="T188" s="974">
        <f t="shared" si="36"/>
        <v>0</v>
      </c>
      <c r="U188" s="984">
        <f t="shared" si="36"/>
        <v>0</v>
      </c>
      <c r="V188" s="974">
        <f t="shared" si="36"/>
        <v>0</v>
      </c>
      <c r="W188" s="974">
        <f t="shared" si="36"/>
        <v>0</v>
      </c>
    </row>
    <row r="189" spans="1:23" s="308" customFormat="1" ht="12.75" customHeight="1">
      <c r="A189" s="910"/>
      <c r="B189" s="988"/>
      <c r="C189" s="913"/>
      <c r="D189" s="914"/>
      <c r="E189" s="914"/>
      <c r="F189" s="914"/>
      <c r="G189" s="307">
        <v>0</v>
      </c>
      <c r="H189" s="307">
        <v>0</v>
      </c>
      <c r="I189" s="909"/>
      <c r="J189" s="984"/>
      <c r="K189" s="984"/>
      <c r="L189" s="974"/>
      <c r="M189" s="974"/>
      <c r="N189" s="984"/>
      <c r="O189" s="984"/>
      <c r="P189" s="974"/>
      <c r="Q189" s="974"/>
      <c r="R189" s="984"/>
      <c r="S189" s="974"/>
      <c r="T189" s="974"/>
      <c r="U189" s="984"/>
      <c r="V189" s="974"/>
      <c r="W189" s="974"/>
    </row>
    <row r="190" spans="1:23" s="308" customFormat="1" ht="12.75" customHeight="1">
      <c r="A190" s="975" t="s">
        <v>844</v>
      </c>
      <c r="B190" s="976"/>
      <c r="C190" s="976"/>
      <c r="D190" s="976"/>
      <c r="E190" s="976"/>
      <c r="F190" s="977"/>
      <c r="G190" s="314">
        <f>G160+G165+G170+G175+G180+G185</f>
        <v>105051221</v>
      </c>
      <c r="H190" s="314">
        <f>H160+H165+H170+H175+H180+H185</f>
        <v>0</v>
      </c>
      <c r="I190" s="898" t="s">
        <v>0</v>
      </c>
      <c r="J190" s="989">
        <f>J160+J165+J170+J175+J180+J185</f>
        <v>68418123</v>
      </c>
      <c r="K190" s="989">
        <f t="shared" ref="K190:W190" si="37">K160+K165+K170+K175+K180+K185</f>
        <v>58500000</v>
      </c>
      <c r="L190" s="989">
        <f t="shared" si="37"/>
        <v>58415000</v>
      </c>
      <c r="M190" s="989">
        <f t="shared" si="37"/>
        <v>85000</v>
      </c>
      <c r="N190" s="989">
        <f t="shared" si="37"/>
        <v>9918123</v>
      </c>
      <c r="O190" s="989">
        <f t="shared" si="37"/>
        <v>0</v>
      </c>
      <c r="P190" s="989">
        <f t="shared" si="37"/>
        <v>0</v>
      </c>
      <c r="Q190" s="989">
        <f t="shared" si="37"/>
        <v>0</v>
      </c>
      <c r="R190" s="989">
        <f t="shared" si="37"/>
        <v>9918123</v>
      </c>
      <c r="S190" s="989">
        <f t="shared" si="37"/>
        <v>9903123</v>
      </c>
      <c r="T190" s="989">
        <f t="shared" si="37"/>
        <v>15000</v>
      </c>
      <c r="U190" s="989">
        <f t="shared" si="37"/>
        <v>0</v>
      </c>
      <c r="V190" s="989">
        <f t="shared" si="37"/>
        <v>0</v>
      </c>
      <c r="W190" s="989">
        <f t="shared" si="37"/>
        <v>0</v>
      </c>
    </row>
    <row r="191" spans="1:23" s="308" customFormat="1" ht="12.75" customHeight="1">
      <c r="A191" s="978"/>
      <c r="B191" s="979"/>
      <c r="C191" s="979"/>
      <c r="D191" s="979"/>
      <c r="E191" s="979"/>
      <c r="F191" s="980"/>
      <c r="G191" s="314">
        <f t="shared" ref="G191:H194" si="38">G161+G166+G171+G176+G181+G186</f>
        <v>89638133</v>
      </c>
      <c r="H191" s="314">
        <f t="shared" si="38"/>
        <v>0</v>
      </c>
      <c r="I191" s="89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989"/>
    </row>
    <row r="192" spans="1:23" s="308" customFormat="1" ht="12.75" customHeight="1">
      <c r="A192" s="978"/>
      <c r="B192" s="979"/>
      <c r="C192" s="979"/>
      <c r="D192" s="979"/>
      <c r="E192" s="979"/>
      <c r="F192" s="980"/>
      <c r="G192" s="314">
        <f t="shared" si="38"/>
        <v>0</v>
      </c>
      <c r="H192" s="314">
        <f t="shared" si="38"/>
        <v>0</v>
      </c>
      <c r="I192" s="292" t="s">
        <v>1</v>
      </c>
      <c r="J192" s="313">
        <f>J162+J167+J172+J177+J182+J187</f>
        <v>0</v>
      </c>
      <c r="K192" s="313">
        <f t="shared" ref="K192:W192" si="39">K162+K167+K172+K177+K182+K187</f>
        <v>0</v>
      </c>
      <c r="L192" s="313">
        <f t="shared" si="39"/>
        <v>0</v>
      </c>
      <c r="M192" s="313">
        <f t="shared" si="39"/>
        <v>0</v>
      </c>
      <c r="N192" s="313">
        <f t="shared" si="39"/>
        <v>0</v>
      </c>
      <c r="O192" s="313">
        <f t="shared" si="39"/>
        <v>0</v>
      </c>
      <c r="P192" s="313">
        <f t="shared" si="39"/>
        <v>0</v>
      </c>
      <c r="Q192" s="313">
        <f t="shared" si="39"/>
        <v>0</v>
      </c>
      <c r="R192" s="313">
        <f t="shared" si="39"/>
        <v>0</v>
      </c>
      <c r="S192" s="313">
        <f t="shared" si="39"/>
        <v>0</v>
      </c>
      <c r="T192" s="313">
        <f t="shared" si="39"/>
        <v>0</v>
      </c>
      <c r="U192" s="313">
        <f t="shared" si="39"/>
        <v>0</v>
      </c>
      <c r="V192" s="313">
        <f t="shared" si="39"/>
        <v>0</v>
      </c>
      <c r="W192" s="313">
        <f t="shared" si="39"/>
        <v>0</v>
      </c>
    </row>
    <row r="193" spans="1:23" s="308" customFormat="1" ht="12.75" customHeight="1">
      <c r="A193" s="978"/>
      <c r="B193" s="979"/>
      <c r="C193" s="979"/>
      <c r="D193" s="979"/>
      <c r="E193" s="979"/>
      <c r="F193" s="980"/>
      <c r="G193" s="314">
        <f t="shared" si="38"/>
        <v>15413088</v>
      </c>
      <c r="H193" s="314">
        <f t="shared" si="38"/>
        <v>0</v>
      </c>
      <c r="I193" s="898" t="s">
        <v>2</v>
      </c>
      <c r="J193" s="989">
        <f t="shared" ref="J193:W193" si="40">J190+J192</f>
        <v>68418123</v>
      </c>
      <c r="K193" s="989">
        <f t="shared" si="40"/>
        <v>58500000</v>
      </c>
      <c r="L193" s="989">
        <f t="shared" si="40"/>
        <v>58415000</v>
      </c>
      <c r="M193" s="989">
        <f t="shared" si="40"/>
        <v>85000</v>
      </c>
      <c r="N193" s="989">
        <f t="shared" si="40"/>
        <v>9918123</v>
      </c>
      <c r="O193" s="989">
        <f t="shared" si="40"/>
        <v>0</v>
      </c>
      <c r="P193" s="989">
        <f t="shared" si="40"/>
        <v>0</v>
      </c>
      <c r="Q193" s="989">
        <f t="shared" si="40"/>
        <v>0</v>
      </c>
      <c r="R193" s="989">
        <f t="shared" si="40"/>
        <v>9918123</v>
      </c>
      <c r="S193" s="989">
        <f t="shared" si="40"/>
        <v>9903123</v>
      </c>
      <c r="T193" s="989">
        <f t="shared" si="40"/>
        <v>15000</v>
      </c>
      <c r="U193" s="989">
        <f t="shared" si="40"/>
        <v>0</v>
      </c>
      <c r="V193" s="989">
        <f t="shared" si="40"/>
        <v>0</v>
      </c>
      <c r="W193" s="989">
        <f t="shared" si="40"/>
        <v>0</v>
      </c>
    </row>
    <row r="194" spans="1:23" s="308" customFormat="1" ht="12.75" customHeight="1">
      <c r="A194" s="981"/>
      <c r="B194" s="982"/>
      <c r="C194" s="982"/>
      <c r="D194" s="982"/>
      <c r="E194" s="982"/>
      <c r="F194" s="983"/>
      <c r="G194" s="314">
        <f t="shared" si="38"/>
        <v>0</v>
      </c>
      <c r="H194" s="314">
        <f t="shared" si="38"/>
        <v>0</v>
      </c>
      <c r="I194" s="899"/>
      <c r="J194" s="989"/>
      <c r="K194" s="989"/>
      <c r="L194" s="989"/>
      <c r="M194" s="989"/>
      <c r="N194" s="989"/>
      <c r="O194" s="989"/>
      <c r="P194" s="989"/>
      <c r="Q194" s="989"/>
      <c r="R194" s="989"/>
      <c r="S194" s="989"/>
      <c r="T194" s="989"/>
      <c r="U194" s="989"/>
      <c r="V194" s="989"/>
      <c r="W194" s="989"/>
    </row>
    <row r="195" spans="1:23" s="308" customFormat="1" ht="2.25" customHeight="1">
      <c r="A195" s="990"/>
      <c r="B195" s="991"/>
      <c r="C195" s="991"/>
      <c r="D195" s="991"/>
      <c r="E195" s="991"/>
      <c r="F195" s="991"/>
      <c r="G195" s="991"/>
      <c r="H195" s="991"/>
      <c r="I195" s="991"/>
      <c r="J195" s="991"/>
      <c r="K195" s="991"/>
      <c r="L195" s="991"/>
      <c r="M195" s="991"/>
      <c r="N195" s="991"/>
      <c r="O195" s="991"/>
      <c r="P195" s="991"/>
      <c r="Q195" s="991"/>
      <c r="R195" s="991"/>
      <c r="S195" s="991"/>
      <c r="T195" s="991"/>
      <c r="U195" s="991"/>
      <c r="V195" s="991"/>
      <c r="W195" s="992"/>
    </row>
    <row r="196" spans="1:23" s="283" customFormat="1" ht="21" customHeight="1">
      <c r="A196" s="993" t="s">
        <v>757</v>
      </c>
      <c r="B196" s="994"/>
      <c r="C196" s="994"/>
      <c r="D196" s="994"/>
      <c r="E196" s="994"/>
      <c r="F196" s="994"/>
      <c r="G196" s="994"/>
      <c r="H196" s="994"/>
      <c r="I196" s="994"/>
      <c r="J196" s="994"/>
      <c r="K196" s="994"/>
      <c r="L196" s="994"/>
      <c r="M196" s="994"/>
      <c r="N196" s="994"/>
      <c r="O196" s="994"/>
      <c r="P196" s="994"/>
      <c r="Q196" s="994"/>
      <c r="R196" s="994"/>
      <c r="S196" s="994"/>
      <c r="T196" s="994"/>
      <c r="U196" s="994"/>
      <c r="V196" s="994"/>
      <c r="W196" s="995"/>
    </row>
    <row r="197" spans="1:23" s="283" customFormat="1" ht="2.25" customHeight="1">
      <c r="A197" s="996"/>
      <c r="B197" s="997"/>
      <c r="C197" s="997"/>
      <c r="D197" s="997"/>
      <c r="E197" s="997"/>
      <c r="F197" s="997"/>
      <c r="G197" s="997"/>
      <c r="H197" s="997"/>
      <c r="I197" s="997"/>
      <c r="J197" s="997"/>
      <c r="K197" s="997"/>
      <c r="L197" s="997"/>
      <c r="M197" s="997"/>
      <c r="N197" s="997"/>
      <c r="O197" s="997"/>
      <c r="P197" s="997"/>
      <c r="Q197" s="997"/>
      <c r="R197" s="997"/>
      <c r="S197" s="997"/>
      <c r="T197" s="997"/>
      <c r="U197" s="997"/>
      <c r="V197" s="998"/>
      <c r="W197" s="282"/>
    </row>
    <row r="198" spans="1:23" s="308" customFormat="1" ht="13.5" customHeight="1">
      <c r="A198" s="910">
        <v>1</v>
      </c>
      <c r="B198" s="914" t="s">
        <v>845</v>
      </c>
      <c r="C198" s="985" t="s">
        <v>846</v>
      </c>
      <c r="D198" s="914" t="s">
        <v>411</v>
      </c>
      <c r="E198" s="988" t="s">
        <v>690</v>
      </c>
      <c r="F198" s="910" t="s">
        <v>408</v>
      </c>
      <c r="G198" s="307" t="s">
        <v>408</v>
      </c>
      <c r="H198" s="307" t="s">
        <v>408</v>
      </c>
      <c r="I198" s="908" t="s">
        <v>0</v>
      </c>
      <c r="J198" s="984">
        <f>K198+N198</f>
        <v>261368</v>
      </c>
      <c r="K198" s="984">
        <f>L198+M198</f>
        <v>0</v>
      </c>
      <c r="L198" s="974">
        <v>0</v>
      </c>
      <c r="M198" s="974">
        <v>0</v>
      </c>
      <c r="N198" s="984">
        <f>O198+R198+U198</f>
        <v>261368</v>
      </c>
      <c r="O198" s="984">
        <f>P198+Q198</f>
        <v>261368</v>
      </c>
      <c r="P198" s="974">
        <v>108000</v>
      </c>
      <c r="Q198" s="974">
        <v>153368</v>
      </c>
      <c r="R198" s="984">
        <f>S198+T198</f>
        <v>0</v>
      </c>
      <c r="S198" s="974">
        <v>0</v>
      </c>
      <c r="T198" s="974">
        <v>0</v>
      </c>
      <c r="U198" s="984">
        <f>V198+W198</f>
        <v>0</v>
      </c>
      <c r="V198" s="974">
        <v>0</v>
      </c>
      <c r="W198" s="974">
        <v>0</v>
      </c>
    </row>
    <row r="199" spans="1:23" s="308" customFormat="1" ht="12.75" customHeight="1">
      <c r="A199" s="910"/>
      <c r="B199" s="914"/>
      <c r="C199" s="986"/>
      <c r="D199" s="914"/>
      <c r="E199" s="988"/>
      <c r="F199" s="910"/>
      <c r="G199" s="307" t="s">
        <v>408</v>
      </c>
      <c r="H199" s="307" t="s">
        <v>408</v>
      </c>
      <c r="I199" s="909"/>
      <c r="J199" s="984"/>
      <c r="K199" s="984"/>
      <c r="L199" s="974"/>
      <c r="M199" s="974"/>
      <c r="N199" s="984"/>
      <c r="O199" s="984"/>
      <c r="P199" s="974"/>
      <c r="Q199" s="974"/>
      <c r="R199" s="984"/>
      <c r="S199" s="974"/>
      <c r="T199" s="974"/>
      <c r="U199" s="984"/>
      <c r="V199" s="974"/>
      <c r="W199" s="974"/>
    </row>
    <row r="200" spans="1:23" s="308" customFormat="1" ht="12.75" customHeight="1">
      <c r="A200" s="910"/>
      <c r="B200" s="914"/>
      <c r="C200" s="986"/>
      <c r="D200" s="914"/>
      <c r="E200" s="988"/>
      <c r="F200" s="910"/>
      <c r="G200" s="307" t="s">
        <v>408</v>
      </c>
      <c r="H200" s="307" t="s">
        <v>408</v>
      </c>
      <c r="I200" s="286" t="s">
        <v>1</v>
      </c>
      <c r="J200" s="309">
        <f>K200+N200</f>
        <v>-167932</v>
      </c>
      <c r="K200" s="309">
        <f>L200+M200</f>
        <v>0</v>
      </c>
      <c r="L200" s="310">
        <v>0</v>
      </c>
      <c r="M200" s="310">
        <v>0</v>
      </c>
      <c r="N200" s="309">
        <f>O200+R200+U200</f>
        <v>-167932</v>
      </c>
      <c r="O200" s="309">
        <f>P200+Q200</f>
        <v>-167932</v>
      </c>
      <c r="P200" s="310">
        <v>-93220</v>
      </c>
      <c r="Q200" s="310">
        <v>-74712</v>
      </c>
      <c r="R200" s="309">
        <f>S200+T200</f>
        <v>0</v>
      </c>
      <c r="S200" s="310">
        <v>0</v>
      </c>
      <c r="T200" s="310">
        <v>0</v>
      </c>
      <c r="U200" s="309">
        <f>V200+W200</f>
        <v>0</v>
      </c>
      <c r="V200" s="310">
        <v>0</v>
      </c>
      <c r="W200" s="310">
        <v>0</v>
      </c>
    </row>
    <row r="201" spans="1:23" s="308" customFormat="1" ht="12.75" customHeight="1">
      <c r="A201" s="910"/>
      <c r="B201" s="914"/>
      <c r="C201" s="986"/>
      <c r="D201" s="914"/>
      <c r="E201" s="988"/>
      <c r="F201" s="910"/>
      <c r="G201" s="307" t="s">
        <v>408</v>
      </c>
      <c r="H201" s="307" t="s">
        <v>408</v>
      </c>
      <c r="I201" s="908" t="s">
        <v>2</v>
      </c>
      <c r="J201" s="984">
        <f t="shared" ref="J201:W201" si="41">J198+J200</f>
        <v>93436</v>
      </c>
      <c r="K201" s="984">
        <f t="shared" si="41"/>
        <v>0</v>
      </c>
      <c r="L201" s="974">
        <f t="shared" si="41"/>
        <v>0</v>
      </c>
      <c r="M201" s="974">
        <f t="shared" si="41"/>
        <v>0</v>
      </c>
      <c r="N201" s="984">
        <f t="shared" si="41"/>
        <v>93436</v>
      </c>
      <c r="O201" s="984">
        <f t="shared" si="41"/>
        <v>93436</v>
      </c>
      <c r="P201" s="974">
        <f t="shared" si="41"/>
        <v>14780</v>
      </c>
      <c r="Q201" s="974">
        <f t="shared" si="41"/>
        <v>78656</v>
      </c>
      <c r="R201" s="984">
        <f t="shared" si="41"/>
        <v>0</v>
      </c>
      <c r="S201" s="974">
        <f t="shared" si="41"/>
        <v>0</v>
      </c>
      <c r="T201" s="974">
        <f t="shared" si="41"/>
        <v>0</v>
      </c>
      <c r="U201" s="984">
        <f t="shared" si="41"/>
        <v>0</v>
      </c>
      <c r="V201" s="974">
        <f t="shared" si="41"/>
        <v>0</v>
      </c>
      <c r="W201" s="974">
        <f t="shared" si="41"/>
        <v>0</v>
      </c>
    </row>
    <row r="202" spans="1:23" s="308" customFormat="1" ht="12.75" customHeight="1">
      <c r="A202" s="910"/>
      <c r="B202" s="914"/>
      <c r="C202" s="987"/>
      <c r="D202" s="914"/>
      <c r="E202" s="988"/>
      <c r="F202" s="910"/>
      <c r="G202" s="307" t="s">
        <v>408</v>
      </c>
      <c r="H202" s="307" t="s">
        <v>408</v>
      </c>
      <c r="I202" s="909"/>
      <c r="J202" s="984"/>
      <c r="K202" s="984"/>
      <c r="L202" s="974"/>
      <c r="M202" s="974"/>
      <c r="N202" s="984"/>
      <c r="O202" s="984"/>
      <c r="P202" s="974"/>
      <c r="Q202" s="974"/>
      <c r="R202" s="984"/>
      <c r="S202" s="974"/>
      <c r="T202" s="974"/>
      <c r="U202" s="984"/>
      <c r="V202" s="974"/>
      <c r="W202" s="974"/>
    </row>
    <row r="203" spans="1:23" s="308" customFormat="1" ht="12.75" customHeight="1">
      <c r="A203" s="910">
        <v>2</v>
      </c>
      <c r="B203" s="914" t="s">
        <v>845</v>
      </c>
      <c r="C203" s="985" t="s">
        <v>847</v>
      </c>
      <c r="D203" s="914" t="s">
        <v>411</v>
      </c>
      <c r="E203" s="988" t="s">
        <v>848</v>
      </c>
      <c r="F203" s="910" t="s">
        <v>408</v>
      </c>
      <c r="G203" s="307" t="s">
        <v>408</v>
      </c>
      <c r="H203" s="307" t="s">
        <v>408</v>
      </c>
      <c r="I203" s="908" t="s">
        <v>0</v>
      </c>
      <c r="J203" s="984">
        <f>K203+N203</f>
        <v>259906</v>
      </c>
      <c r="K203" s="984">
        <f>L203+M203</f>
        <v>0</v>
      </c>
      <c r="L203" s="974">
        <v>0</v>
      </c>
      <c r="M203" s="974">
        <v>0</v>
      </c>
      <c r="N203" s="984">
        <f>O203+R203+U203</f>
        <v>259906</v>
      </c>
      <c r="O203" s="984">
        <f>P203+Q203</f>
        <v>259906</v>
      </c>
      <c r="P203" s="974">
        <v>0</v>
      </c>
      <c r="Q203" s="974">
        <v>259906</v>
      </c>
      <c r="R203" s="984">
        <f>S203+T203</f>
        <v>0</v>
      </c>
      <c r="S203" s="974">
        <v>0</v>
      </c>
      <c r="T203" s="974">
        <v>0</v>
      </c>
      <c r="U203" s="984">
        <f>V203+W203</f>
        <v>0</v>
      </c>
      <c r="V203" s="974">
        <v>0</v>
      </c>
      <c r="W203" s="974">
        <v>0</v>
      </c>
    </row>
    <row r="204" spans="1:23" s="308" customFormat="1" ht="12.75" customHeight="1">
      <c r="A204" s="910"/>
      <c r="B204" s="914"/>
      <c r="C204" s="986"/>
      <c r="D204" s="914"/>
      <c r="E204" s="988"/>
      <c r="F204" s="910"/>
      <c r="G204" s="307" t="s">
        <v>408</v>
      </c>
      <c r="H204" s="307" t="s">
        <v>408</v>
      </c>
      <c r="I204" s="909"/>
      <c r="J204" s="984"/>
      <c r="K204" s="984"/>
      <c r="L204" s="974"/>
      <c r="M204" s="974"/>
      <c r="N204" s="984"/>
      <c r="O204" s="984"/>
      <c r="P204" s="974"/>
      <c r="Q204" s="974"/>
      <c r="R204" s="984"/>
      <c r="S204" s="974"/>
      <c r="T204" s="974"/>
      <c r="U204" s="984"/>
      <c r="V204" s="974"/>
      <c r="W204" s="974"/>
    </row>
    <row r="205" spans="1:23" s="308" customFormat="1" ht="12.75" customHeight="1">
      <c r="A205" s="910"/>
      <c r="B205" s="914"/>
      <c r="C205" s="986"/>
      <c r="D205" s="914"/>
      <c r="E205" s="988"/>
      <c r="F205" s="910"/>
      <c r="G205" s="307" t="s">
        <v>408</v>
      </c>
      <c r="H205" s="307" t="s">
        <v>408</v>
      </c>
      <c r="I205" s="286" t="s">
        <v>1</v>
      </c>
      <c r="J205" s="309">
        <f>K205+N205</f>
        <v>95856</v>
      </c>
      <c r="K205" s="309">
        <f>L205+M205</f>
        <v>0</v>
      </c>
      <c r="L205" s="310">
        <v>0</v>
      </c>
      <c r="M205" s="310">
        <v>0</v>
      </c>
      <c r="N205" s="309">
        <f>O205+R205+U205</f>
        <v>95856</v>
      </c>
      <c r="O205" s="309">
        <f>P205+Q205</f>
        <v>95856</v>
      </c>
      <c r="P205" s="310">
        <v>3220</v>
      </c>
      <c r="Q205" s="310">
        <v>92636</v>
      </c>
      <c r="R205" s="309">
        <f>S205+T205</f>
        <v>0</v>
      </c>
      <c r="S205" s="310">
        <v>0</v>
      </c>
      <c r="T205" s="310">
        <v>0</v>
      </c>
      <c r="U205" s="309">
        <f>V205+W205</f>
        <v>0</v>
      </c>
      <c r="V205" s="310">
        <v>0</v>
      </c>
      <c r="W205" s="310">
        <v>0</v>
      </c>
    </row>
    <row r="206" spans="1:23" s="308" customFormat="1" ht="12.75" customHeight="1">
      <c r="A206" s="910"/>
      <c r="B206" s="914"/>
      <c r="C206" s="986"/>
      <c r="D206" s="914"/>
      <c r="E206" s="988"/>
      <c r="F206" s="910"/>
      <c r="G206" s="307" t="s">
        <v>408</v>
      </c>
      <c r="H206" s="307" t="s">
        <v>408</v>
      </c>
      <c r="I206" s="908" t="s">
        <v>2</v>
      </c>
      <c r="J206" s="984">
        <f t="shared" ref="J206:W206" si="42">J203+J205</f>
        <v>355762</v>
      </c>
      <c r="K206" s="984">
        <f t="shared" si="42"/>
        <v>0</v>
      </c>
      <c r="L206" s="974">
        <f t="shared" si="42"/>
        <v>0</v>
      </c>
      <c r="M206" s="974">
        <f t="shared" si="42"/>
        <v>0</v>
      </c>
      <c r="N206" s="984">
        <f t="shared" si="42"/>
        <v>355762</v>
      </c>
      <c r="O206" s="984">
        <f t="shared" si="42"/>
        <v>355762</v>
      </c>
      <c r="P206" s="974">
        <f t="shared" si="42"/>
        <v>3220</v>
      </c>
      <c r="Q206" s="974">
        <f t="shared" si="42"/>
        <v>352542</v>
      </c>
      <c r="R206" s="984">
        <f t="shared" si="42"/>
        <v>0</v>
      </c>
      <c r="S206" s="974">
        <f t="shared" si="42"/>
        <v>0</v>
      </c>
      <c r="T206" s="974">
        <f t="shared" si="42"/>
        <v>0</v>
      </c>
      <c r="U206" s="984">
        <f t="shared" si="42"/>
        <v>0</v>
      </c>
      <c r="V206" s="974">
        <f t="shared" si="42"/>
        <v>0</v>
      </c>
      <c r="W206" s="974">
        <f t="shared" si="42"/>
        <v>0</v>
      </c>
    </row>
    <row r="207" spans="1:23" s="308" customFormat="1" ht="12.75" customHeight="1">
      <c r="A207" s="910"/>
      <c r="B207" s="914"/>
      <c r="C207" s="987"/>
      <c r="D207" s="914"/>
      <c r="E207" s="988"/>
      <c r="F207" s="910"/>
      <c r="G207" s="307" t="s">
        <v>408</v>
      </c>
      <c r="H207" s="307" t="s">
        <v>408</v>
      </c>
      <c r="I207" s="909"/>
      <c r="J207" s="984"/>
      <c r="K207" s="984"/>
      <c r="L207" s="974"/>
      <c r="M207" s="974"/>
      <c r="N207" s="984"/>
      <c r="O207" s="984"/>
      <c r="P207" s="974"/>
      <c r="Q207" s="974"/>
      <c r="R207" s="984"/>
      <c r="S207" s="974"/>
      <c r="T207" s="974"/>
      <c r="U207" s="984"/>
      <c r="V207" s="974"/>
      <c r="W207" s="974"/>
    </row>
    <row r="208" spans="1:23" s="308" customFormat="1" ht="12.75" customHeight="1">
      <c r="A208" s="910">
        <v>3</v>
      </c>
      <c r="B208" s="914" t="s">
        <v>849</v>
      </c>
      <c r="C208" s="985" t="s">
        <v>850</v>
      </c>
      <c r="D208" s="914" t="s">
        <v>411</v>
      </c>
      <c r="E208" s="988" t="s">
        <v>851</v>
      </c>
      <c r="F208" s="910" t="s">
        <v>408</v>
      </c>
      <c r="G208" s="307" t="s">
        <v>408</v>
      </c>
      <c r="H208" s="307" t="s">
        <v>408</v>
      </c>
      <c r="I208" s="908" t="s">
        <v>0</v>
      </c>
      <c r="J208" s="984">
        <f>K208+N208</f>
        <v>254486</v>
      </c>
      <c r="K208" s="984">
        <f>L208+M208</f>
        <v>0</v>
      </c>
      <c r="L208" s="974">
        <v>0</v>
      </c>
      <c r="M208" s="974">
        <v>0</v>
      </c>
      <c r="N208" s="984">
        <f>O208+R208+U208</f>
        <v>254486</v>
      </c>
      <c r="O208" s="984">
        <f>P208+Q208</f>
        <v>254486</v>
      </c>
      <c r="P208" s="974">
        <v>0</v>
      </c>
      <c r="Q208" s="974">
        <v>254486</v>
      </c>
      <c r="R208" s="984">
        <f>S208+T208</f>
        <v>0</v>
      </c>
      <c r="S208" s="974">
        <v>0</v>
      </c>
      <c r="T208" s="974">
        <v>0</v>
      </c>
      <c r="U208" s="984">
        <f>V208+W208</f>
        <v>0</v>
      </c>
      <c r="V208" s="974">
        <v>0</v>
      </c>
      <c r="W208" s="974">
        <v>0</v>
      </c>
    </row>
    <row r="209" spans="1:23" s="308" customFormat="1" ht="12.75" customHeight="1">
      <c r="A209" s="910"/>
      <c r="B209" s="914"/>
      <c r="C209" s="986"/>
      <c r="D209" s="914"/>
      <c r="E209" s="988"/>
      <c r="F209" s="910"/>
      <c r="G209" s="307" t="s">
        <v>408</v>
      </c>
      <c r="H209" s="307" t="s">
        <v>408</v>
      </c>
      <c r="I209" s="909"/>
      <c r="J209" s="984"/>
      <c r="K209" s="984"/>
      <c r="L209" s="974"/>
      <c r="M209" s="974"/>
      <c r="N209" s="984"/>
      <c r="O209" s="984"/>
      <c r="P209" s="974"/>
      <c r="Q209" s="974"/>
      <c r="R209" s="984"/>
      <c r="S209" s="974"/>
      <c r="T209" s="974"/>
      <c r="U209" s="984"/>
      <c r="V209" s="974"/>
      <c r="W209" s="974"/>
    </row>
    <row r="210" spans="1:23" s="308" customFormat="1" ht="12.75" customHeight="1">
      <c r="A210" s="910"/>
      <c r="B210" s="914"/>
      <c r="C210" s="986"/>
      <c r="D210" s="914"/>
      <c r="E210" s="988"/>
      <c r="F210" s="910"/>
      <c r="G210" s="307" t="s">
        <v>408</v>
      </c>
      <c r="H210" s="307" t="s">
        <v>408</v>
      </c>
      <c r="I210" s="286" t="s">
        <v>1</v>
      </c>
      <c r="J210" s="309">
        <f>K210+N210</f>
        <v>-254486</v>
      </c>
      <c r="K210" s="309">
        <f>L210+M210</f>
        <v>0</v>
      </c>
      <c r="L210" s="310">
        <v>0</v>
      </c>
      <c r="M210" s="310">
        <v>0</v>
      </c>
      <c r="N210" s="309">
        <f>O210+R210+U210</f>
        <v>-254486</v>
      </c>
      <c r="O210" s="309">
        <f>P210+Q210</f>
        <v>-254486</v>
      </c>
      <c r="P210" s="310">
        <v>0</v>
      </c>
      <c r="Q210" s="310">
        <v>-254486</v>
      </c>
      <c r="R210" s="309">
        <f>S210+T210</f>
        <v>0</v>
      </c>
      <c r="S210" s="310">
        <v>0</v>
      </c>
      <c r="T210" s="310">
        <v>0</v>
      </c>
      <c r="U210" s="309">
        <f>V210+W210</f>
        <v>0</v>
      </c>
      <c r="V210" s="310">
        <v>0</v>
      </c>
      <c r="W210" s="310">
        <v>0</v>
      </c>
    </row>
    <row r="211" spans="1:23" s="308" customFormat="1" ht="12.75" customHeight="1">
      <c r="A211" s="910"/>
      <c r="B211" s="914"/>
      <c r="C211" s="986"/>
      <c r="D211" s="914"/>
      <c r="E211" s="988"/>
      <c r="F211" s="910"/>
      <c r="G211" s="307" t="s">
        <v>408</v>
      </c>
      <c r="H211" s="307" t="s">
        <v>408</v>
      </c>
      <c r="I211" s="908" t="s">
        <v>2</v>
      </c>
      <c r="J211" s="984">
        <f t="shared" ref="J211:W211" si="43">J208+J210</f>
        <v>0</v>
      </c>
      <c r="K211" s="984">
        <f t="shared" si="43"/>
        <v>0</v>
      </c>
      <c r="L211" s="974">
        <f t="shared" si="43"/>
        <v>0</v>
      </c>
      <c r="M211" s="974">
        <f t="shared" si="43"/>
        <v>0</v>
      </c>
      <c r="N211" s="984">
        <f t="shared" si="43"/>
        <v>0</v>
      </c>
      <c r="O211" s="984">
        <f t="shared" si="43"/>
        <v>0</v>
      </c>
      <c r="P211" s="974">
        <f t="shared" si="43"/>
        <v>0</v>
      </c>
      <c r="Q211" s="974">
        <f t="shared" si="43"/>
        <v>0</v>
      </c>
      <c r="R211" s="984">
        <f t="shared" si="43"/>
        <v>0</v>
      </c>
      <c r="S211" s="974">
        <f t="shared" si="43"/>
        <v>0</v>
      </c>
      <c r="T211" s="974">
        <f t="shared" si="43"/>
        <v>0</v>
      </c>
      <c r="U211" s="984">
        <f t="shared" si="43"/>
        <v>0</v>
      </c>
      <c r="V211" s="974">
        <f t="shared" si="43"/>
        <v>0</v>
      </c>
      <c r="W211" s="974">
        <f t="shared" si="43"/>
        <v>0</v>
      </c>
    </row>
    <row r="212" spans="1:23" s="308" customFormat="1" ht="12.75" customHeight="1">
      <c r="A212" s="910"/>
      <c r="B212" s="914"/>
      <c r="C212" s="987"/>
      <c r="D212" s="914"/>
      <c r="E212" s="988"/>
      <c r="F212" s="910"/>
      <c r="G212" s="307" t="s">
        <v>408</v>
      </c>
      <c r="H212" s="307" t="s">
        <v>408</v>
      </c>
      <c r="I212" s="909"/>
      <c r="J212" s="984"/>
      <c r="K212" s="984"/>
      <c r="L212" s="974"/>
      <c r="M212" s="974"/>
      <c r="N212" s="984"/>
      <c r="O212" s="984"/>
      <c r="P212" s="974"/>
      <c r="Q212" s="974"/>
      <c r="R212" s="984"/>
      <c r="S212" s="974"/>
      <c r="T212" s="974"/>
      <c r="U212" s="984"/>
      <c r="V212" s="974"/>
      <c r="W212" s="974"/>
    </row>
    <row r="213" spans="1:23" s="308" customFormat="1" ht="12" customHeight="1">
      <c r="A213" s="910">
        <v>4</v>
      </c>
      <c r="B213" s="914" t="s">
        <v>849</v>
      </c>
      <c r="C213" s="985" t="s">
        <v>852</v>
      </c>
      <c r="D213" s="914" t="s">
        <v>411</v>
      </c>
      <c r="E213" s="988" t="s">
        <v>853</v>
      </c>
      <c r="F213" s="910" t="s">
        <v>408</v>
      </c>
      <c r="G213" s="307" t="s">
        <v>408</v>
      </c>
      <c r="H213" s="307" t="s">
        <v>408</v>
      </c>
      <c r="I213" s="908" t="s">
        <v>0</v>
      </c>
      <c r="J213" s="984">
        <f>K213+N213</f>
        <v>224240</v>
      </c>
      <c r="K213" s="984">
        <f>L213+M213</f>
        <v>0</v>
      </c>
      <c r="L213" s="974">
        <v>0</v>
      </c>
      <c r="M213" s="974">
        <v>0</v>
      </c>
      <c r="N213" s="984">
        <f>O213+R213+U213</f>
        <v>224240</v>
      </c>
      <c r="O213" s="984">
        <f>P213+Q213</f>
        <v>224240</v>
      </c>
      <c r="P213" s="974">
        <v>0</v>
      </c>
      <c r="Q213" s="974">
        <v>224240</v>
      </c>
      <c r="R213" s="984">
        <f>S213+T213</f>
        <v>0</v>
      </c>
      <c r="S213" s="974">
        <v>0</v>
      </c>
      <c r="T213" s="974">
        <v>0</v>
      </c>
      <c r="U213" s="984">
        <f>V213+W213</f>
        <v>0</v>
      </c>
      <c r="V213" s="974">
        <v>0</v>
      </c>
      <c r="W213" s="974">
        <v>0</v>
      </c>
    </row>
    <row r="214" spans="1:23" s="308" customFormat="1" ht="12.75" customHeight="1">
      <c r="A214" s="910"/>
      <c r="B214" s="914"/>
      <c r="C214" s="986"/>
      <c r="D214" s="914"/>
      <c r="E214" s="988"/>
      <c r="F214" s="910"/>
      <c r="G214" s="307" t="s">
        <v>408</v>
      </c>
      <c r="H214" s="307" t="s">
        <v>408</v>
      </c>
      <c r="I214" s="909"/>
      <c r="J214" s="984"/>
      <c r="K214" s="984"/>
      <c r="L214" s="974"/>
      <c r="M214" s="974"/>
      <c r="N214" s="984"/>
      <c r="O214" s="984"/>
      <c r="P214" s="974"/>
      <c r="Q214" s="974"/>
      <c r="R214" s="984"/>
      <c r="S214" s="974"/>
      <c r="T214" s="974"/>
      <c r="U214" s="984"/>
      <c r="V214" s="974"/>
      <c r="W214" s="974"/>
    </row>
    <row r="215" spans="1:23" s="308" customFormat="1" ht="12.75" customHeight="1">
      <c r="A215" s="910"/>
      <c r="B215" s="914"/>
      <c r="C215" s="986"/>
      <c r="D215" s="914"/>
      <c r="E215" s="988"/>
      <c r="F215" s="910"/>
      <c r="G215" s="307" t="s">
        <v>408</v>
      </c>
      <c r="H215" s="307" t="s">
        <v>408</v>
      </c>
      <c r="I215" s="286" t="s">
        <v>1</v>
      </c>
      <c r="J215" s="309">
        <f>K215+N215</f>
        <v>126218</v>
      </c>
      <c r="K215" s="309">
        <f>L215+M215</f>
        <v>0</v>
      </c>
      <c r="L215" s="310">
        <v>0</v>
      </c>
      <c r="M215" s="310">
        <v>0</v>
      </c>
      <c r="N215" s="309">
        <f>O215+R215+U215</f>
        <v>126218</v>
      </c>
      <c r="O215" s="309">
        <f>P215+Q215</f>
        <v>126218</v>
      </c>
      <c r="P215" s="310">
        <v>0</v>
      </c>
      <c r="Q215" s="310">
        <v>126218</v>
      </c>
      <c r="R215" s="309">
        <f>S215+T215</f>
        <v>0</v>
      </c>
      <c r="S215" s="310">
        <v>0</v>
      </c>
      <c r="T215" s="310">
        <v>0</v>
      </c>
      <c r="U215" s="309">
        <f>V215+W215</f>
        <v>0</v>
      </c>
      <c r="V215" s="310">
        <v>0</v>
      </c>
      <c r="W215" s="310">
        <v>0</v>
      </c>
    </row>
    <row r="216" spans="1:23" s="308" customFormat="1" ht="12.75" customHeight="1">
      <c r="A216" s="910"/>
      <c r="B216" s="914"/>
      <c r="C216" s="986"/>
      <c r="D216" s="914"/>
      <c r="E216" s="988"/>
      <c r="F216" s="910"/>
      <c r="G216" s="307" t="s">
        <v>408</v>
      </c>
      <c r="H216" s="307" t="s">
        <v>408</v>
      </c>
      <c r="I216" s="908" t="s">
        <v>2</v>
      </c>
      <c r="J216" s="984">
        <f t="shared" ref="J216:W216" si="44">J213+J215</f>
        <v>350458</v>
      </c>
      <c r="K216" s="984">
        <f t="shared" si="44"/>
        <v>0</v>
      </c>
      <c r="L216" s="974">
        <f t="shared" si="44"/>
        <v>0</v>
      </c>
      <c r="M216" s="974">
        <f t="shared" si="44"/>
        <v>0</v>
      </c>
      <c r="N216" s="984">
        <f t="shared" si="44"/>
        <v>350458</v>
      </c>
      <c r="O216" s="984">
        <f t="shared" si="44"/>
        <v>350458</v>
      </c>
      <c r="P216" s="974">
        <f t="shared" si="44"/>
        <v>0</v>
      </c>
      <c r="Q216" s="974">
        <f t="shared" si="44"/>
        <v>350458</v>
      </c>
      <c r="R216" s="984">
        <f t="shared" si="44"/>
        <v>0</v>
      </c>
      <c r="S216" s="974">
        <f t="shared" si="44"/>
        <v>0</v>
      </c>
      <c r="T216" s="974">
        <f t="shared" si="44"/>
        <v>0</v>
      </c>
      <c r="U216" s="984">
        <f t="shared" si="44"/>
        <v>0</v>
      </c>
      <c r="V216" s="974">
        <f t="shared" si="44"/>
        <v>0</v>
      </c>
      <c r="W216" s="974">
        <f t="shared" si="44"/>
        <v>0</v>
      </c>
    </row>
    <row r="217" spans="1:23" s="308" customFormat="1" ht="12.75" customHeight="1">
      <c r="A217" s="910"/>
      <c r="B217" s="914"/>
      <c r="C217" s="987"/>
      <c r="D217" s="914"/>
      <c r="E217" s="988"/>
      <c r="F217" s="910"/>
      <c r="G217" s="307" t="s">
        <v>408</v>
      </c>
      <c r="H217" s="307" t="s">
        <v>408</v>
      </c>
      <c r="I217" s="909"/>
      <c r="J217" s="984"/>
      <c r="K217" s="984"/>
      <c r="L217" s="974"/>
      <c r="M217" s="974"/>
      <c r="N217" s="984"/>
      <c r="O217" s="984"/>
      <c r="P217" s="974"/>
      <c r="Q217" s="974"/>
      <c r="R217" s="984"/>
      <c r="S217" s="974"/>
      <c r="T217" s="974"/>
      <c r="U217" s="984"/>
      <c r="V217" s="974"/>
      <c r="W217" s="974"/>
    </row>
    <row r="218" spans="1:23" s="308" customFormat="1" ht="20.25" customHeight="1">
      <c r="A218" s="910">
        <v>5</v>
      </c>
      <c r="B218" s="914" t="s">
        <v>854</v>
      </c>
      <c r="C218" s="985" t="s">
        <v>855</v>
      </c>
      <c r="D218" s="914" t="s">
        <v>411</v>
      </c>
      <c r="E218" s="988" t="s">
        <v>856</v>
      </c>
      <c r="F218" s="910" t="s">
        <v>408</v>
      </c>
      <c r="G218" s="307" t="s">
        <v>408</v>
      </c>
      <c r="H218" s="307" t="s">
        <v>408</v>
      </c>
      <c r="I218" s="908" t="s">
        <v>0</v>
      </c>
      <c r="J218" s="984">
        <f>K218+N218</f>
        <v>2460481</v>
      </c>
      <c r="K218" s="984">
        <f>L218+M218</f>
        <v>0</v>
      </c>
      <c r="L218" s="974">
        <v>0</v>
      </c>
      <c r="M218" s="974">
        <v>0</v>
      </c>
      <c r="N218" s="984">
        <f>O218+R218+U218</f>
        <v>2460481</v>
      </c>
      <c r="O218" s="984">
        <f>P218+Q218</f>
        <v>2460481</v>
      </c>
      <c r="P218" s="974">
        <v>2300677</v>
      </c>
      <c r="Q218" s="974">
        <v>159804</v>
      </c>
      <c r="R218" s="984">
        <f>S218+T218</f>
        <v>0</v>
      </c>
      <c r="S218" s="974">
        <v>0</v>
      </c>
      <c r="T218" s="974">
        <v>0</v>
      </c>
      <c r="U218" s="984">
        <f>V218+W218</f>
        <v>0</v>
      </c>
      <c r="V218" s="974">
        <v>0</v>
      </c>
      <c r="W218" s="974">
        <v>0</v>
      </c>
    </row>
    <row r="219" spans="1:23" s="308" customFormat="1" ht="16.5" customHeight="1">
      <c r="A219" s="910"/>
      <c r="B219" s="914"/>
      <c r="C219" s="986"/>
      <c r="D219" s="914"/>
      <c r="E219" s="988"/>
      <c r="F219" s="910"/>
      <c r="G219" s="307" t="s">
        <v>408</v>
      </c>
      <c r="H219" s="307" t="s">
        <v>408</v>
      </c>
      <c r="I219" s="909"/>
      <c r="J219" s="984"/>
      <c r="K219" s="984"/>
      <c r="L219" s="974"/>
      <c r="M219" s="974"/>
      <c r="N219" s="984"/>
      <c r="O219" s="984"/>
      <c r="P219" s="974"/>
      <c r="Q219" s="974"/>
      <c r="R219" s="984"/>
      <c r="S219" s="974"/>
      <c r="T219" s="974"/>
      <c r="U219" s="984"/>
      <c r="V219" s="974"/>
      <c r="W219" s="974"/>
    </row>
    <row r="220" spans="1:23" s="308" customFormat="1" ht="19.5" customHeight="1">
      <c r="A220" s="910"/>
      <c r="B220" s="914"/>
      <c r="C220" s="986"/>
      <c r="D220" s="914"/>
      <c r="E220" s="988"/>
      <c r="F220" s="910"/>
      <c r="G220" s="307" t="s">
        <v>408</v>
      </c>
      <c r="H220" s="307" t="s">
        <v>408</v>
      </c>
      <c r="I220" s="286" t="s">
        <v>1</v>
      </c>
      <c r="J220" s="309">
        <f>K220+N220</f>
        <v>1645196</v>
      </c>
      <c r="K220" s="309">
        <f>L220+M220</f>
        <v>0</v>
      </c>
      <c r="L220" s="310">
        <v>0</v>
      </c>
      <c r="M220" s="310">
        <v>0</v>
      </c>
      <c r="N220" s="309">
        <f>O220+R220+U220</f>
        <v>1645196</v>
      </c>
      <c r="O220" s="309">
        <f>P220+Q220</f>
        <v>1645196</v>
      </c>
      <c r="P220" s="310">
        <v>1305000</v>
      </c>
      <c r="Q220" s="310">
        <v>340196</v>
      </c>
      <c r="R220" s="309">
        <f>S220+T220</f>
        <v>0</v>
      </c>
      <c r="S220" s="310">
        <v>0</v>
      </c>
      <c r="T220" s="310">
        <v>0</v>
      </c>
      <c r="U220" s="309">
        <f>V220+W220</f>
        <v>0</v>
      </c>
      <c r="V220" s="310">
        <v>0</v>
      </c>
      <c r="W220" s="310">
        <v>0</v>
      </c>
    </row>
    <row r="221" spans="1:23" s="308" customFormat="1" ht="16.5" customHeight="1">
      <c r="A221" s="910"/>
      <c r="B221" s="914"/>
      <c r="C221" s="986"/>
      <c r="D221" s="914"/>
      <c r="E221" s="988"/>
      <c r="F221" s="910"/>
      <c r="G221" s="307" t="s">
        <v>408</v>
      </c>
      <c r="H221" s="307" t="s">
        <v>408</v>
      </c>
      <c r="I221" s="908" t="s">
        <v>2</v>
      </c>
      <c r="J221" s="984">
        <f t="shared" ref="J221:W221" si="45">J218+J220</f>
        <v>4105677</v>
      </c>
      <c r="K221" s="984">
        <f t="shared" si="45"/>
        <v>0</v>
      </c>
      <c r="L221" s="974">
        <f t="shared" si="45"/>
        <v>0</v>
      </c>
      <c r="M221" s="974">
        <f t="shared" si="45"/>
        <v>0</v>
      </c>
      <c r="N221" s="984">
        <f t="shared" si="45"/>
        <v>4105677</v>
      </c>
      <c r="O221" s="984">
        <f t="shared" si="45"/>
        <v>4105677</v>
      </c>
      <c r="P221" s="974">
        <f t="shared" si="45"/>
        <v>3605677</v>
      </c>
      <c r="Q221" s="974">
        <f t="shared" si="45"/>
        <v>500000</v>
      </c>
      <c r="R221" s="984">
        <f t="shared" si="45"/>
        <v>0</v>
      </c>
      <c r="S221" s="974">
        <f t="shared" si="45"/>
        <v>0</v>
      </c>
      <c r="T221" s="974">
        <f t="shared" si="45"/>
        <v>0</v>
      </c>
      <c r="U221" s="984">
        <f t="shared" si="45"/>
        <v>0</v>
      </c>
      <c r="V221" s="974">
        <f t="shared" si="45"/>
        <v>0</v>
      </c>
      <c r="W221" s="974">
        <f t="shared" si="45"/>
        <v>0</v>
      </c>
    </row>
    <row r="222" spans="1:23" s="308" customFormat="1" ht="16.5" customHeight="1">
      <c r="A222" s="910"/>
      <c r="B222" s="914"/>
      <c r="C222" s="987"/>
      <c r="D222" s="914"/>
      <c r="E222" s="988"/>
      <c r="F222" s="910"/>
      <c r="G222" s="307" t="s">
        <v>408</v>
      </c>
      <c r="H222" s="307" t="s">
        <v>408</v>
      </c>
      <c r="I222" s="909"/>
      <c r="J222" s="984"/>
      <c r="K222" s="984"/>
      <c r="L222" s="974"/>
      <c r="M222" s="974"/>
      <c r="N222" s="984"/>
      <c r="O222" s="984"/>
      <c r="P222" s="974"/>
      <c r="Q222" s="974"/>
      <c r="R222" s="984"/>
      <c r="S222" s="974"/>
      <c r="T222" s="974"/>
      <c r="U222" s="984"/>
      <c r="V222" s="974"/>
      <c r="W222" s="974"/>
    </row>
    <row r="223" spans="1:23" s="308" customFormat="1" ht="12.75" hidden="1" customHeight="1">
      <c r="A223" s="910">
        <v>6</v>
      </c>
      <c r="B223" s="914" t="s">
        <v>854</v>
      </c>
      <c r="C223" s="985" t="s">
        <v>857</v>
      </c>
      <c r="D223" s="914" t="s">
        <v>804</v>
      </c>
      <c r="E223" s="988" t="s">
        <v>819</v>
      </c>
      <c r="F223" s="910" t="s">
        <v>408</v>
      </c>
      <c r="G223" s="307" t="s">
        <v>408</v>
      </c>
      <c r="H223" s="307" t="s">
        <v>408</v>
      </c>
      <c r="I223" s="908" t="s">
        <v>0</v>
      </c>
      <c r="J223" s="984">
        <f>K223+N223</f>
        <v>131000</v>
      </c>
      <c r="K223" s="984">
        <f>L223+M223</f>
        <v>0</v>
      </c>
      <c r="L223" s="974">
        <v>0</v>
      </c>
      <c r="M223" s="974">
        <v>0</v>
      </c>
      <c r="N223" s="984">
        <f>O223+R223+U223</f>
        <v>131000</v>
      </c>
      <c r="O223" s="984">
        <f>P223+Q223</f>
        <v>131000</v>
      </c>
      <c r="P223" s="974">
        <v>131000</v>
      </c>
      <c r="Q223" s="974">
        <v>0</v>
      </c>
      <c r="R223" s="984">
        <f>S223+T223</f>
        <v>0</v>
      </c>
      <c r="S223" s="974">
        <v>0</v>
      </c>
      <c r="T223" s="974">
        <v>0</v>
      </c>
      <c r="U223" s="984">
        <f>V223+W223</f>
        <v>0</v>
      </c>
      <c r="V223" s="974">
        <v>0</v>
      </c>
      <c r="W223" s="974">
        <v>0</v>
      </c>
    </row>
    <row r="224" spans="1:23" s="308" customFormat="1" ht="12.75" hidden="1" customHeight="1">
      <c r="A224" s="910"/>
      <c r="B224" s="914"/>
      <c r="C224" s="986"/>
      <c r="D224" s="914"/>
      <c r="E224" s="988"/>
      <c r="F224" s="910"/>
      <c r="G224" s="307" t="s">
        <v>408</v>
      </c>
      <c r="H224" s="307" t="s">
        <v>408</v>
      </c>
      <c r="I224" s="909"/>
      <c r="J224" s="984"/>
      <c r="K224" s="984"/>
      <c r="L224" s="974"/>
      <c r="M224" s="974"/>
      <c r="N224" s="984"/>
      <c r="O224" s="984"/>
      <c r="P224" s="974"/>
      <c r="Q224" s="974"/>
      <c r="R224" s="984"/>
      <c r="S224" s="974"/>
      <c r="T224" s="974"/>
      <c r="U224" s="984"/>
      <c r="V224" s="974"/>
      <c r="W224" s="974"/>
    </row>
    <row r="225" spans="1:23" s="308" customFormat="1" ht="12.75" hidden="1" customHeight="1">
      <c r="A225" s="910"/>
      <c r="B225" s="914"/>
      <c r="C225" s="986"/>
      <c r="D225" s="914"/>
      <c r="E225" s="988"/>
      <c r="F225" s="910"/>
      <c r="G225" s="307" t="s">
        <v>408</v>
      </c>
      <c r="H225" s="307" t="s">
        <v>408</v>
      </c>
      <c r="I225" s="286" t="s">
        <v>1</v>
      </c>
      <c r="J225" s="309">
        <f>K225+N225</f>
        <v>0</v>
      </c>
      <c r="K225" s="309">
        <f>L225+M225</f>
        <v>0</v>
      </c>
      <c r="L225" s="310">
        <v>0</v>
      </c>
      <c r="M225" s="310">
        <v>0</v>
      </c>
      <c r="N225" s="309">
        <f>O225+R225+U225</f>
        <v>0</v>
      </c>
      <c r="O225" s="309">
        <f>P225+Q225</f>
        <v>0</v>
      </c>
      <c r="P225" s="310">
        <v>0</v>
      </c>
      <c r="Q225" s="310">
        <v>0</v>
      </c>
      <c r="R225" s="309">
        <f>S225+T225</f>
        <v>0</v>
      </c>
      <c r="S225" s="310">
        <v>0</v>
      </c>
      <c r="T225" s="310">
        <v>0</v>
      </c>
      <c r="U225" s="309">
        <f>V225+W225</f>
        <v>0</v>
      </c>
      <c r="V225" s="310">
        <v>0</v>
      </c>
      <c r="W225" s="310">
        <v>0</v>
      </c>
    </row>
    <row r="226" spans="1:23" s="308" customFormat="1" ht="12.75" hidden="1" customHeight="1">
      <c r="A226" s="910"/>
      <c r="B226" s="914"/>
      <c r="C226" s="986"/>
      <c r="D226" s="914"/>
      <c r="E226" s="988"/>
      <c r="F226" s="910"/>
      <c r="G226" s="307" t="s">
        <v>408</v>
      </c>
      <c r="H226" s="307" t="s">
        <v>408</v>
      </c>
      <c r="I226" s="908" t="s">
        <v>2</v>
      </c>
      <c r="J226" s="984">
        <f t="shared" ref="J226:W226" si="46">J223+J225</f>
        <v>131000</v>
      </c>
      <c r="K226" s="984">
        <f t="shared" si="46"/>
        <v>0</v>
      </c>
      <c r="L226" s="974">
        <f t="shared" si="46"/>
        <v>0</v>
      </c>
      <c r="M226" s="974">
        <f t="shared" si="46"/>
        <v>0</v>
      </c>
      <c r="N226" s="984">
        <f t="shared" si="46"/>
        <v>131000</v>
      </c>
      <c r="O226" s="984">
        <f t="shared" si="46"/>
        <v>131000</v>
      </c>
      <c r="P226" s="974">
        <f t="shared" si="46"/>
        <v>131000</v>
      </c>
      <c r="Q226" s="974">
        <f t="shared" si="46"/>
        <v>0</v>
      </c>
      <c r="R226" s="984">
        <f t="shared" si="46"/>
        <v>0</v>
      </c>
      <c r="S226" s="974">
        <f t="shared" si="46"/>
        <v>0</v>
      </c>
      <c r="T226" s="974">
        <f t="shared" si="46"/>
        <v>0</v>
      </c>
      <c r="U226" s="984">
        <f t="shared" si="46"/>
        <v>0</v>
      </c>
      <c r="V226" s="974">
        <f t="shared" si="46"/>
        <v>0</v>
      </c>
      <c r="W226" s="974">
        <f t="shared" si="46"/>
        <v>0</v>
      </c>
    </row>
    <row r="227" spans="1:23" s="308" customFormat="1" ht="12.75" hidden="1" customHeight="1">
      <c r="A227" s="910"/>
      <c r="B227" s="914"/>
      <c r="C227" s="987"/>
      <c r="D227" s="914"/>
      <c r="E227" s="988"/>
      <c r="F227" s="910"/>
      <c r="G227" s="307" t="s">
        <v>408</v>
      </c>
      <c r="H227" s="307" t="s">
        <v>408</v>
      </c>
      <c r="I227" s="909"/>
      <c r="J227" s="984"/>
      <c r="K227" s="984"/>
      <c r="L227" s="974"/>
      <c r="M227" s="974"/>
      <c r="N227" s="984"/>
      <c r="O227" s="984"/>
      <c r="P227" s="974"/>
      <c r="Q227" s="974"/>
      <c r="R227" s="984"/>
      <c r="S227" s="974"/>
      <c r="T227" s="974"/>
      <c r="U227" s="984"/>
      <c r="V227" s="974"/>
      <c r="W227" s="974"/>
    </row>
    <row r="228" spans="1:23" s="308" customFormat="1" ht="12.75" customHeight="1">
      <c r="A228" s="910">
        <v>6</v>
      </c>
      <c r="B228" s="914" t="s">
        <v>854</v>
      </c>
      <c r="C228" s="985" t="s">
        <v>858</v>
      </c>
      <c r="D228" s="914" t="s">
        <v>411</v>
      </c>
      <c r="E228" s="988" t="s">
        <v>698</v>
      </c>
      <c r="F228" s="910" t="s">
        <v>408</v>
      </c>
      <c r="G228" s="307" t="s">
        <v>408</v>
      </c>
      <c r="H228" s="307" t="s">
        <v>408</v>
      </c>
      <c r="I228" s="908" t="s">
        <v>0</v>
      </c>
      <c r="J228" s="984">
        <f>K228+N228</f>
        <v>184602</v>
      </c>
      <c r="K228" s="984">
        <f>L228+M228</f>
        <v>0</v>
      </c>
      <c r="L228" s="974">
        <v>0</v>
      </c>
      <c r="M228" s="974">
        <v>0</v>
      </c>
      <c r="N228" s="984">
        <f>O228+R228+U228</f>
        <v>184602</v>
      </c>
      <c r="O228" s="984">
        <f>P228+Q228</f>
        <v>184602</v>
      </c>
      <c r="P228" s="974">
        <v>78406</v>
      </c>
      <c r="Q228" s="974">
        <v>106196</v>
      </c>
      <c r="R228" s="984">
        <f>S228+T228</f>
        <v>0</v>
      </c>
      <c r="S228" s="974">
        <v>0</v>
      </c>
      <c r="T228" s="974">
        <v>0</v>
      </c>
      <c r="U228" s="984">
        <f>V228+W228</f>
        <v>0</v>
      </c>
      <c r="V228" s="974">
        <v>0</v>
      </c>
      <c r="W228" s="974">
        <v>0</v>
      </c>
    </row>
    <row r="229" spans="1:23" s="308" customFormat="1" ht="12.75" customHeight="1">
      <c r="A229" s="910"/>
      <c r="B229" s="914"/>
      <c r="C229" s="986"/>
      <c r="D229" s="914"/>
      <c r="E229" s="988"/>
      <c r="F229" s="910"/>
      <c r="G229" s="307" t="s">
        <v>408</v>
      </c>
      <c r="H229" s="307" t="s">
        <v>408</v>
      </c>
      <c r="I229" s="909"/>
      <c r="J229" s="984"/>
      <c r="K229" s="984"/>
      <c r="L229" s="974"/>
      <c r="M229" s="974"/>
      <c r="N229" s="984"/>
      <c r="O229" s="984"/>
      <c r="P229" s="974"/>
      <c r="Q229" s="974"/>
      <c r="R229" s="984"/>
      <c r="S229" s="974"/>
      <c r="T229" s="974"/>
      <c r="U229" s="984"/>
      <c r="V229" s="974"/>
      <c r="W229" s="974"/>
    </row>
    <row r="230" spans="1:23" s="308" customFormat="1" ht="12.75" customHeight="1">
      <c r="A230" s="910"/>
      <c r="B230" s="914"/>
      <c r="C230" s="986"/>
      <c r="D230" s="914"/>
      <c r="E230" s="988"/>
      <c r="F230" s="910"/>
      <c r="G230" s="307" t="s">
        <v>408</v>
      </c>
      <c r="H230" s="307" t="s">
        <v>408</v>
      </c>
      <c r="I230" s="286" t="s">
        <v>1</v>
      </c>
      <c r="J230" s="309">
        <f>K230+N230</f>
        <v>956398</v>
      </c>
      <c r="K230" s="309">
        <f>L230+M230</f>
        <v>0</v>
      </c>
      <c r="L230" s="310">
        <v>0</v>
      </c>
      <c r="M230" s="310">
        <v>0</v>
      </c>
      <c r="N230" s="309">
        <f>O230+R230+U230</f>
        <v>956398</v>
      </c>
      <c r="O230" s="309">
        <f>P230+Q230</f>
        <v>956398</v>
      </c>
      <c r="P230" s="310">
        <v>921594</v>
      </c>
      <c r="Q230" s="310">
        <v>34804</v>
      </c>
      <c r="R230" s="309">
        <f>S230+T230</f>
        <v>0</v>
      </c>
      <c r="S230" s="310">
        <v>0</v>
      </c>
      <c r="T230" s="310">
        <v>0</v>
      </c>
      <c r="U230" s="309">
        <f>V230+W230</f>
        <v>0</v>
      </c>
      <c r="V230" s="310">
        <v>0</v>
      </c>
      <c r="W230" s="310">
        <v>0</v>
      </c>
    </row>
    <row r="231" spans="1:23" s="308" customFormat="1" ht="12.75" customHeight="1">
      <c r="A231" s="910"/>
      <c r="B231" s="914"/>
      <c r="C231" s="986"/>
      <c r="D231" s="914"/>
      <c r="E231" s="988"/>
      <c r="F231" s="910"/>
      <c r="G231" s="307" t="s">
        <v>408</v>
      </c>
      <c r="H231" s="307" t="s">
        <v>408</v>
      </c>
      <c r="I231" s="908" t="s">
        <v>2</v>
      </c>
      <c r="J231" s="984">
        <f t="shared" ref="J231:W231" si="47">J228+J230</f>
        <v>1141000</v>
      </c>
      <c r="K231" s="984">
        <f t="shared" si="47"/>
        <v>0</v>
      </c>
      <c r="L231" s="974">
        <f t="shared" si="47"/>
        <v>0</v>
      </c>
      <c r="M231" s="974">
        <f t="shared" si="47"/>
        <v>0</v>
      </c>
      <c r="N231" s="984">
        <f t="shared" si="47"/>
        <v>1141000</v>
      </c>
      <c r="O231" s="984">
        <f t="shared" si="47"/>
        <v>1141000</v>
      </c>
      <c r="P231" s="974">
        <f t="shared" si="47"/>
        <v>1000000</v>
      </c>
      <c r="Q231" s="974">
        <f t="shared" si="47"/>
        <v>141000</v>
      </c>
      <c r="R231" s="984">
        <f t="shared" si="47"/>
        <v>0</v>
      </c>
      <c r="S231" s="974">
        <f t="shared" si="47"/>
        <v>0</v>
      </c>
      <c r="T231" s="974">
        <f t="shared" si="47"/>
        <v>0</v>
      </c>
      <c r="U231" s="984">
        <f t="shared" si="47"/>
        <v>0</v>
      </c>
      <c r="V231" s="974">
        <f t="shared" si="47"/>
        <v>0</v>
      </c>
      <c r="W231" s="974">
        <f t="shared" si="47"/>
        <v>0</v>
      </c>
    </row>
    <row r="232" spans="1:23" s="308" customFormat="1" ht="12.75" customHeight="1">
      <c r="A232" s="910"/>
      <c r="B232" s="914"/>
      <c r="C232" s="987"/>
      <c r="D232" s="914"/>
      <c r="E232" s="988"/>
      <c r="F232" s="910"/>
      <c r="G232" s="307" t="s">
        <v>408</v>
      </c>
      <c r="H232" s="307" t="s">
        <v>408</v>
      </c>
      <c r="I232" s="909"/>
      <c r="J232" s="984"/>
      <c r="K232" s="984"/>
      <c r="L232" s="974"/>
      <c r="M232" s="974"/>
      <c r="N232" s="984"/>
      <c r="O232" s="984"/>
      <c r="P232" s="974"/>
      <c r="Q232" s="974"/>
      <c r="R232" s="984"/>
      <c r="S232" s="974"/>
      <c r="T232" s="974"/>
      <c r="U232" s="984"/>
      <c r="V232" s="974"/>
      <c r="W232" s="974"/>
    </row>
    <row r="233" spans="1:23" s="308" customFormat="1" ht="12" customHeight="1">
      <c r="A233" s="975" t="s">
        <v>757</v>
      </c>
      <c r="B233" s="976"/>
      <c r="C233" s="976"/>
      <c r="D233" s="976"/>
      <c r="E233" s="976"/>
      <c r="F233" s="977"/>
      <c r="G233" s="314" t="s">
        <v>408</v>
      </c>
      <c r="H233" s="314" t="s">
        <v>408</v>
      </c>
      <c r="I233" s="972" t="s">
        <v>0</v>
      </c>
      <c r="J233" s="961">
        <f>J198+J208+J218+J223+J203+J213+J228</f>
        <v>3776083</v>
      </c>
      <c r="K233" s="961">
        <f t="shared" ref="K233:W233" si="48">K198+K208+K218+K223+K203+K213+K228</f>
        <v>0</v>
      </c>
      <c r="L233" s="961">
        <f t="shared" si="48"/>
        <v>0</v>
      </c>
      <c r="M233" s="961">
        <f t="shared" si="48"/>
        <v>0</v>
      </c>
      <c r="N233" s="961">
        <f t="shared" si="48"/>
        <v>3776083</v>
      </c>
      <c r="O233" s="961">
        <f t="shared" si="48"/>
        <v>3776083</v>
      </c>
      <c r="P233" s="961">
        <f t="shared" si="48"/>
        <v>2618083</v>
      </c>
      <c r="Q233" s="961">
        <f t="shared" si="48"/>
        <v>1158000</v>
      </c>
      <c r="R233" s="961">
        <f t="shared" si="48"/>
        <v>0</v>
      </c>
      <c r="S233" s="961">
        <f t="shared" si="48"/>
        <v>0</v>
      </c>
      <c r="T233" s="961">
        <f t="shared" si="48"/>
        <v>0</v>
      </c>
      <c r="U233" s="961">
        <f t="shared" si="48"/>
        <v>0</v>
      </c>
      <c r="V233" s="961">
        <f t="shared" si="48"/>
        <v>0</v>
      </c>
      <c r="W233" s="961">
        <f t="shared" si="48"/>
        <v>0</v>
      </c>
    </row>
    <row r="234" spans="1:23" s="308" customFormat="1" ht="12" customHeight="1">
      <c r="A234" s="978"/>
      <c r="B234" s="979"/>
      <c r="C234" s="979"/>
      <c r="D234" s="979"/>
      <c r="E234" s="979"/>
      <c r="F234" s="980"/>
      <c r="G234" s="314" t="s">
        <v>408</v>
      </c>
      <c r="H234" s="314" t="s">
        <v>408</v>
      </c>
      <c r="I234" s="973"/>
      <c r="J234" s="962"/>
      <c r="K234" s="962"/>
      <c r="L234" s="962"/>
      <c r="M234" s="962"/>
      <c r="N234" s="962"/>
      <c r="O234" s="962"/>
      <c r="P234" s="962"/>
      <c r="Q234" s="962"/>
      <c r="R234" s="962"/>
      <c r="S234" s="962"/>
      <c r="T234" s="962"/>
      <c r="U234" s="962"/>
      <c r="V234" s="962"/>
      <c r="W234" s="962"/>
    </row>
    <row r="235" spans="1:23" s="308" customFormat="1" ht="15" customHeight="1">
      <c r="A235" s="978"/>
      <c r="B235" s="979"/>
      <c r="C235" s="979"/>
      <c r="D235" s="979"/>
      <c r="E235" s="979"/>
      <c r="F235" s="980"/>
      <c r="G235" s="314" t="s">
        <v>408</v>
      </c>
      <c r="H235" s="314" t="s">
        <v>408</v>
      </c>
      <c r="I235" s="297" t="s">
        <v>1</v>
      </c>
      <c r="J235" s="312">
        <f>J200+J210+J220+J225+J205+J215+J230</f>
        <v>2401250</v>
      </c>
      <c r="K235" s="312">
        <f t="shared" ref="K235:Q235" si="49">K200+K210+K220+K225+K205+K215+K230</f>
        <v>0</v>
      </c>
      <c r="L235" s="312">
        <f t="shared" si="49"/>
        <v>0</v>
      </c>
      <c r="M235" s="312">
        <f t="shared" si="49"/>
        <v>0</v>
      </c>
      <c r="N235" s="312">
        <f t="shared" si="49"/>
        <v>2401250</v>
      </c>
      <c r="O235" s="312">
        <f t="shared" si="49"/>
        <v>2401250</v>
      </c>
      <c r="P235" s="312">
        <f t="shared" si="49"/>
        <v>2136594</v>
      </c>
      <c r="Q235" s="312">
        <f t="shared" si="49"/>
        <v>264656</v>
      </c>
      <c r="R235" s="312">
        <f t="shared" ref="R235:W235" si="50">R200+R210+R220+R225</f>
        <v>0</v>
      </c>
      <c r="S235" s="312">
        <f t="shared" si="50"/>
        <v>0</v>
      </c>
      <c r="T235" s="312">
        <f t="shared" si="50"/>
        <v>0</v>
      </c>
      <c r="U235" s="312">
        <f t="shared" si="50"/>
        <v>0</v>
      </c>
      <c r="V235" s="312">
        <f t="shared" si="50"/>
        <v>0</v>
      </c>
      <c r="W235" s="312">
        <f t="shared" si="50"/>
        <v>0</v>
      </c>
    </row>
    <row r="236" spans="1:23" s="308" customFormat="1" ht="12" customHeight="1">
      <c r="A236" s="978"/>
      <c r="B236" s="979"/>
      <c r="C236" s="979"/>
      <c r="D236" s="979"/>
      <c r="E236" s="979"/>
      <c r="F236" s="980"/>
      <c r="G236" s="314" t="s">
        <v>408</v>
      </c>
      <c r="H236" s="314" t="s">
        <v>408</v>
      </c>
      <c r="I236" s="972" t="s">
        <v>2</v>
      </c>
      <c r="J236" s="961">
        <f t="shared" ref="J236:W236" si="51">J233+J235</f>
        <v>6177333</v>
      </c>
      <c r="K236" s="961">
        <f t="shared" si="51"/>
        <v>0</v>
      </c>
      <c r="L236" s="961">
        <f t="shared" si="51"/>
        <v>0</v>
      </c>
      <c r="M236" s="961">
        <f t="shared" si="51"/>
        <v>0</v>
      </c>
      <c r="N236" s="961">
        <f t="shared" si="51"/>
        <v>6177333</v>
      </c>
      <c r="O236" s="961">
        <f t="shared" si="51"/>
        <v>6177333</v>
      </c>
      <c r="P236" s="961">
        <f t="shared" si="51"/>
        <v>4754677</v>
      </c>
      <c r="Q236" s="961">
        <f t="shared" si="51"/>
        <v>1422656</v>
      </c>
      <c r="R236" s="961">
        <f t="shared" si="51"/>
        <v>0</v>
      </c>
      <c r="S236" s="961">
        <f t="shared" si="51"/>
        <v>0</v>
      </c>
      <c r="T236" s="961">
        <f t="shared" si="51"/>
        <v>0</v>
      </c>
      <c r="U236" s="961">
        <f t="shared" si="51"/>
        <v>0</v>
      </c>
      <c r="V236" s="961">
        <f t="shared" si="51"/>
        <v>0</v>
      </c>
      <c r="W236" s="961">
        <f t="shared" si="51"/>
        <v>0</v>
      </c>
    </row>
    <row r="237" spans="1:23" s="308" customFormat="1" ht="12" customHeight="1">
      <c r="A237" s="981"/>
      <c r="B237" s="982"/>
      <c r="C237" s="982"/>
      <c r="D237" s="982"/>
      <c r="E237" s="982"/>
      <c r="F237" s="983"/>
      <c r="G237" s="314" t="s">
        <v>408</v>
      </c>
      <c r="H237" s="314" t="s">
        <v>408</v>
      </c>
      <c r="I237" s="973"/>
      <c r="J237" s="962"/>
      <c r="K237" s="962"/>
      <c r="L237" s="962"/>
      <c r="M237" s="962"/>
      <c r="N237" s="962"/>
      <c r="O237" s="962"/>
      <c r="P237" s="962"/>
      <c r="Q237" s="962"/>
      <c r="R237" s="962"/>
      <c r="S237" s="962"/>
      <c r="T237" s="962"/>
      <c r="U237" s="962"/>
      <c r="V237" s="962"/>
      <c r="W237" s="962"/>
    </row>
    <row r="238" spans="1:23" s="317" customFormat="1">
      <c r="A238" s="963" t="s">
        <v>650</v>
      </c>
      <c r="B238" s="964"/>
      <c r="C238" s="964"/>
      <c r="D238" s="964"/>
      <c r="E238" s="964"/>
      <c r="F238" s="965"/>
      <c r="G238" s="315">
        <f t="shared" ref="G238:H242" si="52">G190+G152</f>
        <v>616992271</v>
      </c>
      <c r="H238" s="315">
        <f t="shared" si="52"/>
        <v>1386329</v>
      </c>
      <c r="I238" s="898" t="s">
        <v>0</v>
      </c>
      <c r="J238" s="960">
        <f>J152+J190+J233</f>
        <v>292204060</v>
      </c>
      <c r="K238" s="960">
        <f t="shared" ref="K238:W238" si="53">K152+K190+K233</f>
        <v>248676807</v>
      </c>
      <c r="L238" s="960">
        <f t="shared" si="53"/>
        <v>136724878</v>
      </c>
      <c r="M238" s="960">
        <f t="shared" si="53"/>
        <v>111951929</v>
      </c>
      <c r="N238" s="960">
        <f t="shared" si="53"/>
        <v>43527253</v>
      </c>
      <c r="O238" s="960">
        <f t="shared" si="53"/>
        <v>21295229</v>
      </c>
      <c r="P238" s="960">
        <f t="shared" si="53"/>
        <v>9283031</v>
      </c>
      <c r="Q238" s="960">
        <f t="shared" si="53"/>
        <v>12012198</v>
      </c>
      <c r="R238" s="960">
        <f t="shared" si="53"/>
        <v>20344027</v>
      </c>
      <c r="S238" s="960">
        <f t="shared" si="53"/>
        <v>13518453</v>
      </c>
      <c r="T238" s="960">
        <f t="shared" si="53"/>
        <v>6825574</v>
      </c>
      <c r="U238" s="960">
        <f t="shared" si="53"/>
        <v>1887997</v>
      </c>
      <c r="V238" s="960">
        <f t="shared" si="53"/>
        <v>0</v>
      </c>
      <c r="W238" s="960">
        <f t="shared" si="53"/>
        <v>1887997</v>
      </c>
    </row>
    <row r="239" spans="1:23" s="317" customFormat="1">
      <c r="A239" s="966"/>
      <c r="B239" s="967"/>
      <c r="C239" s="967"/>
      <c r="D239" s="967"/>
      <c r="E239" s="967"/>
      <c r="F239" s="968"/>
      <c r="G239" s="315">
        <f t="shared" si="52"/>
        <v>533300352</v>
      </c>
      <c r="H239" s="315">
        <f t="shared" si="52"/>
        <v>1221917</v>
      </c>
      <c r="I239" s="899"/>
      <c r="J239" s="960"/>
      <c r="K239" s="960"/>
      <c r="L239" s="960"/>
      <c r="M239" s="960"/>
      <c r="N239" s="960"/>
      <c r="O239" s="960"/>
      <c r="P239" s="960"/>
      <c r="Q239" s="960"/>
      <c r="R239" s="960"/>
      <c r="S239" s="960"/>
      <c r="T239" s="960"/>
      <c r="U239" s="960"/>
      <c r="V239" s="960"/>
      <c r="W239" s="960"/>
    </row>
    <row r="240" spans="1:23" s="317" customFormat="1">
      <c r="A240" s="966"/>
      <c r="B240" s="967"/>
      <c r="C240" s="967"/>
      <c r="D240" s="967"/>
      <c r="E240" s="967"/>
      <c r="F240" s="968"/>
      <c r="G240" s="315">
        <f t="shared" si="52"/>
        <v>35826601</v>
      </c>
      <c r="H240" s="315">
        <f t="shared" si="52"/>
        <v>110610</v>
      </c>
      <c r="I240" s="292" t="s">
        <v>1</v>
      </c>
      <c r="J240" s="316">
        <f>J235+J192+J154</f>
        <v>3917560</v>
      </c>
      <c r="K240" s="316">
        <f t="shared" ref="K240:W240" si="54">K235+K192+K154</f>
        <v>222006</v>
      </c>
      <c r="L240" s="316">
        <f t="shared" si="54"/>
        <v>188902</v>
      </c>
      <c r="M240" s="316">
        <f t="shared" si="54"/>
        <v>33104</v>
      </c>
      <c r="N240" s="316">
        <f t="shared" si="54"/>
        <v>3695554</v>
      </c>
      <c r="O240" s="316">
        <f t="shared" si="54"/>
        <v>2432246</v>
      </c>
      <c r="P240" s="316">
        <f t="shared" si="54"/>
        <v>2163694</v>
      </c>
      <c r="Q240" s="316">
        <f t="shared" si="54"/>
        <v>268552</v>
      </c>
      <c r="R240" s="316">
        <f t="shared" si="54"/>
        <v>1186579</v>
      </c>
      <c r="S240" s="316">
        <f t="shared" si="54"/>
        <v>349662</v>
      </c>
      <c r="T240" s="316">
        <f t="shared" si="54"/>
        <v>836917</v>
      </c>
      <c r="U240" s="316">
        <f t="shared" si="54"/>
        <v>76729</v>
      </c>
      <c r="V240" s="316">
        <f t="shared" si="54"/>
        <v>0</v>
      </c>
      <c r="W240" s="316">
        <f t="shared" si="54"/>
        <v>76729</v>
      </c>
    </row>
    <row r="241" spans="1:23" s="317" customFormat="1">
      <c r="A241" s="966"/>
      <c r="B241" s="967"/>
      <c r="C241" s="967"/>
      <c r="D241" s="967"/>
      <c r="E241" s="967"/>
      <c r="F241" s="968"/>
      <c r="G241" s="315">
        <f t="shared" si="52"/>
        <v>45900592</v>
      </c>
      <c r="H241" s="315">
        <f t="shared" si="52"/>
        <v>53802</v>
      </c>
      <c r="I241" s="898" t="s">
        <v>2</v>
      </c>
      <c r="J241" s="960">
        <f>J238+J240</f>
        <v>296121620</v>
      </c>
      <c r="K241" s="960">
        <f t="shared" ref="K241:W241" si="55">K238+K240</f>
        <v>248898813</v>
      </c>
      <c r="L241" s="960">
        <f t="shared" si="55"/>
        <v>136913780</v>
      </c>
      <c r="M241" s="960">
        <f t="shared" si="55"/>
        <v>111985033</v>
      </c>
      <c r="N241" s="960">
        <f t="shared" si="55"/>
        <v>47222807</v>
      </c>
      <c r="O241" s="960">
        <f t="shared" si="55"/>
        <v>23727475</v>
      </c>
      <c r="P241" s="960">
        <f t="shared" si="55"/>
        <v>11446725</v>
      </c>
      <c r="Q241" s="960">
        <f t="shared" si="55"/>
        <v>12280750</v>
      </c>
      <c r="R241" s="960">
        <f t="shared" si="55"/>
        <v>21530606</v>
      </c>
      <c r="S241" s="960">
        <f t="shared" si="55"/>
        <v>13868115</v>
      </c>
      <c r="T241" s="960">
        <f t="shared" si="55"/>
        <v>7662491</v>
      </c>
      <c r="U241" s="960">
        <f t="shared" si="55"/>
        <v>1964726</v>
      </c>
      <c r="V241" s="960">
        <f t="shared" si="55"/>
        <v>0</v>
      </c>
      <c r="W241" s="960">
        <f t="shared" si="55"/>
        <v>1964726</v>
      </c>
    </row>
    <row r="242" spans="1:23" s="317" customFormat="1">
      <c r="A242" s="969"/>
      <c r="B242" s="970"/>
      <c r="C242" s="970"/>
      <c r="D242" s="970"/>
      <c r="E242" s="970"/>
      <c r="F242" s="971"/>
      <c r="G242" s="315">
        <f t="shared" si="52"/>
        <v>1964726</v>
      </c>
      <c r="H242" s="315">
        <f t="shared" si="52"/>
        <v>0</v>
      </c>
      <c r="I242" s="899"/>
      <c r="J242" s="960"/>
      <c r="K242" s="960"/>
      <c r="L242" s="960"/>
      <c r="M242" s="960"/>
      <c r="N242" s="960"/>
      <c r="O242" s="960"/>
      <c r="P242" s="960"/>
      <c r="Q242" s="960"/>
      <c r="R242" s="960"/>
      <c r="S242" s="960"/>
      <c r="T242" s="960"/>
      <c r="U242" s="960"/>
      <c r="V242" s="960"/>
      <c r="W242" s="960"/>
    </row>
    <row r="243" spans="1:23" ht="4.5" customHeight="1"/>
    <row r="244" spans="1:23" ht="9.75" customHeight="1">
      <c r="A244" s="319" t="s">
        <v>99</v>
      </c>
      <c r="B244" s="302"/>
      <c r="C244" s="302"/>
    </row>
    <row r="245" spans="1:23" s="320" customFormat="1" ht="12.75">
      <c r="A245" s="304" t="s">
        <v>0</v>
      </c>
      <c r="B245" s="305" t="s">
        <v>758</v>
      </c>
      <c r="C245" s="305"/>
    </row>
    <row r="246" spans="1:23" s="320" customFormat="1" ht="12.75">
      <c r="A246" s="304" t="s">
        <v>1</v>
      </c>
      <c r="B246" s="305" t="s">
        <v>759</v>
      </c>
      <c r="C246" s="305"/>
    </row>
    <row r="247" spans="1:23" s="320" customFormat="1" ht="12.75">
      <c r="A247" s="304" t="s">
        <v>2</v>
      </c>
      <c r="B247" s="305" t="s">
        <v>760</v>
      </c>
      <c r="C247" s="305"/>
    </row>
  </sheetData>
  <sheetProtection algorithmName="SHA-512" hashValue="yZqTuF09V9T3k+H4ESAxwY/O4SZzO3IoY86Cdcy/0hwHBP8/CzM0ZuqSt1hKzROlCiWtqx+oejUVo09PKvs2SA==" saltValue="8fKYgxgIHIwCB+SW379lrA==" spinCount="100000" sheet="1" objects="1" scenarios="1"/>
  <mergeCells count="1606"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U10:W10"/>
    <mergeCell ref="K11:K12"/>
    <mergeCell ref="L11:L12"/>
    <mergeCell ref="M11:M12"/>
    <mergeCell ref="O11:O12"/>
    <mergeCell ref="P11:P12"/>
    <mergeCell ref="Q11:Q12"/>
    <mergeCell ref="R11:R12"/>
    <mergeCell ref="S11:S12"/>
    <mergeCell ref="T11:T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  <mergeCell ref="I17:I18"/>
    <mergeCell ref="J17:J18"/>
    <mergeCell ref="K17:K18"/>
    <mergeCell ref="L17:L18"/>
    <mergeCell ref="M17:M18"/>
    <mergeCell ref="N17:N18"/>
    <mergeCell ref="A17:A21"/>
    <mergeCell ref="B17:B21"/>
    <mergeCell ref="C17:C21"/>
    <mergeCell ref="D17:D21"/>
    <mergeCell ref="E17:E21"/>
    <mergeCell ref="F17:F21"/>
    <mergeCell ref="U11:U12"/>
    <mergeCell ref="V11:V12"/>
    <mergeCell ref="W11:W12"/>
    <mergeCell ref="A14:V14"/>
    <mergeCell ref="A15:W15"/>
    <mergeCell ref="A16:V16"/>
    <mergeCell ref="V20:V21"/>
    <mergeCell ref="W20:W21"/>
    <mergeCell ref="A22:A26"/>
    <mergeCell ref="B22:B26"/>
    <mergeCell ref="C22:C26"/>
    <mergeCell ref="D22:D26"/>
    <mergeCell ref="E22:E26"/>
    <mergeCell ref="F22:F26"/>
    <mergeCell ref="I22:I23"/>
    <mergeCell ref="J22:J23"/>
    <mergeCell ref="P20:P21"/>
    <mergeCell ref="Q20:Q21"/>
    <mergeCell ref="R20:R21"/>
    <mergeCell ref="S20:S21"/>
    <mergeCell ref="T20:T21"/>
    <mergeCell ref="U20:U21"/>
    <mergeCell ref="U17:U18"/>
    <mergeCell ref="V17:V18"/>
    <mergeCell ref="W17:W18"/>
    <mergeCell ref="I20:I21"/>
    <mergeCell ref="J20:J21"/>
    <mergeCell ref="K20:K21"/>
    <mergeCell ref="L20:L21"/>
    <mergeCell ref="M20:M21"/>
    <mergeCell ref="N20:N21"/>
    <mergeCell ref="O20:O21"/>
    <mergeCell ref="O17:O18"/>
    <mergeCell ref="P17:P18"/>
    <mergeCell ref="Q17:Q18"/>
    <mergeCell ref="R17:R18"/>
    <mergeCell ref="S17:S18"/>
    <mergeCell ref="T17:T18"/>
    <mergeCell ref="W25:W26"/>
    <mergeCell ref="W22:W23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I27:I28"/>
    <mergeCell ref="J27:J28"/>
    <mergeCell ref="K27:K28"/>
    <mergeCell ref="L27:L28"/>
    <mergeCell ref="M27:M28"/>
    <mergeCell ref="N27:N28"/>
    <mergeCell ref="A27:A31"/>
    <mergeCell ref="B27:B31"/>
    <mergeCell ref="C27:C31"/>
    <mergeCell ref="D27:D31"/>
    <mergeCell ref="E27:E31"/>
    <mergeCell ref="F27:F31"/>
    <mergeCell ref="R25:R26"/>
    <mergeCell ref="S25:S26"/>
    <mergeCell ref="T25:T26"/>
    <mergeCell ref="U25:U26"/>
    <mergeCell ref="V25:V26"/>
    <mergeCell ref="V30:V31"/>
    <mergeCell ref="W30:W31"/>
    <mergeCell ref="A32:A36"/>
    <mergeCell ref="B32:B36"/>
    <mergeCell ref="C32:C36"/>
    <mergeCell ref="D32:D36"/>
    <mergeCell ref="E32:E36"/>
    <mergeCell ref="F32:F36"/>
    <mergeCell ref="I32:I33"/>
    <mergeCell ref="J32:J33"/>
    <mergeCell ref="P30:P31"/>
    <mergeCell ref="Q30:Q31"/>
    <mergeCell ref="R30:R31"/>
    <mergeCell ref="S30:S31"/>
    <mergeCell ref="T30:T31"/>
    <mergeCell ref="U30:U31"/>
    <mergeCell ref="U27:U28"/>
    <mergeCell ref="V27:V28"/>
    <mergeCell ref="W27:W28"/>
    <mergeCell ref="I30:I31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W35:W36"/>
    <mergeCell ref="W32:W33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I37:I38"/>
    <mergeCell ref="J37:J38"/>
    <mergeCell ref="K37:K38"/>
    <mergeCell ref="L37:L38"/>
    <mergeCell ref="M37:M38"/>
    <mergeCell ref="N37:N38"/>
    <mergeCell ref="A37:A41"/>
    <mergeCell ref="B37:B41"/>
    <mergeCell ref="C37:C41"/>
    <mergeCell ref="D37:D41"/>
    <mergeCell ref="E37:E41"/>
    <mergeCell ref="F37:F41"/>
    <mergeCell ref="R35:R36"/>
    <mergeCell ref="S35:S36"/>
    <mergeCell ref="T35:T36"/>
    <mergeCell ref="U35:U36"/>
    <mergeCell ref="V35:V36"/>
    <mergeCell ref="V40:V41"/>
    <mergeCell ref="W40:W41"/>
    <mergeCell ref="A42:A46"/>
    <mergeCell ref="B42:B46"/>
    <mergeCell ref="C42:C46"/>
    <mergeCell ref="D42:D46"/>
    <mergeCell ref="E42:E46"/>
    <mergeCell ref="F42:F46"/>
    <mergeCell ref="I42:I43"/>
    <mergeCell ref="J42:J43"/>
    <mergeCell ref="P40:P41"/>
    <mergeCell ref="Q40:Q41"/>
    <mergeCell ref="R40:R41"/>
    <mergeCell ref="S40:S41"/>
    <mergeCell ref="T40:T41"/>
    <mergeCell ref="U40:U41"/>
    <mergeCell ref="U37:U38"/>
    <mergeCell ref="V37:V38"/>
    <mergeCell ref="W37:W38"/>
    <mergeCell ref="I40:I41"/>
    <mergeCell ref="J40:J41"/>
    <mergeCell ref="K40:K41"/>
    <mergeCell ref="L40:L41"/>
    <mergeCell ref="M40:M41"/>
    <mergeCell ref="N40:N41"/>
    <mergeCell ref="O40:O41"/>
    <mergeCell ref="O37:O38"/>
    <mergeCell ref="P37:P38"/>
    <mergeCell ref="Q37:Q38"/>
    <mergeCell ref="R37:R38"/>
    <mergeCell ref="S37:S38"/>
    <mergeCell ref="T37:T38"/>
    <mergeCell ref="W45:W46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I47:I48"/>
    <mergeCell ref="J47:J48"/>
    <mergeCell ref="K47:K48"/>
    <mergeCell ref="L47:L48"/>
    <mergeCell ref="M47:M48"/>
    <mergeCell ref="N47:N48"/>
    <mergeCell ref="A47:A51"/>
    <mergeCell ref="B47:B51"/>
    <mergeCell ref="C47:C51"/>
    <mergeCell ref="D47:D51"/>
    <mergeCell ref="E47:E51"/>
    <mergeCell ref="F47:F51"/>
    <mergeCell ref="R45:R46"/>
    <mergeCell ref="S45:S46"/>
    <mergeCell ref="T45:T46"/>
    <mergeCell ref="U45:U46"/>
    <mergeCell ref="V45:V46"/>
    <mergeCell ref="V50:V51"/>
    <mergeCell ref="W50:W51"/>
    <mergeCell ref="A52:A56"/>
    <mergeCell ref="B52:B56"/>
    <mergeCell ref="C52:C56"/>
    <mergeCell ref="D52:D56"/>
    <mergeCell ref="E52:E56"/>
    <mergeCell ref="F52:F56"/>
    <mergeCell ref="I52:I53"/>
    <mergeCell ref="J52:J53"/>
    <mergeCell ref="P50:P51"/>
    <mergeCell ref="Q50:Q51"/>
    <mergeCell ref="R50:R51"/>
    <mergeCell ref="S50:S51"/>
    <mergeCell ref="T50:T51"/>
    <mergeCell ref="U50:U51"/>
    <mergeCell ref="U47:U48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W55:W5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I57:I58"/>
    <mergeCell ref="J57:J58"/>
    <mergeCell ref="K57:K58"/>
    <mergeCell ref="L57:L58"/>
    <mergeCell ref="M57:M58"/>
    <mergeCell ref="N57:N58"/>
    <mergeCell ref="A57:A61"/>
    <mergeCell ref="B57:B61"/>
    <mergeCell ref="C57:C61"/>
    <mergeCell ref="D57:D61"/>
    <mergeCell ref="E57:E61"/>
    <mergeCell ref="F57:F61"/>
    <mergeCell ref="R55:R56"/>
    <mergeCell ref="S55:S56"/>
    <mergeCell ref="T55:T56"/>
    <mergeCell ref="U55:U56"/>
    <mergeCell ref="V55:V56"/>
    <mergeCell ref="V60:V61"/>
    <mergeCell ref="W60:W61"/>
    <mergeCell ref="A62:A66"/>
    <mergeCell ref="B62:B66"/>
    <mergeCell ref="C62:C66"/>
    <mergeCell ref="D62:D66"/>
    <mergeCell ref="E62:E66"/>
    <mergeCell ref="F62:F66"/>
    <mergeCell ref="I62:I63"/>
    <mergeCell ref="J62:J63"/>
    <mergeCell ref="P60:P61"/>
    <mergeCell ref="Q60:Q61"/>
    <mergeCell ref="R60:R61"/>
    <mergeCell ref="S60:S61"/>
    <mergeCell ref="T60:T61"/>
    <mergeCell ref="U60:U61"/>
    <mergeCell ref="U57:U58"/>
    <mergeCell ref="V57:V58"/>
    <mergeCell ref="W57:W58"/>
    <mergeCell ref="I60:I61"/>
    <mergeCell ref="J60:J61"/>
    <mergeCell ref="K60:K61"/>
    <mergeCell ref="L60:L61"/>
    <mergeCell ref="M60:M61"/>
    <mergeCell ref="N60:N61"/>
    <mergeCell ref="O60:O61"/>
    <mergeCell ref="O57:O58"/>
    <mergeCell ref="P57:P58"/>
    <mergeCell ref="Q57:Q58"/>
    <mergeCell ref="R57:R58"/>
    <mergeCell ref="S57:S58"/>
    <mergeCell ref="T57:T58"/>
    <mergeCell ref="W65:W66"/>
    <mergeCell ref="W62:W63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I67:I68"/>
    <mergeCell ref="J67:J68"/>
    <mergeCell ref="K67:K68"/>
    <mergeCell ref="L67:L68"/>
    <mergeCell ref="M67:M68"/>
    <mergeCell ref="N67:N68"/>
    <mergeCell ref="A67:A71"/>
    <mergeCell ref="B67:B71"/>
    <mergeCell ref="C67:C71"/>
    <mergeCell ref="D67:D71"/>
    <mergeCell ref="E67:E71"/>
    <mergeCell ref="F67:F71"/>
    <mergeCell ref="R65:R66"/>
    <mergeCell ref="S65:S66"/>
    <mergeCell ref="T65:T66"/>
    <mergeCell ref="U65:U66"/>
    <mergeCell ref="V65:V66"/>
    <mergeCell ref="V70:V71"/>
    <mergeCell ref="W70:W71"/>
    <mergeCell ref="A72:A76"/>
    <mergeCell ref="B72:B76"/>
    <mergeCell ref="C72:C76"/>
    <mergeCell ref="D72:D76"/>
    <mergeCell ref="E72:E76"/>
    <mergeCell ref="F72:F76"/>
    <mergeCell ref="I72:I73"/>
    <mergeCell ref="J72:J73"/>
    <mergeCell ref="P70:P71"/>
    <mergeCell ref="Q70:Q71"/>
    <mergeCell ref="R70:R71"/>
    <mergeCell ref="S70:S71"/>
    <mergeCell ref="T70:T71"/>
    <mergeCell ref="U70:U71"/>
    <mergeCell ref="U67:U68"/>
    <mergeCell ref="V67:V68"/>
    <mergeCell ref="W67:W68"/>
    <mergeCell ref="I70:I71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W75:W76"/>
    <mergeCell ref="W72:W73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I77:I78"/>
    <mergeCell ref="J77:J78"/>
    <mergeCell ref="K77:K78"/>
    <mergeCell ref="L77:L78"/>
    <mergeCell ref="M77:M78"/>
    <mergeCell ref="N77:N78"/>
    <mergeCell ref="A77:A81"/>
    <mergeCell ref="B77:B81"/>
    <mergeCell ref="C77:C81"/>
    <mergeCell ref="D77:D81"/>
    <mergeCell ref="E77:E81"/>
    <mergeCell ref="F77:F81"/>
    <mergeCell ref="R75:R76"/>
    <mergeCell ref="S75:S76"/>
    <mergeCell ref="T75:T76"/>
    <mergeCell ref="U75:U76"/>
    <mergeCell ref="V75:V76"/>
    <mergeCell ref="V80:V81"/>
    <mergeCell ref="W80:W81"/>
    <mergeCell ref="A82:A86"/>
    <mergeCell ref="B82:B86"/>
    <mergeCell ref="C82:C86"/>
    <mergeCell ref="D82:D86"/>
    <mergeCell ref="E82:E86"/>
    <mergeCell ref="F82:F86"/>
    <mergeCell ref="I82:I83"/>
    <mergeCell ref="J82:J83"/>
    <mergeCell ref="P80:P81"/>
    <mergeCell ref="Q80:Q81"/>
    <mergeCell ref="R80:R81"/>
    <mergeCell ref="S80:S81"/>
    <mergeCell ref="T80:T81"/>
    <mergeCell ref="U80:U81"/>
    <mergeCell ref="U77:U78"/>
    <mergeCell ref="V77:V78"/>
    <mergeCell ref="W77:W78"/>
    <mergeCell ref="I80:I81"/>
    <mergeCell ref="J80:J81"/>
    <mergeCell ref="K80:K81"/>
    <mergeCell ref="L80:L81"/>
    <mergeCell ref="M80:M81"/>
    <mergeCell ref="N80:N81"/>
    <mergeCell ref="O80:O81"/>
    <mergeCell ref="O77:O78"/>
    <mergeCell ref="P77:P78"/>
    <mergeCell ref="Q77:Q78"/>
    <mergeCell ref="R77:R78"/>
    <mergeCell ref="S77:S78"/>
    <mergeCell ref="T77:T78"/>
    <mergeCell ref="W85:W86"/>
    <mergeCell ref="W82:W83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I87:I88"/>
    <mergeCell ref="J87:J88"/>
    <mergeCell ref="K87:K88"/>
    <mergeCell ref="L87:L88"/>
    <mergeCell ref="M87:M88"/>
    <mergeCell ref="N87:N88"/>
    <mergeCell ref="A87:A91"/>
    <mergeCell ref="B87:B91"/>
    <mergeCell ref="C87:C91"/>
    <mergeCell ref="D87:D91"/>
    <mergeCell ref="E87:E91"/>
    <mergeCell ref="F87:F91"/>
    <mergeCell ref="R85:R86"/>
    <mergeCell ref="S85:S86"/>
    <mergeCell ref="T85:T86"/>
    <mergeCell ref="U85:U86"/>
    <mergeCell ref="V85:V86"/>
    <mergeCell ref="V90:V91"/>
    <mergeCell ref="W90:W91"/>
    <mergeCell ref="A92:A96"/>
    <mergeCell ref="B92:B96"/>
    <mergeCell ref="C92:C96"/>
    <mergeCell ref="D92:D96"/>
    <mergeCell ref="E92:E96"/>
    <mergeCell ref="F92:F96"/>
    <mergeCell ref="I92:I93"/>
    <mergeCell ref="J92:J93"/>
    <mergeCell ref="P90:P91"/>
    <mergeCell ref="Q90:Q91"/>
    <mergeCell ref="R90:R91"/>
    <mergeCell ref="S90:S91"/>
    <mergeCell ref="T90:T91"/>
    <mergeCell ref="U90:U91"/>
    <mergeCell ref="U87:U88"/>
    <mergeCell ref="V87:V88"/>
    <mergeCell ref="W87:W88"/>
    <mergeCell ref="I90:I91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W95:W96"/>
    <mergeCell ref="W92:W93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Q92:Q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I97:I98"/>
    <mergeCell ref="J97:J98"/>
    <mergeCell ref="K97:K98"/>
    <mergeCell ref="L97:L98"/>
    <mergeCell ref="M97:M98"/>
    <mergeCell ref="N97:N98"/>
    <mergeCell ref="A97:A101"/>
    <mergeCell ref="B97:B101"/>
    <mergeCell ref="C97:C101"/>
    <mergeCell ref="D97:D101"/>
    <mergeCell ref="E97:E101"/>
    <mergeCell ref="F97:F101"/>
    <mergeCell ref="R95:R96"/>
    <mergeCell ref="S95:S96"/>
    <mergeCell ref="T95:T96"/>
    <mergeCell ref="U95:U96"/>
    <mergeCell ref="V95:V96"/>
    <mergeCell ref="V100:V101"/>
    <mergeCell ref="W100:W101"/>
    <mergeCell ref="A102:A106"/>
    <mergeCell ref="B102:B106"/>
    <mergeCell ref="C102:C106"/>
    <mergeCell ref="D102:D106"/>
    <mergeCell ref="E102:E106"/>
    <mergeCell ref="F102:F106"/>
    <mergeCell ref="I102:I103"/>
    <mergeCell ref="J102:J103"/>
    <mergeCell ref="P100:P101"/>
    <mergeCell ref="Q100:Q101"/>
    <mergeCell ref="R100:R101"/>
    <mergeCell ref="S100:S101"/>
    <mergeCell ref="T100:T101"/>
    <mergeCell ref="U100:U101"/>
    <mergeCell ref="U97:U98"/>
    <mergeCell ref="V97:V98"/>
    <mergeCell ref="W97:W98"/>
    <mergeCell ref="I100:I101"/>
    <mergeCell ref="J100:J101"/>
    <mergeCell ref="K100:K101"/>
    <mergeCell ref="L100:L101"/>
    <mergeCell ref="M100:M101"/>
    <mergeCell ref="N100:N101"/>
    <mergeCell ref="O100:O101"/>
    <mergeCell ref="O97:O98"/>
    <mergeCell ref="P97:P98"/>
    <mergeCell ref="Q97:Q98"/>
    <mergeCell ref="R97:R98"/>
    <mergeCell ref="S97:S98"/>
    <mergeCell ref="T97:T98"/>
    <mergeCell ref="W105:W106"/>
    <mergeCell ref="W102:W103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I107:I108"/>
    <mergeCell ref="J107:J108"/>
    <mergeCell ref="K107:K108"/>
    <mergeCell ref="L107:L108"/>
    <mergeCell ref="M107:M108"/>
    <mergeCell ref="N107:N108"/>
    <mergeCell ref="A107:A111"/>
    <mergeCell ref="B107:B111"/>
    <mergeCell ref="C107:C111"/>
    <mergeCell ref="D107:D111"/>
    <mergeCell ref="E107:E111"/>
    <mergeCell ref="F107:F111"/>
    <mergeCell ref="R105:R106"/>
    <mergeCell ref="S105:S106"/>
    <mergeCell ref="T105:T106"/>
    <mergeCell ref="U105:U106"/>
    <mergeCell ref="V105:V106"/>
    <mergeCell ref="V110:V111"/>
    <mergeCell ref="W110:W111"/>
    <mergeCell ref="A112:A116"/>
    <mergeCell ref="B112:B116"/>
    <mergeCell ref="C112:C116"/>
    <mergeCell ref="D112:D116"/>
    <mergeCell ref="E112:E116"/>
    <mergeCell ref="F112:F116"/>
    <mergeCell ref="I112:I113"/>
    <mergeCell ref="J112:J113"/>
    <mergeCell ref="P110:P111"/>
    <mergeCell ref="Q110:Q111"/>
    <mergeCell ref="R110:R111"/>
    <mergeCell ref="S110:S111"/>
    <mergeCell ref="T110:T111"/>
    <mergeCell ref="U110:U111"/>
    <mergeCell ref="U107:U108"/>
    <mergeCell ref="V107:V108"/>
    <mergeCell ref="W107:W108"/>
    <mergeCell ref="I110:I111"/>
    <mergeCell ref="J110:J111"/>
    <mergeCell ref="K110:K111"/>
    <mergeCell ref="L110:L111"/>
    <mergeCell ref="M110:M111"/>
    <mergeCell ref="N110:N111"/>
    <mergeCell ref="O110:O111"/>
    <mergeCell ref="O107:O108"/>
    <mergeCell ref="P107:P108"/>
    <mergeCell ref="Q107:Q108"/>
    <mergeCell ref="R107:R108"/>
    <mergeCell ref="S107:S108"/>
    <mergeCell ref="T107:T108"/>
    <mergeCell ref="W115:W116"/>
    <mergeCell ref="W112:W113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Q112:Q113"/>
    <mergeCell ref="R112:R113"/>
    <mergeCell ref="S112:S113"/>
    <mergeCell ref="T112:T113"/>
    <mergeCell ref="U112:U113"/>
    <mergeCell ref="V112:V113"/>
    <mergeCell ref="K112:K113"/>
    <mergeCell ref="L112:L113"/>
    <mergeCell ref="M112:M113"/>
    <mergeCell ref="N112:N113"/>
    <mergeCell ref="O112:O113"/>
    <mergeCell ref="P112:P113"/>
    <mergeCell ref="I117:I118"/>
    <mergeCell ref="J117:J118"/>
    <mergeCell ref="K117:K118"/>
    <mergeCell ref="L117:L118"/>
    <mergeCell ref="M117:M118"/>
    <mergeCell ref="N117:N118"/>
    <mergeCell ref="A117:A121"/>
    <mergeCell ref="B117:B121"/>
    <mergeCell ref="C117:C121"/>
    <mergeCell ref="D117:D121"/>
    <mergeCell ref="E117:E121"/>
    <mergeCell ref="F117:F121"/>
    <mergeCell ref="R115:R116"/>
    <mergeCell ref="S115:S116"/>
    <mergeCell ref="T115:T116"/>
    <mergeCell ref="U115:U116"/>
    <mergeCell ref="V115:V116"/>
    <mergeCell ref="V120:V121"/>
    <mergeCell ref="W120:W121"/>
    <mergeCell ref="A122:A126"/>
    <mergeCell ref="B122:B126"/>
    <mergeCell ref="C122:C126"/>
    <mergeCell ref="D122:D126"/>
    <mergeCell ref="E122:E126"/>
    <mergeCell ref="F122:F126"/>
    <mergeCell ref="I122:I123"/>
    <mergeCell ref="J122:J123"/>
    <mergeCell ref="P120:P121"/>
    <mergeCell ref="Q120:Q121"/>
    <mergeCell ref="R120:R121"/>
    <mergeCell ref="S120:S121"/>
    <mergeCell ref="T120:T121"/>
    <mergeCell ref="U120:U121"/>
    <mergeCell ref="U117:U118"/>
    <mergeCell ref="V117:V118"/>
    <mergeCell ref="W117:W118"/>
    <mergeCell ref="I120:I121"/>
    <mergeCell ref="J120:J121"/>
    <mergeCell ref="K120:K121"/>
    <mergeCell ref="L120:L121"/>
    <mergeCell ref="M120:M121"/>
    <mergeCell ref="N120:N121"/>
    <mergeCell ref="O120:O121"/>
    <mergeCell ref="O117:O118"/>
    <mergeCell ref="P117:P118"/>
    <mergeCell ref="Q117:Q118"/>
    <mergeCell ref="R117:R118"/>
    <mergeCell ref="S117:S118"/>
    <mergeCell ref="T117:T118"/>
    <mergeCell ref="W125:W126"/>
    <mergeCell ref="W122:W123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Q122:Q123"/>
    <mergeCell ref="R122:R123"/>
    <mergeCell ref="S122:S123"/>
    <mergeCell ref="T122:T123"/>
    <mergeCell ref="U122:U123"/>
    <mergeCell ref="V122:V123"/>
    <mergeCell ref="K122:K123"/>
    <mergeCell ref="L122:L123"/>
    <mergeCell ref="M122:M123"/>
    <mergeCell ref="N122:N123"/>
    <mergeCell ref="O122:O123"/>
    <mergeCell ref="P122:P123"/>
    <mergeCell ref="I127:I128"/>
    <mergeCell ref="J127:J128"/>
    <mergeCell ref="K127:K128"/>
    <mergeCell ref="L127:L128"/>
    <mergeCell ref="M127:M128"/>
    <mergeCell ref="N127:N128"/>
    <mergeCell ref="A127:A131"/>
    <mergeCell ref="B127:B131"/>
    <mergeCell ref="C127:C131"/>
    <mergeCell ref="D127:D131"/>
    <mergeCell ref="E127:E131"/>
    <mergeCell ref="F127:F131"/>
    <mergeCell ref="R125:R126"/>
    <mergeCell ref="S125:S126"/>
    <mergeCell ref="T125:T126"/>
    <mergeCell ref="U125:U126"/>
    <mergeCell ref="V125:V126"/>
    <mergeCell ref="V130:V131"/>
    <mergeCell ref="W130:W131"/>
    <mergeCell ref="A132:A136"/>
    <mergeCell ref="B132:B136"/>
    <mergeCell ref="C132:C136"/>
    <mergeCell ref="D132:D136"/>
    <mergeCell ref="E132:E136"/>
    <mergeCell ref="F132:F136"/>
    <mergeCell ref="I132:I133"/>
    <mergeCell ref="J132:J133"/>
    <mergeCell ref="P130:P131"/>
    <mergeCell ref="Q130:Q131"/>
    <mergeCell ref="R130:R131"/>
    <mergeCell ref="S130:S131"/>
    <mergeCell ref="T130:T131"/>
    <mergeCell ref="U130:U131"/>
    <mergeCell ref="U127:U128"/>
    <mergeCell ref="V127:V128"/>
    <mergeCell ref="W127:W128"/>
    <mergeCell ref="I130:I131"/>
    <mergeCell ref="J130:J131"/>
    <mergeCell ref="K130:K131"/>
    <mergeCell ref="L130:L131"/>
    <mergeCell ref="M130:M131"/>
    <mergeCell ref="N130:N131"/>
    <mergeCell ref="O130:O131"/>
    <mergeCell ref="O127:O128"/>
    <mergeCell ref="P127:P128"/>
    <mergeCell ref="Q127:Q128"/>
    <mergeCell ref="R127:R128"/>
    <mergeCell ref="S127:S128"/>
    <mergeCell ref="T127:T128"/>
    <mergeCell ref="R135:R136"/>
    <mergeCell ref="S135:S136"/>
    <mergeCell ref="T135:T136"/>
    <mergeCell ref="U135:U136"/>
    <mergeCell ref="V135:V136"/>
    <mergeCell ref="W135:W136"/>
    <mergeCell ref="W132:W133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U137:U138"/>
    <mergeCell ref="V137:V138"/>
    <mergeCell ref="W137:W138"/>
    <mergeCell ref="I140:I141"/>
    <mergeCell ref="J140:J141"/>
    <mergeCell ref="K140:K141"/>
    <mergeCell ref="L140:L141"/>
    <mergeCell ref="M140:M141"/>
    <mergeCell ref="N140:N141"/>
    <mergeCell ref="O140:O141"/>
    <mergeCell ref="O137:O138"/>
    <mergeCell ref="P137:P138"/>
    <mergeCell ref="Q137:Q138"/>
    <mergeCell ref="R137:R138"/>
    <mergeCell ref="S137:S138"/>
    <mergeCell ref="T137:T138"/>
    <mergeCell ref="I137:I138"/>
    <mergeCell ref="J137:J138"/>
    <mergeCell ref="K137:K138"/>
    <mergeCell ref="L137:L138"/>
    <mergeCell ref="M137:M138"/>
    <mergeCell ref="N137:N138"/>
    <mergeCell ref="O142:O143"/>
    <mergeCell ref="P142:P143"/>
    <mergeCell ref="V140:V141"/>
    <mergeCell ref="W140:W141"/>
    <mergeCell ref="A142:A146"/>
    <mergeCell ref="B142:B146"/>
    <mergeCell ref="C142:C146"/>
    <mergeCell ref="D142:D146"/>
    <mergeCell ref="E142:E146"/>
    <mergeCell ref="F142:F146"/>
    <mergeCell ref="I142:I143"/>
    <mergeCell ref="J142:J143"/>
    <mergeCell ref="P140:P141"/>
    <mergeCell ref="Q140:Q141"/>
    <mergeCell ref="R140:R141"/>
    <mergeCell ref="S140:S141"/>
    <mergeCell ref="T140:T141"/>
    <mergeCell ref="U140:U141"/>
    <mergeCell ref="A137:A141"/>
    <mergeCell ref="B137:B141"/>
    <mergeCell ref="C137:C141"/>
    <mergeCell ref="D137:D141"/>
    <mergeCell ref="E137:E141"/>
    <mergeCell ref="F137:F141"/>
    <mergeCell ref="A147:A151"/>
    <mergeCell ref="B147:B151"/>
    <mergeCell ref="C147:C151"/>
    <mergeCell ref="D147:D151"/>
    <mergeCell ref="E147:E151"/>
    <mergeCell ref="F147:F151"/>
    <mergeCell ref="R145:R146"/>
    <mergeCell ref="S145:S146"/>
    <mergeCell ref="T145:T146"/>
    <mergeCell ref="U145:U146"/>
    <mergeCell ref="V145:V146"/>
    <mergeCell ref="W145:W146"/>
    <mergeCell ref="W142:W143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Q142:Q143"/>
    <mergeCell ref="R142:R143"/>
    <mergeCell ref="S142:S143"/>
    <mergeCell ref="T142:T143"/>
    <mergeCell ref="U142:U143"/>
    <mergeCell ref="V142:V143"/>
    <mergeCell ref="K142:K143"/>
    <mergeCell ref="L142:L143"/>
    <mergeCell ref="M142:M143"/>
    <mergeCell ref="N142:N143"/>
    <mergeCell ref="U147:U148"/>
    <mergeCell ref="V147:V148"/>
    <mergeCell ref="W147:W148"/>
    <mergeCell ref="I150:I151"/>
    <mergeCell ref="J150:J151"/>
    <mergeCell ref="K150:K151"/>
    <mergeCell ref="L150:L151"/>
    <mergeCell ref="M150:M151"/>
    <mergeCell ref="N150:N151"/>
    <mergeCell ref="O150:O151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V152:V153"/>
    <mergeCell ref="W152:W153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P152:P153"/>
    <mergeCell ref="Q152:Q153"/>
    <mergeCell ref="R152:R153"/>
    <mergeCell ref="S152:S153"/>
    <mergeCell ref="T152:T153"/>
    <mergeCell ref="U152:U153"/>
    <mergeCell ref="V150:V151"/>
    <mergeCell ref="W150:W151"/>
    <mergeCell ref="I152:I153"/>
    <mergeCell ref="J152:J153"/>
    <mergeCell ref="K152:K153"/>
    <mergeCell ref="L152:L153"/>
    <mergeCell ref="M152:M153"/>
    <mergeCell ref="N152:N153"/>
    <mergeCell ref="O152:O153"/>
    <mergeCell ref="P150:P151"/>
    <mergeCell ref="Q150:Q151"/>
    <mergeCell ref="R150:R151"/>
    <mergeCell ref="S150:S151"/>
    <mergeCell ref="T150:T151"/>
    <mergeCell ref="U150:U151"/>
    <mergeCell ref="I160:I161"/>
    <mergeCell ref="J160:J161"/>
    <mergeCell ref="K160:K161"/>
    <mergeCell ref="L160:L161"/>
    <mergeCell ref="M160:M161"/>
    <mergeCell ref="N160:N161"/>
    <mergeCell ref="W155:W156"/>
    <mergeCell ref="A157:W157"/>
    <mergeCell ref="A158:W158"/>
    <mergeCell ref="A159:V159"/>
    <mergeCell ref="A160:A164"/>
    <mergeCell ref="B160:B164"/>
    <mergeCell ref="C160:C164"/>
    <mergeCell ref="D160:D164"/>
    <mergeCell ref="E160:E164"/>
    <mergeCell ref="F160:F164"/>
    <mergeCell ref="Q155:Q156"/>
    <mergeCell ref="R155:R156"/>
    <mergeCell ref="S155:S156"/>
    <mergeCell ref="T155:T156"/>
    <mergeCell ref="U155:U156"/>
    <mergeCell ref="V155:V156"/>
    <mergeCell ref="A152:F156"/>
    <mergeCell ref="V163:V164"/>
    <mergeCell ref="W163:W164"/>
    <mergeCell ref="A165:A169"/>
    <mergeCell ref="B165:B169"/>
    <mergeCell ref="C165:C169"/>
    <mergeCell ref="D165:D169"/>
    <mergeCell ref="E165:E169"/>
    <mergeCell ref="F165:F169"/>
    <mergeCell ref="I165:I166"/>
    <mergeCell ref="J165:J166"/>
    <mergeCell ref="P163:P164"/>
    <mergeCell ref="Q163:Q164"/>
    <mergeCell ref="R163:R164"/>
    <mergeCell ref="S163:S164"/>
    <mergeCell ref="T163:T164"/>
    <mergeCell ref="U163:U164"/>
    <mergeCell ref="U160:U161"/>
    <mergeCell ref="V160:V161"/>
    <mergeCell ref="W160:W161"/>
    <mergeCell ref="I163:I164"/>
    <mergeCell ref="J163:J164"/>
    <mergeCell ref="K163:K164"/>
    <mergeCell ref="L163:L164"/>
    <mergeCell ref="M163:M164"/>
    <mergeCell ref="N163:N164"/>
    <mergeCell ref="O163:O164"/>
    <mergeCell ref="O160:O161"/>
    <mergeCell ref="P160:P161"/>
    <mergeCell ref="Q160:Q161"/>
    <mergeCell ref="R160:R161"/>
    <mergeCell ref="S160:S161"/>
    <mergeCell ref="T160:T161"/>
    <mergeCell ref="W168:W169"/>
    <mergeCell ref="W165:W166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I170:I171"/>
    <mergeCell ref="J170:J171"/>
    <mergeCell ref="K170:K171"/>
    <mergeCell ref="L170:L171"/>
    <mergeCell ref="M170:M171"/>
    <mergeCell ref="N170:N171"/>
    <mergeCell ref="A170:A174"/>
    <mergeCell ref="B170:B174"/>
    <mergeCell ref="C170:C174"/>
    <mergeCell ref="D170:D174"/>
    <mergeCell ref="E170:E174"/>
    <mergeCell ref="F170:F174"/>
    <mergeCell ref="R168:R169"/>
    <mergeCell ref="S168:S169"/>
    <mergeCell ref="T168:T169"/>
    <mergeCell ref="U168:U169"/>
    <mergeCell ref="V168:V169"/>
    <mergeCell ref="V173:V174"/>
    <mergeCell ref="W173:W174"/>
    <mergeCell ref="A175:A179"/>
    <mergeCell ref="B175:B179"/>
    <mergeCell ref="C175:C179"/>
    <mergeCell ref="D175:D179"/>
    <mergeCell ref="E175:E179"/>
    <mergeCell ref="F175:F179"/>
    <mergeCell ref="I175:I176"/>
    <mergeCell ref="J175:J176"/>
    <mergeCell ref="P173:P174"/>
    <mergeCell ref="Q173:Q174"/>
    <mergeCell ref="R173:R174"/>
    <mergeCell ref="S173:S174"/>
    <mergeCell ref="T173:T174"/>
    <mergeCell ref="U173:U174"/>
    <mergeCell ref="U170:U171"/>
    <mergeCell ref="V170:V171"/>
    <mergeCell ref="W170:W171"/>
    <mergeCell ref="I173:I174"/>
    <mergeCell ref="J173:J174"/>
    <mergeCell ref="K173:K174"/>
    <mergeCell ref="L173:L174"/>
    <mergeCell ref="M173:M174"/>
    <mergeCell ref="N173:N174"/>
    <mergeCell ref="O173:O174"/>
    <mergeCell ref="O170:O171"/>
    <mergeCell ref="P170:P171"/>
    <mergeCell ref="Q170:Q171"/>
    <mergeCell ref="R170:R171"/>
    <mergeCell ref="S170:S171"/>
    <mergeCell ref="T170:T171"/>
    <mergeCell ref="W178:W179"/>
    <mergeCell ref="W175:W176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I180:I181"/>
    <mergeCell ref="J180:J181"/>
    <mergeCell ref="K180:K181"/>
    <mergeCell ref="L180:L181"/>
    <mergeCell ref="M180:M181"/>
    <mergeCell ref="N180:N181"/>
    <mergeCell ref="A180:A184"/>
    <mergeCell ref="B180:B184"/>
    <mergeCell ref="C180:C184"/>
    <mergeCell ref="D180:D184"/>
    <mergeCell ref="E180:E184"/>
    <mergeCell ref="F180:F184"/>
    <mergeCell ref="R178:R179"/>
    <mergeCell ref="S178:S179"/>
    <mergeCell ref="T178:T179"/>
    <mergeCell ref="U178:U179"/>
    <mergeCell ref="V178:V179"/>
    <mergeCell ref="V183:V184"/>
    <mergeCell ref="W183:W184"/>
    <mergeCell ref="A185:A189"/>
    <mergeCell ref="B185:B189"/>
    <mergeCell ref="C185:C189"/>
    <mergeCell ref="D185:D189"/>
    <mergeCell ref="E185:E189"/>
    <mergeCell ref="F185:F189"/>
    <mergeCell ref="I185:I186"/>
    <mergeCell ref="J185:J186"/>
    <mergeCell ref="P183:P184"/>
    <mergeCell ref="Q183:Q184"/>
    <mergeCell ref="R183:R184"/>
    <mergeCell ref="S183:S184"/>
    <mergeCell ref="T183:T184"/>
    <mergeCell ref="U183:U184"/>
    <mergeCell ref="U180:U181"/>
    <mergeCell ref="V180:V181"/>
    <mergeCell ref="W180:W181"/>
    <mergeCell ref="I183:I184"/>
    <mergeCell ref="J183:J184"/>
    <mergeCell ref="K183:K184"/>
    <mergeCell ref="L183:L184"/>
    <mergeCell ref="M183:M184"/>
    <mergeCell ref="N183:N184"/>
    <mergeCell ref="O183:O184"/>
    <mergeCell ref="O180:O181"/>
    <mergeCell ref="P180:P181"/>
    <mergeCell ref="Q180:Q181"/>
    <mergeCell ref="R180:R181"/>
    <mergeCell ref="S180:S181"/>
    <mergeCell ref="T180:T181"/>
    <mergeCell ref="R188:R189"/>
    <mergeCell ref="S188:S189"/>
    <mergeCell ref="T188:T189"/>
    <mergeCell ref="U188:U189"/>
    <mergeCell ref="V188:V189"/>
    <mergeCell ref="W188:W189"/>
    <mergeCell ref="W185:W186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T190:T191"/>
    <mergeCell ref="U190:U191"/>
    <mergeCell ref="V190:V191"/>
    <mergeCell ref="W190:W191"/>
    <mergeCell ref="I193:I194"/>
    <mergeCell ref="J193:J194"/>
    <mergeCell ref="K193:K194"/>
    <mergeCell ref="L193:L194"/>
    <mergeCell ref="M193:M194"/>
    <mergeCell ref="N193:N194"/>
    <mergeCell ref="N190:N191"/>
    <mergeCell ref="O190:O191"/>
    <mergeCell ref="P190:P191"/>
    <mergeCell ref="Q190:Q191"/>
    <mergeCell ref="R190:R191"/>
    <mergeCell ref="S190:S191"/>
    <mergeCell ref="A190:F194"/>
    <mergeCell ref="I190:I191"/>
    <mergeCell ref="J190:J191"/>
    <mergeCell ref="K190:K191"/>
    <mergeCell ref="L190:L191"/>
    <mergeCell ref="M190:M191"/>
    <mergeCell ref="I198:I199"/>
    <mergeCell ref="J198:J199"/>
    <mergeCell ref="K198:K199"/>
    <mergeCell ref="L198:L199"/>
    <mergeCell ref="M198:M199"/>
    <mergeCell ref="N198:N199"/>
    <mergeCell ref="A198:A202"/>
    <mergeCell ref="B198:B202"/>
    <mergeCell ref="C198:C202"/>
    <mergeCell ref="D198:D202"/>
    <mergeCell ref="E198:E202"/>
    <mergeCell ref="F198:F202"/>
    <mergeCell ref="U193:U194"/>
    <mergeCell ref="V193:V194"/>
    <mergeCell ref="W193:W194"/>
    <mergeCell ref="A195:W195"/>
    <mergeCell ref="A196:W196"/>
    <mergeCell ref="A197:V197"/>
    <mergeCell ref="O193:O194"/>
    <mergeCell ref="P193:P194"/>
    <mergeCell ref="Q193:Q194"/>
    <mergeCell ref="R193:R194"/>
    <mergeCell ref="S193:S194"/>
    <mergeCell ref="T193:T194"/>
    <mergeCell ref="V201:V202"/>
    <mergeCell ref="W201:W202"/>
    <mergeCell ref="A203:A207"/>
    <mergeCell ref="B203:B207"/>
    <mergeCell ref="C203:C207"/>
    <mergeCell ref="D203:D207"/>
    <mergeCell ref="E203:E207"/>
    <mergeCell ref="F203:F207"/>
    <mergeCell ref="I203:I204"/>
    <mergeCell ref="J203:J204"/>
    <mergeCell ref="P201:P202"/>
    <mergeCell ref="Q201:Q202"/>
    <mergeCell ref="R201:R202"/>
    <mergeCell ref="S201:S202"/>
    <mergeCell ref="T201:T202"/>
    <mergeCell ref="U201:U202"/>
    <mergeCell ref="U198:U199"/>
    <mergeCell ref="V198:V199"/>
    <mergeCell ref="W198:W199"/>
    <mergeCell ref="I201:I202"/>
    <mergeCell ref="J201:J202"/>
    <mergeCell ref="K201:K202"/>
    <mergeCell ref="L201:L202"/>
    <mergeCell ref="M201:M202"/>
    <mergeCell ref="N201:N202"/>
    <mergeCell ref="O201:O202"/>
    <mergeCell ref="O198:O199"/>
    <mergeCell ref="P198:P199"/>
    <mergeCell ref="Q198:Q199"/>
    <mergeCell ref="R198:R199"/>
    <mergeCell ref="S198:S199"/>
    <mergeCell ref="T198:T199"/>
    <mergeCell ref="W206:W207"/>
    <mergeCell ref="W203:W204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Q203:Q204"/>
    <mergeCell ref="R203:R204"/>
    <mergeCell ref="S203:S204"/>
    <mergeCell ref="T203:T204"/>
    <mergeCell ref="U203:U204"/>
    <mergeCell ref="V203:V204"/>
    <mergeCell ref="K203:K204"/>
    <mergeCell ref="L203:L204"/>
    <mergeCell ref="M203:M204"/>
    <mergeCell ref="N203:N204"/>
    <mergeCell ref="O203:O204"/>
    <mergeCell ref="P203:P204"/>
    <mergeCell ref="I208:I209"/>
    <mergeCell ref="J208:J209"/>
    <mergeCell ref="K208:K209"/>
    <mergeCell ref="L208:L209"/>
    <mergeCell ref="M208:M209"/>
    <mergeCell ref="N208:N209"/>
    <mergeCell ref="A208:A212"/>
    <mergeCell ref="B208:B212"/>
    <mergeCell ref="C208:C212"/>
    <mergeCell ref="D208:D212"/>
    <mergeCell ref="E208:E212"/>
    <mergeCell ref="F208:F212"/>
    <mergeCell ref="R206:R207"/>
    <mergeCell ref="S206:S207"/>
    <mergeCell ref="T206:T207"/>
    <mergeCell ref="U206:U207"/>
    <mergeCell ref="V206:V207"/>
    <mergeCell ref="V211:V212"/>
    <mergeCell ref="W211:W212"/>
    <mergeCell ref="A213:A217"/>
    <mergeCell ref="B213:B217"/>
    <mergeCell ref="C213:C217"/>
    <mergeCell ref="D213:D217"/>
    <mergeCell ref="E213:E217"/>
    <mergeCell ref="F213:F217"/>
    <mergeCell ref="I213:I214"/>
    <mergeCell ref="J213:J214"/>
    <mergeCell ref="P211:P212"/>
    <mergeCell ref="Q211:Q212"/>
    <mergeCell ref="R211:R212"/>
    <mergeCell ref="S211:S212"/>
    <mergeCell ref="T211:T212"/>
    <mergeCell ref="U211:U212"/>
    <mergeCell ref="U208:U209"/>
    <mergeCell ref="V208:V209"/>
    <mergeCell ref="W208:W209"/>
    <mergeCell ref="I211:I212"/>
    <mergeCell ref="J211:J212"/>
    <mergeCell ref="K211:K212"/>
    <mergeCell ref="L211:L212"/>
    <mergeCell ref="M211:M212"/>
    <mergeCell ref="N211:N212"/>
    <mergeCell ref="O211:O212"/>
    <mergeCell ref="O208:O209"/>
    <mergeCell ref="P208:P209"/>
    <mergeCell ref="Q208:Q209"/>
    <mergeCell ref="R208:R209"/>
    <mergeCell ref="S208:S209"/>
    <mergeCell ref="T208:T209"/>
    <mergeCell ref="W216:W217"/>
    <mergeCell ref="W213:W214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I218:I219"/>
    <mergeCell ref="J218:J219"/>
    <mergeCell ref="K218:K219"/>
    <mergeCell ref="L218:L219"/>
    <mergeCell ref="M218:M219"/>
    <mergeCell ref="N218:N219"/>
    <mergeCell ref="A218:A222"/>
    <mergeCell ref="B218:B222"/>
    <mergeCell ref="C218:C222"/>
    <mergeCell ref="D218:D222"/>
    <mergeCell ref="E218:E222"/>
    <mergeCell ref="F218:F222"/>
    <mergeCell ref="R216:R217"/>
    <mergeCell ref="S216:S217"/>
    <mergeCell ref="T216:T217"/>
    <mergeCell ref="U216:U217"/>
    <mergeCell ref="V216:V217"/>
    <mergeCell ref="V221:V222"/>
    <mergeCell ref="W221:W222"/>
    <mergeCell ref="A223:A227"/>
    <mergeCell ref="B223:B227"/>
    <mergeCell ref="C223:C227"/>
    <mergeCell ref="D223:D227"/>
    <mergeCell ref="E223:E227"/>
    <mergeCell ref="F223:F227"/>
    <mergeCell ref="I223:I224"/>
    <mergeCell ref="J223:J224"/>
    <mergeCell ref="P221:P222"/>
    <mergeCell ref="Q221:Q222"/>
    <mergeCell ref="R221:R222"/>
    <mergeCell ref="S221:S222"/>
    <mergeCell ref="T221:T222"/>
    <mergeCell ref="U221:U222"/>
    <mergeCell ref="U218:U219"/>
    <mergeCell ref="V218:V219"/>
    <mergeCell ref="W218:W219"/>
    <mergeCell ref="I221:I222"/>
    <mergeCell ref="J221:J222"/>
    <mergeCell ref="K221:K222"/>
    <mergeCell ref="L221:L222"/>
    <mergeCell ref="M221:M222"/>
    <mergeCell ref="N221:N222"/>
    <mergeCell ref="O221:O222"/>
    <mergeCell ref="O218:O219"/>
    <mergeCell ref="P218:P219"/>
    <mergeCell ref="Q218:Q219"/>
    <mergeCell ref="R218:R219"/>
    <mergeCell ref="S218:S219"/>
    <mergeCell ref="T218:T219"/>
    <mergeCell ref="W226:W227"/>
    <mergeCell ref="W223:W224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Q223:Q224"/>
    <mergeCell ref="R223:R224"/>
    <mergeCell ref="S223:S224"/>
    <mergeCell ref="T223:T224"/>
    <mergeCell ref="U223:U224"/>
    <mergeCell ref="V223:V224"/>
    <mergeCell ref="K223:K224"/>
    <mergeCell ref="L223:L224"/>
    <mergeCell ref="M223:M224"/>
    <mergeCell ref="N223:N224"/>
    <mergeCell ref="O223:O224"/>
    <mergeCell ref="P223:P224"/>
    <mergeCell ref="I228:I229"/>
    <mergeCell ref="J228:J229"/>
    <mergeCell ref="K228:K229"/>
    <mergeCell ref="L228:L229"/>
    <mergeCell ref="M228:M229"/>
    <mergeCell ref="N228:N229"/>
    <mergeCell ref="A228:A232"/>
    <mergeCell ref="B228:B232"/>
    <mergeCell ref="C228:C232"/>
    <mergeCell ref="D228:D232"/>
    <mergeCell ref="E228:E232"/>
    <mergeCell ref="F228:F232"/>
    <mergeCell ref="R226:R227"/>
    <mergeCell ref="S226:S227"/>
    <mergeCell ref="T226:T227"/>
    <mergeCell ref="U226:U227"/>
    <mergeCell ref="V226:V227"/>
    <mergeCell ref="V231:V232"/>
    <mergeCell ref="W231:W232"/>
    <mergeCell ref="A233:F237"/>
    <mergeCell ref="I233:I234"/>
    <mergeCell ref="J233:J234"/>
    <mergeCell ref="K233:K234"/>
    <mergeCell ref="L233:L234"/>
    <mergeCell ref="M233:M234"/>
    <mergeCell ref="N233:N234"/>
    <mergeCell ref="O233:O234"/>
    <mergeCell ref="P231:P232"/>
    <mergeCell ref="Q231:Q232"/>
    <mergeCell ref="R231:R232"/>
    <mergeCell ref="S231:S232"/>
    <mergeCell ref="T231:T232"/>
    <mergeCell ref="U231:U232"/>
    <mergeCell ref="U228:U229"/>
    <mergeCell ref="V228:V229"/>
    <mergeCell ref="W228:W229"/>
    <mergeCell ref="I231:I232"/>
    <mergeCell ref="J231:J232"/>
    <mergeCell ref="K231:K232"/>
    <mergeCell ref="L231:L232"/>
    <mergeCell ref="M231:M232"/>
    <mergeCell ref="N231:N232"/>
    <mergeCell ref="O231:O232"/>
    <mergeCell ref="O228:O229"/>
    <mergeCell ref="P228:P229"/>
    <mergeCell ref="Q228:Q229"/>
    <mergeCell ref="R228:R229"/>
    <mergeCell ref="S228:S229"/>
    <mergeCell ref="T228:T229"/>
    <mergeCell ref="W236:W237"/>
    <mergeCell ref="A238:F242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6:Q237"/>
    <mergeCell ref="R236:R237"/>
    <mergeCell ref="S236:S237"/>
    <mergeCell ref="T236:T237"/>
    <mergeCell ref="U236:U237"/>
    <mergeCell ref="V236:V237"/>
    <mergeCell ref="V233:V234"/>
    <mergeCell ref="W233:W234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P233:P234"/>
    <mergeCell ref="Q233:Q234"/>
    <mergeCell ref="R233:R234"/>
    <mergeCell ref="S233:S234"/>
    <mergeCell ref="T233:T234"/>
    <mergeCell ref="U233:U234"/>
    <mergeCell ref="R241:R242"/>
    <mergeCell ref="S241:S242"/>
    <mergeCell ref="T241:T242"/>
    <mergeCell ref="U241:U242"/>
    <mergeCell ref="V241:V242"/>
    <mergeCell ref="W241:W242"/>
    <mergeCell ref="W238:W239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Q241:Q242"/>
    <mergeCell ref="Q238:Q239"/>
    <mergeCell ref="R238:R239"/>
    <mergeCell ref="S238:S239"/>
    <mergeCell ref="T238:T239"/>
    <mergeCell ref="U238:U239"/>
    <mergeCell ref="V238:V239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5" orientation="landscape" copies="2" r:id="rId1"/>
  <headerFooter alignWithMargins="0"/>
  <rowBreaks count="1" manualBreakCount="1">
    <brk id="164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4017-FF45-4AAF-A31F-AAEA19D5C63C}">
  <dimension ref="A1:X101"/>
  <sheetViews>
    <sheetView view="pageBreakPreview" topLeftCell="A10" zoomScaleNormal="100" zoomScaleSheetLayoutView="100" workbookViewId="0">
      <selection activeCell="A92" sqref="A92:F96"/>
    </sheetView>
  </sheetViews>
  <sheetFormatPr defaultRowHeight="15"/>
  <cols>
    <col min="1" max="1" width="5.375" style="318" customWidth="1"/>
    <col min="2" max="2" width="13.125" style="318" customWidth="1"/>
    <col min="3" max="3" width="43.875" style="318" customWidth="1"/>
    <col min="4" max="4" width="11.625" style="318" customWidth="1"/>
    <col min="5" max="5" width="10.375" style="318" customWidth="1"/>
    <col min="6" max="6" width="11" style="318" customWidth="1"/>
    <col min="7" max="8" width="12.125" style="318" customWidth="1"/>
    <col min="9" max="9" width="4" style="318" customWidth="1"/>
    <col min="10" max="10" width="12.875" style="318" customWidth="1"/>
    <col min="11" max="12" width="12.125" style="318" customWidth="1"/>
    <col min="13" max="13" width="11.375" style="318" customWidth="1"/>
    <col min="14" max="15" width="11.875" style="318" customWidth="1"/>
    <col min="16" max="16" width="11.75" style="318" customWidth="1"/>
    <col min="17" max="17" width="11.375" style="318" customWidth="1"/>
    <col min="18" max="18" width="11.875" style="318" customWidth="1"/>
    <col min="19" max="19" width="11.375" style="318" customWidth="1"/>
    <col min="20" max="20" width="10.375" style="318" customWidth="1"/>
    <col min="21" max="21" width="12.875" style="318" customWidth="1"/>
    <col min="22" max="22" width="10.875" style="318" customWidth="1"/>
    <col min="23" max="23" width="10.75" style="318" customWidth="1"/>
    <col min="24" max="257" width="9" style="318"/>
    <col min="258" max="258" width="5.375" style="318" customWidth="1"/>
    <col min="259" max="259" width="13.125" style="318" customWidth="1"/>
    <col min="260" max="260" width="43.875" style="318" customWidth="1"/>
    <col min="261" max="261" width="11.625" style="318" customWidth="1"/>
    <col min="262" max="262" width="10.375" style="318" customWidth="1"/>
    <col min="263" max="263" width="11" style="318" customWidth="1"/>
    <col min="264" max="265" width="12.125" style="318" customWidth="1"/>
    <col min="266" max="266" width="12.875" style="318" customWidth="1"/>
    <col min="267" max="268" width="12.125" style="318" customWidth="1"/>
    <col min="269" max="269" width="11.375" style="318" customWidth="1"/>
    <col min="270" max="271" width="11.875" style="318" customWidth="1"/>
    <col min="272" max="272" width="11.75" style="318" customWidth="1"/>
    <col min="273" max="273" width="11.375" style="318" customWidth="1"/>
    <col min="274" max="274" width="11.875" style="318" customWidth="1"/>
    <col min="275" max="275" width="11.375" style="318" customWidth="1"/>
    <col min="276" max="276" width="10.375" style="318" customWidth="1"/>
    <col min="277" max="277" width="12.875" style="318" customWidth="1"/>
    <col min="278" max="278" width="11.75" style="318" customWidth="1"/>
    <col min="279" max="279" width="11" style="318" customWidth="1"/>
    <col min="280" max="513" width="9" style="318"/>
    <col min="514" max="514" width="5.375" style="318" customWidth="1"/>
    <col min="515" max="515" width="13.125" style="318" customWidth="1"/>
    <col min="516" max="516" width="43.875" style="318" customWidth="1"/>
    <col min="517" max="517" width="11.625" style="318" customWidth="1"/>
    <col min="518" max="518" width="10.375" style="318" customWidth="1"/>
    <col min="519" max="519" width="11" style="318" customWidth="1"/>
    <col min="520" max="521" width="12.125" style="318" customWidth="1"/>
    <col min="522" max="522" width="12.875" style="318" customWidth="1"/>
    <col min="523" max="524" width="12.125" style="318" customWidth="1"/>
    <col min="525" max="525" width="11.375" style="318" customWidth="1"/>
    <col min="526" max="527" width="11.875" style="318" customWidth="1"/>
    <col min="528" max="528" width="11.75" style="318" customWidth="1"/>
    <col min="529" max="529" width="11.375" style="318" customWidth="1"/>
    <col min="530" max="530" width="11.875" style="318" customWidth="1"/>
    <col min="531" max="531" width="11.375" style="318" customWidth="1"/>
    <col min="532" max="532" width="10.375" style="318" customWidth="1"/>
    <col min="533" max="533" width="12.875" style="318" customWidth="1"/>
    <col min="534" max="534" width="11.75" style="318" customWidth="1"/>
    <col min="535" max="535" width="11" style="318" customWidth="1"/>
    <col min="536" max="769" width="9" style="318"/>
    <col min="770" max="770" width="5.375" style="318" customWidth="1"/>
    <col min="771" max="771" width="13.125" style="318" customWidth="1"/>
    <col min="772" max="772" width="43.875" style="318" customWidth="1"/>
    <col min="773" max="773" width="11.625" style="318" customWidth="1"/>
    <col min="774" max="774" width="10.375" style="318" customWidth="1"/>
    <col min="775" max="775" width="11" style="318" customWidth="1"/>
    <col min="776" max="777" width="12.125" style="318" customWidth="1"/>
    <col min="778" max="778" width="12.875" style="318" customWidth="1"/>
    <col min="779" max="780" width="12.125" style="318" customWidth="1"/>
    <col min="781" max="781" width="11.375" style="318" customWidth="1"/>
    <col min="782" max="783" width="11.875" style="318" customWidth="1"/>
    <col min="784" max="784" width="11.75" style="318" customWidth="1"/>
    <col min="785" max="785" width="11.375" style="318" customWidth="1"/>
    <col min="786" max="786" width="11.875" style="318" customWidth="1"/>
    <col min="787" max="787" width="11.375" style="318" customWidth="1"/>
    <col min="788" max="788" width="10.375" style="318" customWidth="1"/>
    <col min="789" max="789" width="12.875" style="318" customWidth="1"/>
    <col min="790" max="790" width="11.75" style="318" customWidth="1"/>
    <col min="791" max="791" width="11" style="318" customWidth="1"/>
    <col min="792" max="1025" width="9" style="318"/>
    <col min="1026" max="1026" width="5.375" style="318" customWidth="1"/>
    <col min="1027" max="1027" width="13.125" style="318" customWidth="1"/>
    <col min="1028" max="1028" width="43.875" style="318" customWidth="1"/>
    <col min="1029" max="1029" width="11.625" style="318" customWidth="1"/>
    <col min="1030" max="1030" width="10.375" style="318" customWidth="1"/>
    <col min="1031" max="1031" width="11" style="318" customWidth="1"/>
    <col min="1032" max="1033" width="12.125" style="318" customWidth="1"/>
    <col min="1034" max="1034" width="12.875" style="318" customWidth="1"/>
    <col min="1035" max="1036" width="12.125" style="318" customWidth="1"/>
    <col min="1037" max="1037" width="11.375" style="318" customWidth="1"/>
    <col min="1038" max="1039" width="11.875" style="318" customWidth="1"/>
    <col min="1040" max="1040" width="11.75" style="318" customWidth="1"/>
    <col min="1041" max="1041" width="11.375" style="318" customWidth="1"/>
    <col min="1042" max="1042" width="11.875" style="318" customWidth="1"/>
    <col min="1043" max="1043" width="11.375" style="318" customWidth="1"/>
    <col min="1044" max="1044" width="10.375" style="318" customWidth="1"/>
    <col min="1045" max="1045" width="12.875" style="318" customWidth="1"/>
    <col min="1046" max="1046" width="11.75" style="318" customWidth="1"/>
    <col min="1047" max="1047" width="11" style="318" customWidth="1"/>
    <col min="1048" max="1281" width="9" style="318"/>
    <col min="1282" max="1282" width="5.375" style="318" customWidth="1"/>
    <col min="1283" max="1283" width="13.125" style="318" customWidth="1"/>
    <col min="1284" max="1284" width="43.875" style="318" customWidth="1"/>
    <col min="1285" max="1285" width="11.625" style="318" customWidth="1"/>
    <col min="1286" max="1286" width="10.375" style="318" customWidth="1"/>
    <col min="1287" max="1287" width="11" style="318" customWidth="1"/>
    <col min="1288" max="1289" width="12.125" style="318" customWidth="1"/>
    <col min="1290" max="1290" width="12.875" style="318" customWidth="1"/>
    <col min="1291" max="1292" width="12.125" style="318" customWidth="1"/>
    <col min="1293" max="1293" width="11.375" style="318" customWidth="1"/>
    <col min="1294" max="1295" width="11.875" style="318" customWidth="1"/>
    <col min="1296" max="1296" width="11.75" style="318" customWidth="1"/>
    <col min="1297" max="1297" width="11.375" style="318" customWidth="1"/>
    <col min="1298" max="1298" width="11.875" style="318" customWidth="1"/>
    <col min="1299" max="1299" width="11.375" style="318" customWidth="1"/>
    <col min="1300" max="1300" width="10.375" style="318" customWidth="1"/>
    <col min="1301" max="1301" width="12.875" style="318" customWidth="1"/>
    <col min="1302" max="1302" width="11.75" style="318" customWidth="1"/>
    <col min="1303" max="1303" width="11" style="318" customWidth="1"/>
    <col min="1304" max="1537" width="9" style="318"/>
    <col min="1538" max="1538" width="5.375" style="318" customWidth="1"/>
    <col min="1539" max="1539" width="13.125" style="318" customWidth="1"/>
    <col min="1540" max="1540" width="43.875" style="318" customWidth="1"/>
    <col min="1541" max="1541" width="11.625" style="318" customWidth="1"/>
    <col min="1542" max="1542" width="10.375" style="318" customWidth="1"/>
    <col min="1543" max="1543" width="11" style="318" customWidth="1"/>
    <col min="1544" max="1545" width="12.125" style="318" customWidth="1"/>
    <col min="1546" max="1546" width="12.875" style="318" customWidth="1"/>
    <col min="1547" max="1548" width="12.125" style="318" customWidth="1"/>
    <col min="1549" max="1549" width="11.375" style="318" customWidth="1"/>
    <col min="1550" max="1551" width="11.875" style="318" customWidth="1"/>
    <col min="1552" max="1552" width="11.75" style="318" customWidth="1"/>
    <col min="1553" max="1553" width="11.375" style="318" customWidth="1"/>
    <col min="1554" max="1554" width="11.875" style="318" customWidth="1"/>
    <col min="1555" max="1555" width="11.375" style="318" customWidth="1"/>
    <col min="1556" max="1556" width="10.375" style="318" customWidth="1"/>
    <col min="1557" max="1557" width="12.875" style="318" customWidth="1"/>
    <col min="1558" max="1558" width="11.75" style="318" customWidth="1"/>
    <col min="1559" max="1559" width="11" style="318" customWidth="1"/>
    <col min="1560" max="1793" width="9" style="318"/>
    <col min="1794" max="1794" width="5.375" style="318" customWidth="1"/>
    <col min="1795" max="1795" width="13.125" style="318" customWidth="1"/>
    <col min="1796" max="1796" width="43.875" style="318" customWidth="1"/>
    <col min="1797" max="1797" width="11.625" style="318" customWidth="1"/>
    <col min="1798" max="1798" width="10.375" style="318" customWidth="1"/>
    <col min="1799" max="1799" width="11" style="318" customWidth="1"/>
    <col min="1800" max="1801" width="12.125" style="318" customWidth="1"/>
    <col min="1802" max="1802" width="12.875" style="318" customWidth="1"/>
    <col min="1803" max="1804" width="12.125" style="318" customWidth="1"/>
    <col min="1805" max="1805" width="11.375" style="318" customWidth="1"/>
    <col min="1806" max="1807" width="11.875" style="318" customWidth="1"/>
    <col min="1808" max="1808" width="11.75" style="318" customWidth="1"/>
    <col min="1809" max="1809" width="11.375" style="318" customWidth="1"/>
    <col min="1810" max="1810" width="11.875" style="318" customWidth="1"/>
    <col min="1811" max="1811" width="11.375" style="318" customWidth="1"/>
    <col min="1812" max="1812" width="10.375" style="318" customWidth="1"/>
    <col min="1813" max="1813" width="12.875" style="318" customWidth="1"/>
    <col min="1814" max="1814" width="11.75" style="318" customWidth="1"/>
    <col min="1815" max="1815" width="11" style="318" customWidth="1"/>
    <col min="1816" max="2049" width="9" style="318"/>
    <col min="2050" max="2050" width="5.375" style="318" customWidth="1"/>
    <col min="2051" max="2051" width="13.125" style="318" customWidth="1"/>
    <col min="2052" max="2052" width="43.875" style="318" customWidth="1"/>
    <col min="2053" max="2053" width="11.625" style="318" customWidth="1"/>
    <col min="2054" max="2054" width="10.375" style="318" customWidth="1"/>
    <col min="2055" max="2055" width="11" style="318" customWidth="1"/>
    <col min="2056" max="2057" width="12.125" style="318" customWidth="1"/>
    <col min="2058" max="2058" width="12.875" style="318" customWidth="1"/>
    <col min="2059" max="2060" width="12.125" style="318" customWidth="1"/>
    <col min="2061" max="2061" width="11.375" style="318" customWidth="1"/>
    <col min="2062" max="2063" width="11.875" style="318" customWidth="1"/>
    <col min="2064" max="2064" width="11.75" style="318" customWidth="1"/>
    <col min="2065" max="2065" width="11.375" style="318" customWidth="1"/>
    <col min="2066" max="2066" width="11.875" style="318" customWidth="1"/>
    <col min="2067" max="2067" width="11.375" style="318" customWidth="1"/>
    <col min="2068" max="2068" width="10.375" style="318" customWidth="1"/>
    <col min="2069" max="2069" width="12.875" style="318" customWidth="1"/>
    <col min="2070" max="2070" width="11.75" style="318" customWidth="1"/>
    <col min="2071" max="2071" width="11" style="318" customWidth="1"/>
    <col min="2072" max="2305" width="9" style="318"/>
    <col min="2306" max="2306" width="5.375" style="318" customWidth="1"/>
    <col min="2307" max="2307" width="13.125" style="318" customWidth="1"/>
    <col min="2308" max="2308" width="43.875" style="318" customWidth="1"/>
    <col min="2309" max="2309" width="11.625" style="318" customWidth="1"/>
    <col min="2310" max="2310" width="10.375" style="318" customWidth="1"/>
    <col min="2311" max="2311" width="11" style="318" customWidth="1"/>
    <col min="2312" max="2313" width="12.125" style="318" customWidth="1"/>
    <col min="2314" max="2314" width="12.875" style="318" customWidth="1"/>
    <col min="2315" max="2316" width="12.125" style="318" customWidth="1"/>
    <col min="2317" max="2317" width="11.375" style="318" customWidth="1"/>
    <col min="2318" max="2319" width="11.875" style="318" customWidth="1"/>
    <col min="2320" max="2320" width="11.75" style="318" customWidth="1"/>
    <col min="2321" max="2321" width="11.375" style="318" customWidth="1"/>
    <col min="2322" max="2322" width="11.875" style="318" customWidth="1"/>
    <col min="2323" max="2323" width="11.375" style="318" customWidth="1"/>
    <col min="2324" max="2324" width="10.375" style="318" customWidth="1"/>
    <col min="2325" max="2325" width="12.875" style="318" customWidth="1"/>
    <col min="2326" max="2326" width="11.75" style="318" customWidth="1"/>
    <col min="2327" max="2327" width="11" style="318" customWidth="1"/>
    <col min="2328" max="2561" width="9" style="318"/>
    <col min="2562" max="2562" width="5.375" style="318" customWidth="1"/>
    <col min="2563" max="2563" width="13.125" style="318" customWidth="1"/>
    <col min="2564" max="2564" width="43.875" style="318" customWidth="1"/>
    <col min="2565" max="2565" width="11.625" style="318" customWidth="1"/>
    <col min="2566" max="2566" width="10.375" style="318" customWidth="1"/>
    <col min="2567" max="2567" width="11" style="318" customWidth="1"/>
    <col min="2568" max="2569" width="12.125" style="318" customWidth="1"/>
    <col min="2570" max="2570" width="12.875" style="318" customWidth="1"/>
    <col min="2571" max="2572" width="12.125" style="318" customWidth="1"/>
    <col min="2573" max="2573" width="11.375" style="318" customWidth="1"/>
    <col min="2574" max="2575" width="11.875" style="318" customWidth="1"/>
    <col min="2576" max="2576" width="11.75" style="318" customWidth="1"/>
    <col min="2577" max="2577" width="11.375" style="318" customWidth="1"/>
    <col min="2578" max="2578" width="11.875" style="318" customWidth="1"/>
    <col min="2579" max="2579" width="11.375" style="318" customWidth="1"/>
    <col min="2580" max="2580" width="10.375" style="318" customWidth="1"/>
    <col min="2581" max="2581" width="12.875" style="318" customWidth="1"/>
    <col min="2582" max="2582" width="11.75" style="318" customWidth="1"/>
    <col min="2583" max="2583" width="11" style="318" customWidth="1"/>
    <col min="2584" max="2817" width="9" style="318"/>
    <col min="2818" max="2818" width="5.375" style="318" customWidth="1"/>
    <col min="2819" max="2819" width="13.125" style="318" customWidth="1"/>
    <col min="2820" max="2820" width="43.875" style="318" customWidth="1"/>
    <col min="2821" max="2821" width="11.625" style="318" customWidth="1"/>
    <col min="2822" max="2822" width="10.375" style="318" customWidth="1"/>
    <col min="2823" max="2823" width="11" style="318" customWidth="1"/>
    <col min="2824" max="2825" width="12.125" style="318" customWidth="1"/>
    <col min="2826" max="2826" width="12.875" style="318" customWidth="1"/>
    <col min="2827" max="2828" width="12.125" style="318" customWidth="1"/>
    <col min="2829" max="2829" width="11.375" style="318" customWidth="1"/>
    <col min="2830" max="2831" width="11.875" style="318" customWidth="1"/>
    <col min="2832" max="2832" width="11.75" style="318" customWidth="1"/>
    <col min="2833" max="2833" width="11.375" style="318" customWidth="1"/>
    <col min="2834" max="2834" width="11.875" style="318" customWidth="1"/>
    <col min="2835" max="2835" width="11.375" style="318" customWidth="1"/>
    <col min="2836" max="2836" width="10.375" style="318" customWidth="1"/>
    <col min="2837" max="2837" width="12.875" style="318" customWidth="1"/>
    <col min="2838" max="2838" width="11.75" style="318" customWidth="1"/>
    <col min="2839" max="2839" width="11" style="318" customWidth="1"/>
    <col min="2840" max="3073" width="9" style="318"/>
    <col min="3074" max="3074" width="5.375" style="318" customWidth="1"/>
    <col min="3075" max="3075" width="13.125" style="318" customWidth="1"/>
    <col min="3076" max="3076" width="43.875" style="318" customWidth="1"/>
    <col min="3077" max="3077" width="11.625" style="318" customWidth="1"/>
    <col min="3078" max="3078" width="10.375" style="318" customWidth="1"/>
    <col min="3079" max="3079" width="11" style="318" customWidth="1"/>
    <col min="3080" max="3081" width="12.125" style="318" customWidth="1"/>
    <col min="3082" max="3082" width="12.875" style="318" customWidth="1"/>
    <col min="3083" max="3084" width="12.125" style="318" customWidth="1"/>
    <col min="3085" max="3085" width="11.375" style="318" customWidth="1"/>
    <col min="3086" max="3087" width="11.875" style="318" customWidth="1"/>
    <col min="3088" max="3088" width="11.75" style="318" customWidth="1"/>
    <col min="3089" max="3089" width="11.375" style="318" customWidth="1"/>
    <col min="3090" max="3090" width="11.875" style="318" customWidth="1"/>
    <col min="3091" max="3091" width="11.375" style="318" customWidth="1"/>
    <col min="3092" max="3092" width="10.375" style="318" customWidth="1"/>
    <col min="3093" max="3093" width="12.875" style="318" customWidth="1"/>
    <col min="3094" max="3094" width="11.75" style="318" customWidth="1"/>
    <col min="3095" max="3095" width="11" style="318" customWidth="1"/>
    <col min="3096" max="3329" width="9" style="318"/>
    <col min="3330" max="3330" width="5.375" style="318" customWidth="1"/>
    <col min="3331" max="3331" width="13.125" style="318" customWidth="1"/>
    <col min="3332" max="3332" width="43.875" style="318" customWidth="1"/>
    <col min="3333" max="3333" width="11.625" style="318" customWidth="1"/>
    <col min="3334" max="3334" width="10.375" style="318" customWidth="1"/>
    <col min="3335" max="3335" width="11" style="318" customWidth="1"/>
    <col min="3336" max="3337" width="12.125" style="318" customWidth="1"/>
    <col min="3338" max="3338" width="12.875" style="318" customWidth="1"/>
    <col min="3339" max="3340" width="12.125" style="318" customWidth="1"/>
    <col min="3341" max="3341" width="11.375" style="318" customWidth="1"/>
    <col min="3342" max="3343" width="11.875" style="318" customWidth="1"/>
    <col min="3344" max="3344" width="11.75" style="318" customWidth="1"/>
    <col min="3345" max="3345" width="11.375" style="318" customWidth="1"/>
    <col min="3346" max="3346" width="11.875" style="318" customWidth="1"/>
    <col min="3347" max="3347" width="11.375" style="318" customWidth="1"/>
    <col min="3348" max="3348" width="10.375" style="318" customWidth="1"/>
    <col min="3349" max="3349" width="12.875" style="318" customWidth="1"/>
    <col min="3350" max="3350" width="11.75" style="318" customWidth="1"/>
    <col min="3351" max="3351" width="11" style="318" customWidth="1"/>
    <col min="3352" max="3585" width="9" style="318"/>
    <col min="3586" max="3586" width="5.375" style="318" customWidth="1"/>
    <col min="3587" max="3587" width="13.125" style="318" customWidth="1"/>
    <col min="3588" max="3588" width="43.875" style="318" customWidth="1"/>
    <col min="3589" max="3589" width="11.625" style="318" customWidth="1"/>
    <col min="3590" max="3590" width="10.375" style="318" customWidth="1"/>
    <col min="3591" max="3591" width="11" style="318" customWidth="1"/>
    <col min="3592" max="3593" width="12.125" style="318" customWidth="1"/>
    <col min="3594" max="3594" width="12.875" style="318" customWidth="1"/>
    <col min="3595" max="3596" width="12.125" style="318" customWidth="1"/>
    <col min="3597" max="3597" width="11.375" style="318" customWidth="1"/>
    <col min="3598" max="3599" width="11.875" style="318" customWidth="1"/>
    <col min="3600" max="3600" width="11.75" style="318" customWidth="1"/>
    <col min="3601" max="3601" width="11.375" style="318" customWidth="1"/>
    <col min="3602" max="3602" width="11.875" style="318" customWidth="1"/>
    <col min="3603" max="3603" width="11.375" style="318" customWidth="1"/>
    <col min="3604" max="3604" width="10.375" style="318" customWidth="1"/>
    <col min="3605" max="3605" width="12.875" style="318" customWidth="1"/>
    <col min="3606" max="3606" width="11.75" style="318" customWidth="1"/>
    <col min="3607" max="3607" width="11" style="318" customWidth="1"/>
    <col min="3608" max="3841" width="9" style="318"/>
    <col min="3842" max="3842" width="5.375" style="318" customWidth="1"/>
    <col min="3843" max="3843" width="13.125" style="318" customWidth="1"/>
    <col min="3844" max="3844" width="43.875" style="318" customWidth="1"/>
    <col min="3845" max="3845" width="11.625" style="318" customWidth="1"/>
    <col min="3846" max="3846" width="10.375" style="318" customWidth="1"/>
    <col min="3847" max="3847" width="11" style="318" customWidth="1"/>
    <col min="3848" max="3849" width="12.125" style="318" customWidth="1"/>
    <col min="3850" max="3850" width="12.875" style="318" customWidth="1"/>
    <col min="3851" max="3852" width="12.125" style="318" customWidth="1"/>
    <col min="3853" max="3853" width="11.375" style="318" customWidth="1"/>
    <col min="3854" max="3855" width="11.875" style="318" customWidth="1"/>
    <col min="3856" max="3856" width="11.75" style="318" customWidth="1"/>
    <col min="3857" max="3857" width="11.375" style="318" customWidth="1"/>
    <col min="3858" max="3858" width="11.875" style="318" customWidth="1"/>
    <col min="3859" max="3859" width="11.375" style="318" customWidth="1"/>
    <col min="3860" max="3860" width="10.375" style="318" customWidth="1"/>
    <col min="3861" max="3861" width="12.875" style="318" customWidth="1"/>
    <col min="3862" max="3862" width="11.75" style="318" customWidth="1"/>
    <col min="3863" max="3863" width="11" style="318" customWidth="1"/>
    <col min="3864" max="4097" width="9" style="318"/>
    <col min="4098" max="4098" width="5.375" style="318" customWidth="1"/>
    <col min="4099" max="4099" width="13.125" style="318" customWidth="1"/>
    <col min="4100" max="4100" width="43.875" style="318" customWidth="1"/>
    <col min="4101" max="4101" width="11.625" style="318" customWidth="1"/>
    <col min="4102" max="4102" width="10.375" style="318" customWidth="1"/>
    <col min="4103" max="4103" width="11" style="318" customWidth="1"/>
    <col min="4104" max="4105" width="12.125" style="318" customWidth="1"/>
    <col min="4106" max="4106" width="12.875" style="318" customWidth="1"/>
    <col min="4107" max="4108" width="12.125" style="318" customWidth="1"/>
    <col min="4109" max="4109" width="11.375" style="318" customWidth="1"/>
    <col min="4110" max="4111" width="11.875" style="318" customWidth="1"/>
    <col min="4112" max="4112" width="11.75" style="318" customWidth="1"/>
    <col min="4113" max="4113" width="11.375" style="318" customWidth="1"/>
    <col min="4114" max="4114" width="11.875" style="318" customWidth="1"/>
    <col min="4115" max="4115" width="11.375" style="318" customWidth="1"/>
    <col min="4116" max="4116" width="10.375" style="318" customWidth="1"/>
    <col min="4117" max="4117" width="12.875" style="318" customWidth="1"/>
    <col min="4118" max="4118" width="11.75" style="318" customWidth="1"/>
    <col min="4119" max="4119" width="11" style="318" customWidth="1"/>
    <col min="4120" max="4353" width="9" style="318"/>
    <col min="4354" max="4354" width="5.375" style="318" customWidth="1"/>
    <col min="4355" max="4355" width="13.125" style="318" customWidth="1"/>
    <col min="4356" max="4356" width="43.875" style="318" customWidth="1"/>
    <col min="4357" max="4357" width="11.625" style="318" customWidth="1"/>
    <col min="4358" max="4358" width="10.375" style="318" customWidth="1"/>
    <col min="4359" max="4359" width="11" style="318" customWidth="1"/>
    <col min="4360" max="4361" width="12.125" style="318" customWidth="1"/>
    <col min="4362" max="4362" width="12.875" style="318" customWidth="1"/>
    <col min="4363" max="4364" width="12.125" style="318" customWidth="1"/>
    <col min="4365" max="4365" width="11.375" style="318" customWidth="1"/>
    <col min="4366" max="4367" width="11.875" style="318" customWidth="1"/>
    <col min="4368" max="4368" width="11.75" style="318" customWidth="1"/>
    <col min="4369" max="4369" width="11.375" style="318" customWidth="1"/>
    <col min="4370" max="4370" width="11.875" style="318" customWidth="1"/>
    <col min="4371" max="4371" width="11.375" style="318" customWidth="1"/>
    <col min="4372" max="4372" width="10.375" style="318" customWidth="1"/>
    <col min="4373" max="4373" width="12.875" style="318" customWidth="1"/>
    <col min="4374" max="4374" width="11.75" style="318" customWidth="1"/>
    <col min="4375" max="4375" width="11" style="318" customWidth="1"/>
    <col min="4376" max="4609" width="9" style="318"/>
    <col min="4610" max="4610" width="5.375" style="318" customWidth="1"/>
    <col min="4611" max="4611" width="13.125" style="318" customWidth="1"/>
    <col min="4612" max="4612" width="43.875" style="318" customWidth="1"/>
    <col min="4613" max="4613" width="11.625" style="318" customWidth="1"/>
    <col min="4614" max="4614" width="10.375" style="318" customWidth="1"/>
    <col min="4615" max="4615" width="11" style="318" customWidth="1"/>
    <col min="4616" max="4617" width="12.125" style="318" customWidth="1"/>
    <col min="4618" max="4618" width="12.875" style="318" customWidth="1"/>
    <col min="4619" max="4620" width="12.125" style="318" customWidth="1"/>
    <col min="4621" max="4621" width="11.375" style="318" customWidth="1"/>
    <col min="4622" max="4623" width="11.875" style="318" customWidth="1"/>
    <col min="4624" max="4624" width="11.75" style="318" customWidth="1"/>
    <col min="4625" max="4625" width="11.375" style="318" customWidth="1"/>
    <col min="4626" max="4626" width="11.875" style="318" customWidth="1"/>
    <col min="4627" max="4627" width="11.375" style="318" customWidth="1"/>
    <col min="4628" max="4628" width="10.375" style="318" customWidth="1"/>
    <col min="4629" max="4629" width="12.875" style="318" customWidth="1"/>
    <col min="4630" max="4630" width="11.75" style="318" customWidth="1"/>
    <col min="4631" max="4631" width="11" style="318" customWidth="1"/>
    <col min="4632" max="4865" width="9" style="318"/>
    <col min="4866" max="4866" width="5.375" style="318" customWidth="1"/>
    <col min="4867" max="4867" width="13.125" style="318" customWidth="1"/>
    <col min="4868" max="4868" width="43.875" style="318" customWidth="1"/>
    <col min="4869" max="4869" width="11.625" style="318" customWidth="1"/>
    <col min="4870" max="4870" width="10.375" style="318" customWidth="1"/>
    <col min="4871" max="4871" width="11" style="318" customWidth="1"/>
    <col min="4872" max="4873" width="12.125" style="318" customWidth="1"/>
    <col min="4874" max="4874" width="12.875" style="318" customWidth="1"/>
    <col min="4875" max="4876" width="12.125" style="318" customWidth="1"/>
    <col min="4877" max="4877" width="11.375" style="318" customWidth="1"/>
    <col min="4878" max="4879" width="11.875" style="318" customWidth="1"/>
    <col min="4880" max="4880" width="11.75" style="318" customWidth="1"/>
    <col min="4881" max="4881" width="11.375" style="318" customWidth="1"/>
    <col min="4882" max="4882" width="11.875" style="318" customWidth="1"/>
    <col min="4883" max="4883" width="11.375" style="318" customWidth="1"/>
    <col min="4884" max="4884" width="10.375" style="318" customWidth="1"/>
    <col min="4885" max="4885" width="12.875" style="318" customWidth="1"/>
    <col min="4886" max="4886" width="11.75" style="318" customWidth="1"/>
    <col min="4887" max="4887" width="11" style="318" customWidth="1"/>
    <col min="4888" max="5121" width="9" style="318"/>
    <col min="5122" max="5122" width="5.375" style="318" customWidth="1"/>
    <col min="5123" max="5123" width="13.125" style="318" customWidth="1"/>
    <col min="5124" max="5124" width="43.875" style="318" customWidth="1"/>
    <col min="5125" max="5125" width="11.625" style="318" customWidth="1"/>
    <col min="5126" max="5126" width="10.375" style="318" customWidth="1"/>
    <col min="5127" max="5127" width="11" style="318" customWidth="1"/>
    <col min="5128" max="5129" width="12.125" style="318" customWidth="1"/>
    <col min="5130" max="5130" width="12.875" style="318" customWidth="1"/>
    <col min="5131" max="5132" width="12.125" style="318" customWidth="1"/>
    <col min="5133" max="5133" width="11.375" style="318" customWidth="1"/>
    <col min="5134" max="5135" width="11.875" style="318" customWidth="1"/>
    <col min="5136" max="5136" width="11.75" style="318" customWidth="1"/>
    <col min="5137" max="5137" width="11.375" style="318" customWidth="1"/>
    <col min="5138" max="5138" width="11.875" style="318" customWidth="1"/>
    <col min="5139" max="5139" width="11.375" style="318" customWidth="1"/>
    <col min="5140" max="5140" width="10.375" style="318" customWidth="1"/>
    <col min="5141" max="5141" width="12.875" style="318" customWidth="1"/>
    <col min="5142" max="5142" width="11.75" style="318" customWidth="1"/>
    <col min="5143" max="5143" width="11" style="318" customWidth="1"/>
    <col min="5144" max="5377" width="9" style="318"/>
    <col min="5378" max="5378" width="5.375" style="318" customWidth="1"/>
    <col min="5379" max="5379" width="13.125" style="318" customWidth="1"/>
    <col min="5380" max="5380" width="43.875" style="318" customWidth="1"/>
    <col min="5381" max="5381" width="11.625" style="318" customWidth="1"/>
    <col min="5382" max="5382" width="10.375" style="318" customWidth="1"/>
    <col min="5383" max="5383" width="11" style="318" customWidth="1"/>
    <col min="5384" max="5385" width="12.125" style="318" customWidth="1"/>
    <col min="5386" max="5386" width="12.875" style="318" customWidth="1"/>
    <col min="5387" max="5388" width="12.125" style="318" customWidth="1"/>
    <col min="5389" max="5389" width="11.375" style="318" customWidth="1"/>
    <col min="5390" max="5391" width="11.875" style="318" customWidth="1"/>
    <col min="5392" max="5392" width="11.75" style="318" customWidth="1"/>
    <col min="5393" max="5393" width="11.375" style="318" customWidth="1"/>
    <col min="5394" max="5394" width="11.875" style="318" customWidth="1"/>
    <col min="5395" max="5395" width="11.375" style="318" customWidth="1"/>
    <col min="5396" max="5396" width="10.375" style="318" customWidth="1"/>
    <col min="5397" max="5397" width="12.875" style="318" customWidth="1"/>
    <col min="5398" max="5398" width="11.75" style="318" customWidth="1"/>
    <col min="5399" max="5399" width="11" style="318" customWidth="1"/>
    <col min="5400" max="5633" width="9" style="318"/>
    <col min="5634" max="5634" width="5.375" style="318" customWidth="1"/>
    <col min="5635" max="5635" width="13.125" style="318" customWidth="1"/>
    <col min="5636" max="5636" width="43.875" style="318" customWidth="1"/>
    <col min="5637" max="5637" width="11.625" style="318" customWidth="1"/>
    <col min="5638" max="5638" width="10.375" style="318" customWidth="1"/>
    <col min="5639" max="5639" width="11" style="318" customWidth="1"/>
    <col min="5640" max="5641" width="12.125" style="318" customWidth="1"/>
    <col min="5642" max="5642" width="12.875" style="318" customWidth="1"/>
    <col min="5643" max="5644" width="12.125" style="318" customWidth="1"/>
    <col min="5645" max="5645" width="11.375" style="318" customWidth="1"/>
    <col min="5646" max="5647" width="11.875" style="318" customWidth="1"/>
    <col min="5648" max="5648" width="11.75" style="318" customWidth="1"/>
    <col min="5649" max="5649" width="11.375" style="318" customWidth="1"/>
    <col min="5650" max="5650" width="11.875" style="318" customWidth="1"/>
    <col min="5651" max="5651" width="11.375" style="318" customWidth="1"/>
    <col min="5652" max="5652" width="10.375" style="318" customWidth="1"/>
    <col min="5653" max="5653" width="12.875" style="318" customWidth="1"/>
    <col min="5654" max="5654" width="11.75" style="318" customWidth="1"/>
    <col min="5655" max="5655" width="11" style="318" customWidth="1"/>
    <col min="5656" max="5889" width="9" style="318"/>
    <col min="5890" max="5890" width="5.375" style="318" customWidth="1"/>
    <col min="5891" max="5891" width="13.125" style="318" customWidth="1"/>
    <col min="5892" max="5892" width="43.875" style="318" customWidth="1"/>
    <col min="5893" max="5893" width="11.625" style="318" customWidth="1"/>
    <col min="5894" max="5894" width="10.375" style="318" customWidth="1"/>
    <col min="5895" max="5895" width="11" style="318" customWidth="1"/>
    <col min="5896" max="5897" width="12.125" style="318" customWidth="1"/>
    <col min="5898" max="5898" width="12.875" style="318" customWidth="1"/>
    <col min="5899" max="5900" width="12.125" style="318" customWidth="1"/>
    <col min="5901" max="5901" width="11.375" style="318" customWidth="1"/>
    <col min="5902" max="5903" width="11.875" style="318" customWidth="1"/>
    <col min="5904" max="5904" width="11.75" style="318" customWidth="1"/>
    <col min="5905" max="5905" width="11.375" style="318" customWidth="1"/>
    <col min="5906" max="5906" width="11.875" style="318" customWidth="1"/>
    <col min="5907" max="5907" width="11.375" style="318" customWidth="1"/>
    <col min="5908" max="5908" width="10.375" style="318" customWidth="1"/>
    <col min="5909" max="5909" width="12.875" style="318" customWidth="1"/>
    <col min="5910" max="5910" width="11.75" style="318" customWidth="1"/>
    <col min="5911" max="5911" width="11" style="318" customWidth="1"/>
    <col min="5912" max="6145" width="9" style="318"/>
    <col min="6146" max="6146" width="5.375" style="318" customWidth="1"/>
    <col min="6147" max="6147" width="13.125" style="318" customWidth="1"/>
    <col min="6148" max="6148" width="43.875" style="318" customWidth="1"/>
    <col min="6149" max="6149" width="11.625" style="318" customWidth="1"/>
    <col min="6150" max="6150" width="10.375" style="318" customWidth="1"/>
    <col min="6151" max="6151" width="11" style="318" customWidth="1"/>
    <col min="6152" max="6153" width="12.125" style="318" customWidth="1"/>
    <col min="6154" max="6154" width="12.875" style="318" customWidth="1"/>
    <col min="6155" max="6156" width="12.125" style="318" customWidth="1"/>
    <col min="6157" max="6157" width="11.375" style="318" customWidth="1"/>
    <col min="6158" max="6159" width="11.875" style="318" customWidth="1"/>
    <col min="6160" max="6160" width="11.75" style="318" customWidth="1"/>
    <col min="6161" max="6161" width="11.375" style="318" customWidth="1"/>
    <col min="6162" max="6162" width="11.875" style="318" customWidth="1"/>
    <col min="6163" max="6163" width="11.375" style="318" customWidth="1"/>
    <col min="6164" max="6164" width="10.375" style="318" customWidth="1"/>
    <col min="6165" max="6165" width="12.875" style="318" customWidth="1"/>
    <col min="6166" max="6166" width="11.75" style="318" customWidth="1"/>
    <col min="6167" max="6167" width="11" style="318" customWidth="1"/>
    <col min="6168" max="6401" width="9" style="318"/>
    <col min="6402" max="6402" width="5.375" style="318" customWidth="1"/>
    <col min="6403" max="6403" width="13.125" style="318" customWidth="1"/>
    <col min="6404" max="6404" width="43.875" style="318" customWidth="1"/>
    <col min="6405" max="6405" width="11.625" style="318" customWidth="1"/>
    <col min="6406" max="6406" width="10.375" style="318" customWidth="1"/>
    <col min="6407" max="6407" width="11" style="318" customWidth="1"/>
    <col min="6408" max="6409" width="12.125" style="318" customWidth="1"/>
    <col min="6410" max="6410" width="12.875" style="318" customWidth="1"/>
    <col min="6411" max="6412" width="12.125" style="318" customWidth="1"/>
    <col min="6413" max="6413" width="11.375" style="318" customWidth="1"/>
    <col min="6414" max="6415" width="11.875" style="318" customWidth="1"/>
    <col min="6416" max="6416" width="11.75" style="318" customWidth="1"/>
    <col min="6417" max="6417" width="11.375" style="318" customWidth="1"/>
    <col min="6418" max="6418" width="11.875" style="318" customWidth="1"/>
    <col min="6419" max="6419" width="11.375" style="318" customWidth="1"/>
    <col min="6420" max="6420" width="10.375" style="318" customWidth="1"/>
    <col min="6421" max="6421" width="12.875" style="318" customWidth="1"/>
    <col min="6422" max="6422" width="11.75" style="318" customWidth="1"/>
    <col min="6423" max="6423" width="11" style="318" customWidth="1"/>
    <col min="6424" max="6657" width="9" style="318"/>
    <col min="6658" max="6658" width="5.375" style="318" customWidth="1"/>
    <col min="6659" max="6659" width="13.125" style="318" customWidth="1"/>
    <col min="6660" max="6660" width="43.875" style="318" customWidth="1"/>
    <col min="6661" max="6661" width="11.625" style="318" customWidth="1"/>
    <col min="6662" max="6662" width="10.375" style="318" customWidth="1"/>
    <col min="6663" max="6663" width="11" style="318" customWidth="1"/>
    <col min="6664" max="6665" width="12.125" style="318" customWidth="1"/>
    <col min="6666" max="6666" width="12.875" style="318" customWidth="1"/>
    <col min="6667" max="6668" width="12.125" style="318" customWidth="1"/>
    <col min="6669" max="6669" width="11.375" style="318" customWidth="1"/>
    <col min="6670" max="6671" width="11.875" style="318" customWidth="1"/>
    <col min="6672" max="6672" width="11.75" style="318" customWidth="1"/>
    <col min="6673" max="6673" width="11.375" style="318" customWidth="1"/>
    <col min="6674" max="6674" width="11.875" style="318" customWidth="1"/>
    <col min="6675" max="6675" width="11.375" style="318" customWidth="1"/>
    <col min="6676" max="6676" width="10.375" style="318" customWidth="1"/>
    <col min="6677" max="6677" width="12.875" style="318" customWidth="1"/>
    <col min="6678" max="6678" width="11.75" style="318" customWidth="1"/>
    <col min="6679" max="6679" width="11" style="318" customWidth="1"/>
    <col min="6680" max="6913" width="9" style="318"/>
    <col min="6914" max="6914" width="5.375" style="318" customWidth="1"/>
    <col min="6915" max="6915" width="13.125" style="318" customWidth="1"/>
    <col min="6916" max="6916" width="43.875" style="318" customWidth="1"/>
    <col min="6917" max="6917" width="11.625" style="318" customWidth="1"/>
    <col min="6918" max="6918" width="10.375" style="318" customWidth="1"/>
    <col min="6919" max="6919" width="11" style="318" customWidth="1"/>
    <col min="6920" max="6921" width="12.125" style="318" customWidth="1"/>
    <col min="6922" max="6922" width="12.875" style="318" customWidth="1"/>
    <col min="6923" max="6924" width="12.125" style="318" customWidth="1"/>
    <col min="6925" max="6925" width="11.375" style="318" customWidth="1"/>
    <col min="6926" max="6927" width="11.875" style="318" customWidth="1"/>
    <col min="6928" max="6928" width="11.75" style="318" customWidth="1"/>
    <col min="6929" max="6929" width="11.375" style="318" customWidth="1"/>
    <col min="6930" max="6930" width="11.875" style="318" customWidth="1"/>
    <col min="6931" max="6931" width="11.375" style="318" customWidth="1"/>
    <col min="6932" max="6932" width="10.375" style="318" customWidth="1"/>
    <col min="6933" max="6933" width="12.875" style="318" customWidth="1"/>
    <col min="6934" max="6934" width="11.75" style="318" customWidth="1"/>
    <col min="6935" max="6935" width="11" style="318" customWidth="1"/>
    <col min="6936" max="7169" width="9" style="318"/>
    <col min="7170" max="7170" width="5.375" style="318" customWidth="1"/>
    <col min="7171" max="7171" width="13.125" style="318" customWidth="1"/>
    <col min="7172" max="7172" width="43.875" style="318" customWidth="1"/>
    <col min="7173" max="7173" width="11.625" style="318" customWidth="1"/>
    <col min="7174" max="7174" width="10.375" style="318" customWidth="1"/>
    <col min="7175" max="7175" width="11" style="318" customWidth="1"/>
    <col min="7176" max="7177" width="12.125" style="318" customWidth="1"/>
    <col min="7178" max="7178" width="12.875" style="318" customWidth="1"/>
    <col min="7179" max="7180" width="12.125" style="318" customWidth="1"/>
    <col min="7181" max="7181" width="11.375" style="318" customWidth="1"/>
    <col min="7182" max="7183" width="11.875" style="318" customWidth="1"/>
    <col min="7184" max="7184" width="11.75" style="318" customWidth="1"/>
    <col min="7185" max="7185" width="11.375" style="318" customWidth="1"/>
    <col min="7186" max="7186" width="11.875" style="318" customWidth="1"/>
    <col min="7187" max="7187" width="11.375" style="318" customWidth="1"/>
    <col min="7188" max="7188" width="10.375" style="318" customWidth="1"/>
    <col min="7189" max="7189" width="12.875" style="318" customWidth="1"/>
    <col min="7190" max="7190" width="11.75" style="318" customWidth="1"/>
    <col min="7191" max="7191" width="11" style="318" customWidth="1"/>
    <col min="7192" max="7425" width="9" style="318"/>
    <col min="7426" max="7426" width="5.375" style="318" customWidth="1"/>
    <col min="7427" max="7427" width="13.125" style="318" customWidth="1"/>
    <col min="7428" max="7428" width="43.875" style="318" customWidth="1"/>
    <col min="7429" max="7429" width="11.625" style="318" customWidth="1"/>
    <col min="7430" max="7430" width="10.375" style="318" customWidth="1"/>
    <col min="7431" max="7431" width="11" style="318" customWidth="1"/>
    <col min="7432" max="7433" width="12.125" style="318" customWidth="1"/>
    <col min="7434" max="7434" width="12.875" style="318" customWidth="1"/>
    <col min="7435" max="7436" width="12.125" style="318" customWidth="1"/>
    <col min="7437" max="7437" width="11.375" style="318" customWidth="1"/>
    <col min="7438" max="7439" width="11.875" style="318" customWidth="1"/>
    <col min="7440" max="7440" width="11.75" style="318" customWidth="1"/>
    <col min="7441" max="7441" width="11.375" style="318" customWidth="1"/>
    <col min="7442" max="7442" width="11.875" style="318" customWidth="1"/>
    <col min="7443" max="7443" width="11.375" style="318" customWidth="1"/>
    <col min="7444" max="7444" width="10.375" style="318" customWidth="1"/>
    <col min="7445" max="7445" width="12.875" style="318" customWidth="1"/>
    <col min="7446" max="7446" width="11.75" style="318" customWidth="1"/>
    <col min="7447" max="7447" width="11" style="318" customWidth="1"/>
    <col min="7448" max="7681" width="9" style="318"/>
    <col min="7682" max="7682" width="5.375" style="318" customWidth="1"/>
    <col min="7683" max="7683" width="13.125" style="318" customWidth="1"/>
    <col min="7684" max="7684" width="43.875" style="318" customWidth="1"/>
    <col min="7685" max="7685" width="11.625" style="318" customWidth="1"/>
    <col min="7686" max="7686" width="10.375" style="318" customWidth="1"/>
    <col min="7687" max="7687" width="11" style="318" customWidth="1"/>
    <col min="7688" max="7689" width="12.125" style="318" customWidth="1"/>
    <col min="7690" max="7690" width="12.875" style="318" customWidth="1"/>
    <col min="7691" max="7692" width="12.125" style="318" customWidth="1"/>
    <col min="7693" max="7693" width="11.375" style="318" customWidth="1"/>
    <col min="7694" max="7695" width="11.875" style="318" customWidth="1"/>
    <col min="7696" max="7696" width="11.75" style="318" customWidth="1"/>
    <col min="7697" max="7697" width="11.375" style="318" customWidth="1"/>
    <col min="7698" max="7698" width="11.875" style="318" customWidth="1"/>
    <col min="7699" max="7699" width="11.375" style="318" customWidth="1"/>
    <col min="7700" max="7700" width="10.375" style="318" customWidth="1"/>
    <col min="7701" max="7701" width="12.875" style="318" customWidth="1"/>
    <col min="7702" max="7702" width="11.75" style="318" customWidth="1"/>
    <col min="7703" max="7703" width="11" style="318" customWidth="1"/>
    <col min="7704" max="7937" width="9" style="318"/>
    <col min="7938" max="7938" width="5.375" style="318" customWidth="1"/>
    <col min="7939" max="7939" width="13.125" style="318" customWidth="1"/>
    <col min="7940" max="7940" width="43.875" style="318" customWidth="1"/>
    <col min="7941" max="7941" width="11.625" style="318" customWidth="1"/>
    <col min="7942" max="7942" width="10.375" style="318" customWidth="1"/>
    <col min="7943" max="7943" width="11" style="318" customWidth="1"/>
    <col min="7944" max="7945" width="12.125" style="318" customWidth="1"/>
    <col min="7946" max="7946" width="12.875" style="318" customWidth="1"/>
    <col min="7947" max="7948" width="12.125" style="318" customWidth="1"/>
    <col min="7949" max="7949" width="11.375" style="318" customWidth="1"/>
    <col min="7950" max="7951" width="11.875" style="318" customWidth="1"/>
    <col min="7952" max="7952" width="11.75" style="318" customWidth="1"/>
    <col min="7953" max="7953" width="11.375" style="318" customWidth="1"/>
    <col min="7954" max="7954" width="11.875" style="318" customWidth="1"/>
    <col min="7955" max="7955" width="11.375" style="318" customWidth="1"/>
    <col min="7956" max="7956" width="10.375" style="318" customWidth="1"/>
    <col min="7957" max="7957" width="12.875" style="318" customWidth="1"/>
    <col min="7958" max="7958" width="11.75" style="318" customWidth="1"/>
    <col min="7959" max="7959" width="11" style="318" customWidth="1"/>
    <col min="7960" max="8193" width="9" style="318"/>
    <col min="8194" max="8194" width="5.375" style="318" customWidth="1"/>
    <col min="8195" max="8195" width="13.125" style="318" customWidth="1"/>
    <col min="8196" max="8196" width="43.875" style="318" customWidth="1"/>
    <col min="8197" max="8197" width="11.625" style="318" customWidth="1"/>
    <col min="8198" max="8198" width="10.375" style="318" customWidth="1"/>
    <col min="8199" max="8199" width="11" style="318" customWidth="1"/>
    <col min="8200" max="8201" width="12.125" style="318" customWidth="1"/>
    <col min="8202" max="8202" width="12.875" style="318" customWidth="1"/>
    <col min="8203" max="8204" width="12.125" style="318" customWidth="1"/>
    <col min="8205" max="8205" width="11.375" style="318" customWidth="1"/>
    <col min="8206" max="8207" width="11.875" style="318" customWidth="1"/>
    <col min="8208" max="8208" width="11.75" style="318" customWidth="1"/>
    <col min="8209" max="8209" width="11.375" style="318" customWidth="1"/>
    <col min="8210" max="8210" width="11.875" style="318" customWidth="1"/>
    <col min="8211" max="8211" width="11.375" style="318" customWidth="1"/>
    <col min="8212" max="8212" width="10.375" style="318" customWidth="1"/>
    <col min="8213" max="8213" width="12.875" style="318" customWidth="1"/>
    <col min="8214" max="8214" width="11.75" style="318" customWidth="1"/>
    <col min="8215" max="8215" width="11" style="318" customWidth="1"/>
    <col min="8216" max="8449" width="9" style="318"/>
    <col min="8450" max="8450" width="5.375" style="318" customWidth="1"/>
    <col min="8451" max="8451" width="13.125" style="318" customWidth="1"/>
    <col min="8452" max="8452" width="43.875" style="318" customWidth="1"/>
    <col min="8453" max="8453" width="11.625" style="318" customWidth="1"/>
    <col min="8454" max="8454" width="10.375" style="318" customWidth="1"/>
    <col min="8455" max="8455" width="11" style="318" customWidth="1"/>
    <col min="8456" max="8457" width="12.125" style="318" customWidth="1"/>
    <col min="8458" max="8458" width="12.875" style="318" customWidth="1"/>
    <col min="8459" max="8460" width="12.125" style="318" customWidth="1"/>
    <col min="8461" max="8461" width="11.375" style="318" customWidth="1"/>
    <col min="8462" max="8463" width="11.875" style="318" customWidth="1"/>
    <col min="8464" max="8464" width="11.75" style="318" customWidth="1"/>
    <col min="8465" max="8465" width="11.375" style="318" customWidth="1"/>
    <col min="8466" max="8466" width="11.875" style="318" customWidth="1"/>
    <col min="8467" max="8467" width="11.375" style="318" customWidth="1"/>
    <col min="8468" max="8468" width="10.375" style="318" customWidth="1"/>
    <col min="8469" max="8469" width="12.875" style="318" customWidth="1"/>
    <col min="8470" max="8470" width="11.75" style="318" customWidth="1"/>
    <col min="8471" max="8471" width="11" style="318" customWidth="1"/>
    <col min="8472" max="8705" width="9" style="318"/>
    <col min="8706" max="8706" width="5.375" style="318" customWidth="1"/>
    <col min="8707" max="8707" width="13.125" style="318" customWidth="1"/>
    <col min="8708" max="8708" width="43.875" style="318" customWidth="1"/>
    <col min="8709" max="8709" width="11.625" style="318" customWidth="1"/>
    <col min="8710" max="8710" width="10.375" style="318" customWidth="1"/>
    <col min="8711" max="8711" width="11" style="318" customWidth="1"/>
    <col min="8712" max="8713" width="12.125" style="318" customWidth="1"/>
    <col min="8714" max="8714" width="12.875" style="318" customWidth="1"/>
    <col min="8715" max="8716" width="12.125" style="318" customWidth="1"/>
    <col min="8717" max="8717" width="11.375" style="318" customWidth="1"/>
    <col min="8718" max="8719" width="11.875" style="318" customWidth="1"/>
    <col min="8720" max="8720" width="11.75" style="318" customWidth="1"/>
    <col min="8721" max="8721" width="11.375" style="318" customWidth="1"/>
    <col min="8722" max="8722" width="11.875" style="318" customWidth="1"/>
    <col min="8723" max="8723" width="11.375" style="318" customWidth="1"/>
    <col min="8724" max="8724" width="10.375" style="318" customWidth="1"/>
    <col min="8725" max="8725" width="12.875" style="318" customWidth="1"/>
    <col min="8726" max="8726" width="11.75" style="318" customWidth="1"/>
    <col min="8727" max="8727" width="11" style="318" customWidth="1"/>
    <col min="8728" max="8961" width="9" style="318"/>
    <col min="8962" max="8962" width="5.375" style="318" customWidth="1"/>
    <col min="8963" max="8963" width="13.125" style="318" customWidth="1"/>
    <col min="8964" max="8964" width="43.875" style="318" customWidth="1"/>
    <col min="8965" max="8965" width="11.625" style="318" customWidth="1"/>
    <col min="8966" max="8966" width="10.375" style="318" customWidth="1"/>
    <col min="8967" max="8967" width="11" style="318" customWidth="1"/>
    <col min="8968" max="8969" width="12.125" style="318" customWidth="1"/>
    <col min="8970" max="8970" width="12.875" style="318" customWidth="1"/>
    <col min="8971" max="8972" width="12.125" style="318" customWidth="1"/>
    <col min="8973" max="8973" width="11.375" style="318" customWidth="1"/>
    <col min="8974" max="8975" width="11.875" style="318" customWidth="1"/>
    <col min="8976" max="8976" width="11.75" style="318" customWidth="1"/>
    <col min="8977" max="8977" width="11.375" style="318" customWidth="1"/>
    <col min="8978" max="8978" width="11.875" style="318" customWidth="1"/>
    <col min="8979" max="8979" width="11.375" style="318" customWidth="1"/>
    <col min="8980" max="8980" width="10.375" style="318" customWidth="1"/>
    <col min="8981" max="8981" width="12.875" style="318" customWidth="1"/>
    <col min="8982" max="8982" width="11.75" style="318" customWidth="1"/>
    <col min="8983" max="8983" width="11" style="318" customWidth="1"/>
    <col min="8984" max="9217" width="9" style="318"/>
    <col min="9218" max="9218" width="5.375" style="318" customWidth="1"/>
    <col min="9219" max="9219" width="13.125" style="318" customWidth="1"/>
    <col min="9220" max="9220" width="43.875" style="318" customWidth="1"/>
    <col min="9221" max="9221" width="11.625" style="318" customWidth="1"/>
    <col min="9222" max="9222" width="10.375" style="318" customWidth="1"/>
    <col min="9223" max="9223" width="11" style="318" customWidth="1"/>
    <col min="9224" max="9225" width="12.125" style="318" customWidth="1"/>
    <col min="9226" max="9226" width="12.875" style="318" customWidth="1"/>
    <col min="9227" max="9228" width="12.125" style="318" customWidth="1"/>
    <col min="9229" max="9229" width="11.375" style="318" customWidth="1"/>
    <col min="9230" max="9231" width="11.875" style="318" customWidth="1"/>
    <col min="9232" max="9232" width="11.75" style="318" customWidth="1"/>
    <col min="9233" max="9233" width="11.375" style="318" customWidth="1"/>
    <col min="9234" max="9234" width="11.875" style="318" customWidth="1"/>
    <col min="9235" max="9235" width="11.375" style="318" customWidth="1"/>
    <col min="9236" max="9236" width="10.375" style="318" customWidth="1"/>
    <col min="9237" max="9237" width="12.875" style="318" customWidth="1"/>
    <col min="9238" max="9238" width="11.75" style="318" customWidth="1"/>
    <col min="9239" max="9239" width="11" style="318" customWidth="1"/>
    <col min="9240" max="9473" width="9" style="318"/>
    <col min="9474" max="9474" width="5.375" style="318" customWidth="1"/>
    <col min="9475" max="9475" width="13.125" style="318" customWidth="1"/>
    <col min="9476" max="9476" width="43.875" style="318" customWidth="1"/>
    <col min="9477" max="9477" width="11.625" style="318" customWidth="1"/>
    <col min="9478" max="9478" width="10.375" style="318" customWidth="1"/>
    <col min="9479" max="9479" width="11" style="318" customWidth="1"/>
    <col min="9480" max="9481" width="12.125" style="318" customWidth="1"/>
    <col min="9482" max="9482" width="12.875" style="318" customWidth="1"/>
    <col min="9483" max="9484" width="12.125" style="318" customWidth="1"/>
    <col min="9485" max="9485" width="11.375" style="318" customWidth="1"/>
    <col min="9486" max="9487" width="11.875" style="318" customWidth="1"/>
    <col min="9488" max="9488" width="11.75" style="318" customWidth="1"/>
    <col min="9489" max="9489" width="11.375" style="318" customWidth="1"/>
    <col min="9490" max="9490" width="11.875" style="318" customWidth="1"/>
    <col min="9491" max="9491" width="11.375" style="318" customWidth="1"/>
    <col min="9492" max="9492" width="10.375" style="318" customWidth="1"/>
    <col min="9493" max="9493" width="12.875" style="318" customWidth="1"/>
    <col min="9494" max="9494" width="11.75" style="318" customWidth="1"/>
    <col min="9495" max="9495" width="11" style="318" customWidth="1"/>
    <col min="9496" max="9729" width="9" style="318"/>
    <col min="9730" max="9730" width="5.375" style="318" customWidth="1"/>
    <col min="9731" max="9731" width="13.125" style="318" customWidth="1"/>
    <col min="9732" max="9732" width="43.875" style="318" customWidth="1"/>
    <col min="9733" max="9733" width="11.625" style="318" customWidth="1"/>
    <col min="9734" max="9734" width="10.375" style="318" customWidth="1"/>
    <col min="9735" max="9735" width="11" style="318" customWidth="1"/>
    <col min="9736" max="9737" width="12.125" style="318" customWidth="1"/>
    <col min="9738" max="9738" width="12.875" style="318" customWidth="1"/>
    <col min="9739" max="9740" width="12.125" style="318" customWidth="1"/>
    <col min="9741" max="9741" width="11.375" style="318" customWidth="1"/>
    <col min="9742" max="9743" width="11.875" style="318" customWidth="1"/>
    <col min="9744" max="9744" width="11.75" style="318" customWidth="1"/>
    <col min="9745" max="9745" width="11.375" style="318" customWidth="1"/>
    <col min="9746" max="9746" width="11.875" style="318" customWidth="1"/>
    <col min="9747" max="9747" width="11.375" style="318" customWidth="1"/>
    <col min="9748" max="9748" width="10.375" style="318" customWidth="1"/>
    <col min="9749" max="9749" width="12.875" style="318" customWidth="1"/>
    <col min="9750" max="9750" width="11.75" style="318" customWidth="1"/>
    <col min="9751" max="9751" width="11" style="318" customWidth="1"/>
    <col min="9752" max="9985" width="9" style="318"/>
    <col min="9986" max="9986" width="5.375" style="318" customWidth="1"/>
    <col min="9987" max="9987" width="13.125" style="318" customWidth="1"/>
    <col min="9988" max="9988" width="43.875" style="318" customWidth="1"/>
    <col min="9989" max="9989" width="11.625" style="318" customWidth="1"/>
    <col min="9990" max="9990" width="10.375" style="318" customWidth="1"/>
    <col min="9991" max="9991" width="11" style="318" customWidth="1"/>
    <col min="9992" max="9993" width="12.125" style="318" customWidth="1"/>
    <col min="9994" max="9994" width="12.875" style="318" customWidth="1"/>
    <col min="9995" max="9996" width="12.125" style="318" customWidth="1"/>
    <col min="9997" max="9997" width="11.375" style="318" customWidth="1"/>
    <col min="9998" max="9999" width="11.875" style="318" customWidth="1"/>
    <col min="10000" max="10000" width="11.75" style="318" customWidth="1"/>
    <col min="10001" max="10001" width="11.375" style="318" customWidth="1"/>
    <col min="10002" max="10002" width="11.875" style="318" customWidth="1"/>
    <col min="10003" max="10003" width="11.375" style="318" customWidth="1"/>
    <col min="10004" max="10004" width="10.375" style="318" customWidth="1"/>
    <col min="10005" max="10005" width="12.875" style="318" customWidth="1"/>
    <col min="10006" max="10006" width="11.75" style="318" customWidth="1"/>
    <col min="10007" max="10007" width="11" style="318" customWidth="1"/>
    <col min="10008" max="10241" width="9" style="318"/>
    <col min="10242" max="10242" width="5.375" style="318" customWidth="1"/>
    <col min="10243" max="10243" width="13.125" style="318" customWidth="1"/>
    <col min="10244" max="10244" width="43.875" style="318" customWidth="1"/>
    <col min="10245" max="10245" width="11.625" style="318" customWidth="1"/>
    <col min="10246" max="10246" width="10.375" style="318" customWidth="1"/>
    <col min="10247" max="10247" width="11" style="318" customWidth="1"/>
    <col min="10248" max="10249" width="12.125" style="318" customWidth="1"/>
    <col min="10250" max="10250" width="12.875" style="318" customWidth="1"/>
    <col min="10251" max="10252" width="12.125" style="318" customWidth="1"/>
    <col min="10253" max="10253" width="11.375" style="318" customWidth="1"/>
    <col min="10254" max="10255" width="11.875" style="318" customWidth="1"/>
    <col min="10256" max="10256" width="11.75" style="318" customWidth="1"/>
    <col min="10257" max="10257" width="11.375" style="318" customWidth="1"/>
    <col min="10258" max="10258" width="11.875" style="318" customWidth="1"/>
    <col min="10259" max="10259" width="11.375" style="318" customWidth="1"/>
    <col min="10260" max="10260" width="10.375" style="318" customWidth="1"/>
    <col min="10261" max="10261" width="12.875" style="318" customWidth="1"/>
    <col min="10262" max="10262" width="11.75" style="318" customWidth="1"/>
    <col min="10263" max="10263" width="11" style="318" customWidth="1"/>
    <col min="10264" max="10497" width="9" style="318"/>
    <col min="10498" max="10498" width="5.375" style="318" customWidth="1"/>
    <col min="10499" max="10499" width="13.125" style="318" customWidth="1"/>
    <col min="10500" max="10500" width="43.875" style="318" customWidth="1"/>
    <col min="10501" max="10501" width="11.625" style="318" customWidth="1"/>
    <col min="10502" max="10502" width="10.375" style="318" customWidth="1"/>
    <col min="10503" max="10503" width="11" style="318" customWidth="1"/>
    <col min="10504" max="10505" width="12.125" style="318" customWidth="1"/>
    <col min="10506" max="10506" width="12.875" style="318" customWidth="1"/>
    <col min="10507" max="10508" width="12.125" style="318" customWidth="1"/>
    <col min="10509" max="10509" width="11.375" style="318" customWidth="1"/>
    <col min="10510" max="10511" width="11.875" style="318" customWidth="1"/>
    <col min="10512" max="10512" width="11.75" style="318" customWidth="1"/>
    <col min="10513" max="10513" width="11.375" style="318" customWidth="1"/>
    <col min="10514" max="10514" width="11.875" style="318" customWidth="1"/>
    <col min="10515" max="10515" width="11.375" style="318" customWidth="1"/>
    <col min="10516" max="10516" width="10.375" style="318" customWidth="1"/>
    <col min="10517" max="10517" width="12.875" style="318" customWidth="1"/>
    <col min="10518" max="10518" width="11.75" style="318" customWidth="1"/>
    <col min="10519" max="10519" width="11" style="318" customWidth="1"/>
    <col min="10520" max="10753" width="9" style="318"/>
    <col min="10754" max="10754" width="5.375" style="318" customWidth="1"/>
    <col min="10755" max="10755" width="13.125" style="318" customWidth="1"/>
    <col min="10756" max="10756" width="43.875" style="318" customWidth="1"/>
    <col min="10757" max="10757" width="11.625" style="318" customWidth="1"/>
    <col min="10758" max="10758" width="10.375" style="318" customWidth="1"/>
    <col min="10759" max="10759" width="11" style="318" customWidth="1"/>
    <col min="10760" max="10761" width="12.125" style="318" customWidth="1"/>
    <col min="10762" max="10762" width="12.875" style="318" customWidth="1"/>
    <col min="10763" max="10764" width="12.125" style="318" customWidth="1"/>
    <col min="10765" max="10765" width="11.375" style="318" customWidth="1"/>
    <col min="10766" max="10767" width="11.875" style="318" customWidth="1"/>
    <col min="10768" max="10768" width="11.75" style="318" customWidth="1"/>
    <col min="10769" max="10769" width="11.375" style="318" customWidth="1"/>
    <col min="10770" max="10770" width="11.875" style="318" customWidth="1"/>
    <col min="10771" max="10771" width="11.375" style="318" customWidth="1"/>
    <col min="10772" max="10772" width="10.375" style="318" customWidth="1"/>
    <col min="10773" max="10773" width="12.875" style="318" customWidth="1"/>
    <col min="10774" max="10774" width="11.75" style="318" customWidth="1"/>
    <col min="10775" max="10775" width="11" style="318" customWidth="1"/>
    <col min="10776" max="11009" width="9" style="318"/>
    <col min="11010" max="11010" width="5.375" style="318" customWidth="1"/>
    <col min="11011" max="11011" width="13.125" style="318" customWidth="1"/>
    <col min="11012" max="11012" width="43.875" style="318" customWidth="1"/>
    <col min="11013" max="11013" width="11.625" style="318" customWidth="1"/>
    <col min="11014" max="11014" width="10.375" style="318" customWidth="1"/>
    <col min="11015" max="11015" width="11" style="318" customWidth="1"/>
    <col min="11016" max="11017" width="12.125" style="318" customWidth="1"/>
    <col min="11018" max="11018" width="12.875" style="318" customWidth="1"/>
    <col min="11019" max="11020" width="12.125" style="318" customWidth="1"/>
    <col min="11021" max="11021" width="11.375" style="318" customWidth="1"/>
    <col min="11022" max="11023" width="11.875" style="318" customWidth="1"/>
    <col min="11024" max="11024" width="11.75" style="318" customWidth="1"/>
    <col min="11025" max="11025" width="11.375" style="318" customWidth="1"/>
    <col min="11026" max="11026" width="11.875" style="318" customWidth="1"/>
    <col min="11027" max="11027" width="11.375" style="318" customWidth="1"/>
    <col min="11028" max="11028" width="10.375" style="318" customWidth="1"/>
    <col min="11029" max="11029" width="12.875" style="318" customWidth="1"/>
    <col min="11030" max="11030" width="11.75" style="318" customWidth="1"/>
    <col min="11031" max="11031" width="11" style="318" customWidth="1"/>
    <col min="11032" max="11265" width="9" style="318"/>
    <col min="11266" max="11266" width="5.375" style="318" customWidth="1"/>
    <col min="11267" max="11267" width="13.125" style="318" customWidth="1"/>
    <col min="11268" max="11268" width="43.875" style="318" customWidth="1"/>
    <col min="11269" max="11269" width="11.625" style="318" customWidth="1"/>
    <col min="11270" max="11270" width="10.375" style="318" customWidth="1"/>
    <col min="11271" max="11271" width="11" style="318" customWidth="1"/>
    <col min="11272" max="11273" width="12.125" style="318" customWidth="1"/>
    <col min="11274" max="11274" width="12.875" style="318" customWidth="1"/>
    <col min="11275" max="11276" width="12.125" style="318" customWidth="1"/>
    <col min="11277" max="11277" width="11.375" style="318" customWidth="1"/>
    <col min="11278" max="11279" width="11.875" style="318" customWidth="1"/>
    <col min="11280" max="11280" width="11.75" style="318" customWidth="1"/>
    <col min="11281" max="11281" width="11.375" style="318" customWidth="1"/>
    <col min="11282" max="11282" width="11.875" style="318" customWidth="1"/>
    <col min="11283" max="11283" width="11.375" style="318" customWidth="1"/>
    <col min="11284" max="11284" width="10.375" style="318" customWidth="1"/>
    <col min="11285" max="11285" width="12.875" style="318" customWidth="1"/>
    <col min="11286" max="11286" width="11.75" style="318" customWidth="1"/>
    <col min="11287" max="11287" width="11" style="318" customWidth="1"/>
    <col min="11288" max="11521" width="9" style="318"/>
    <col min="11522" max="11522" width="5.375" style="318" customWidth="1"/>
    <col min="11523" max="11523" width="13.125" style="318" customWidth="1"/>
    <col min="11524" max="11524" width="43.875" style="318" customWidth="1"/>
    <col min="11525" max="11525" width="11.625" style="318" customWidth="1"/>
    <col min="11526" max="11526" width="10.375" style="318" customWidth="1"/>
    <col min="11527" max="11527" width="11" style="318" customWidth="1"/>
    <col min="11528" max="11529" width="12.125" style="318" customWidth="1"/>
    <col min="11530" max="11530" width="12.875" style="318" customWidth="1"/>
    <col min="11531" max="11532" width="12.125" style="318" customWidth="1"/>
    <col min="11533" max="11533" width="11.375" style="318" customWidth="1"/>
    <col min="11534" max="11535" width="11.875" style="318" customWidth="1"/>
    <col min="11536" max="11536" width="11.75" style="318" customWidth="1"/>
    <col min="11537" max="11537" width="11.375" style="318" customWidth="1"/>
    <col min="11538" max="11538" width="11.875" style="318" customWidth="1"/>
    <col min="11539" max="11539" width="11.375" style="318" customWidth="1"/>
    <col min="11540" max="11540" width="10.375" style="318" customWidth="1"/>
    <col min="11541" max="11541" width="12.875" style="318" customWidth="1"/>
    <col min="11542" max="11542" width="11.75" style="318" customWidth="1"/>
    <col min="11543" max="11543" width="11" style="318" customWidth="1"/>
    <col min="11544" max="11777" width="9" style="318"/>
    <col min="11778" max="11778" width="5.375" style="318" customWidth="1"/>
    <col min="11779" max="11779" width="13.125" style="318" customWidth="1"/>
    <col min="11780" max="11780" width="43.875" style="318" customWidth="1"/>
    <col min="11781" max="11781" width="11.625" style="318" customWidth="1"/>
    <col min="11782" max="11782" width="10.375" style="318" customWidth="1"/>
    <col min="11783" max="11783" width="11" style="318" customWidth="1"/>
    <col min="11784" max="11785" width="12.125" style="318" customWidth="1"/>
    <col min="11786" max="11786" width="12.875" style="318" customWidth="1"/>
    <col min="11787" max="11788" width="12.125" style="318" customWidth="1"/>
    <col min="11789" max="11789" width="11.375" style="318" customWidth="1"/>
    <col min="11790" max="11791" width="11.875" style="318" customWidth="1"/>
    <col min="11792" max="11792" width="11.75" style="318" customWidth="1"/>
    <col min="11793" max="11793" width="11.375" style="318" customWidth="1"/>
    <col min="11794" max="11794" width="11.875" style="318" customWidth="1"/>
    <col min="11795" max="11795" width="11.375" style="318" customWidth="1"/>
    <col min="11796" max="11796" width="10.375" style="318" customWidth="1"/>
    <col min="11797" max="11797" width="12.875" style="318" customWidth="1"/>
    <col min="11798" max="11798" width="11.75" style="318" customWidth="1"/>
    <col min="11799" max="11799" width="11" style="318" customWidth="1"/>
    <col min="11800" max="12033" width="9" style="318"/>
    <col min="12034" max="12034" width="5.375" style="318" customWidth="1"/>
    <col min="12035" max="12035" width="13.125" style="318" customWidth="1"/>
    <col min="12036" max="12036" width="43.875" style="318" customWidth="1"/>
    <col min="12037" max="12037" width="11.625" style="318" customWidth="1"/>
    <col min="12038" max="12038" width="10.375" style="318" customWidth="1"/>
    <col min="12039" max="12039" width="11" style="318" customWidth="1"/>
    <col min="12040" max="12041" width="12.125" style="318" customWidth="1"/>
    <col min="12042" max="12042" width="12.875" style="318" customWidth="1"/>
    <col min="12043" max="12044" width="12.125" style="318" customWidth="1"/>
    <col min="12045" max="12045" width="11.375" style="318" customWidth="1"/>
    <col min="12046" max="12047" width="11.875" style="318" customWidth="1"/>
    <col min="12048" max="12048" width="11.75" style="318" customWidth="1"/>
    <col min="12049" max="12049" width="11.375" style="318" customWidth="1"/>
    <col min="12050" max="12050" width="11.875" style="318" customWidth="1"/>
    <col min="12051" max="12051" width="11.375" style="318" customWidth="1"/>
    <col min="12052" max="12052" width="10.375" style="318" customWidth="1"/>
    <col min="12053" max="12053" width="12.875" style="318" customWidth="1"/>
    <col min="12054" max="12054" width="11.75" style="318" customWidth="1"/>
    <col min="12055" max="12055" width="11" style="318" customWidth="1"/>
    <col min="12056" max="12289" width="9" style="318"/>
    <col min="12290" max="12290" width="5.375" style="318" customWidth="1"/>
    <col min="12291" max="12291" width="13.125" style="318" customWidth="1"/>
    <col min="12292" max="12292" width="43.875" style="318" customWidth="1"/>
    <col min="12293" max="12293" width="11.625" style="318" customWidth="1"/>
    <col min="12294" max="12294" width="10.375" style="318" customWidth="1"/>
    <col min="12295" max="12295" width="11" style="318" customWidth="1"/>
    <col min="12296" max="12297" width="12.125" style="318" customWidth="1"/>
    <col min="12298" max="12298" width="12.875" style="318" customWidth="1"/>
    <col min="12299" max="12300" width="12.125" style="318" customWidth="1"/>
    <col min="12301" max="12301" width="11.375" style="318" customWidth="1"/>
    <col min="12302" max="12303" width="11.875" style="318" customWidth="1"/>
    <col min="12304" max="12304" width="11.75" style="318" customWidth="1"/>
    <col min="12305" max="12305" width="11.375" style="318" customWidth="1"/>
    <col min="12306" max="12306" width="11.875" style="318" customWidth="1"/>
    <col min="12307" max="12307" width="11.375" style="318" customWidth="1"/>
    <col min="12308" max="12308" width="10.375" style="318" customWidth="1"/>
    <col min="12309" max="12309" width="12.875" style="318" customWidth="1"/>
    <col min="12310" max="12310" width="11.75" style="318" customWidth="1"/>
    <col min="12311" max="12311" width="11" style="318" customWidth="1"/>
    <col min="12312" max="12545" width="9" style="318"/>
    <col min="12546" max="12546" width="5.375" style="318" customWidth="1"/>
    <col min="12547" max="12547" width="13.125" style="318" customWidth="1"/>
    <col min="12548" max="12548" width="43.875" style="318" customWidth="1"/>
    <col min="12549" max="12549" width="11.625" style="318" customWidth="1"/>
    <col min="12550" max="12550" width="10.375" style="318" customWidth="1"/>
    <col min="12551" max="12551" width="11" style="318" customWidth="1"/>
    <col min="12552" max="12553" width="12.125" style="318" customWidth="1"/>
    <col min="12554" max="12554" width="12.875" style="318" customWidth="1"/>
    <col min="12555" max="12556" width="12.125" style="318" customWidth="1"/>
    <col min="12557" max="12557" width="11.375" style="318" customWidth="1"/>
    <col min="12558" max="12559" width="11.875" style="318" customWidth="1"/>
    <col min="12560" max="12560" width="11.75" style="318" customWidth="1"/>
    <col min="12561" max="12561" width="11.375" style="318" customWidth="1"/>
    <col min="12562" max="12562" width="11.875" style="318" customWidth="1"/>
    <col min="12563" max="12563" width="11.375" style="318" customWidth="1"/>
    <col min="12564" max="12564" width="10.375" style="318" customWidth="1"/>
    <col min="12565" max="12565" width="12.875" style="318" customWidth="1"/>
    <col min="12566" max="12566" width="11.75" style="318" customWidth="1"/>
    <col min="12567" max="12567" width="11" style="318" customWidth="1"/>
    <col min="12568" max="12801" width="9" style="318"/>
    <col min="12802" max="12802" width="5.375" style="318" customWidth="1"/>
    <col min="12803" max="12803" width="13.125" style="318" customWidth="1"/>
    <col min="12804" max="12804" width="43.875" style="318" customWidth="1"/>
    <col min="12805" max="12805" width="11.625" style="318" customWidth="1"/>
    <col min="12806" max="12806" width="10.375" style="318" customWidth="1"/>
    <col min="12807" max="12807" width="11" style="318" customWidth="1"/>
    <col min="12808" max="12809" width="12.125" style="318" customWidth="1"/>
    <col min="12810" max="12810" width="12.875" style="318" customWidth="1"/>
    <col min="12811" max="12812" width="12.125" style="318" customWidth="1"/>
    <col min="12813" max="12813" width="11.375" style="318" customWidth="1"/>
    <col min="12814" max="12815" width="11.875" style="318" customWidth="1"/>
    <col min="12816" max="12816" width="11.75" style="318" customWidth="1"/>
    <col min="12817" max="12817" width="11.375" style="318" customWidth="1"/>
    <col min="12818" max="12818" width="11.875" style="318" customWidth="1"/>
    <col min="12819" max="12819" width="11.375" style="318" customWidth="1"/>
    <col min="12820" max="12820" width="10.375" style="318" customWidth="1"/>
    <col min="12821" max="12821" width="12.875" style="318" customWidth="1"/>
    <col min="12822" max="12822" width="11.75" style="318" customWidth="1"/>
    <col min="12823" max="12823" width="11" style="318" customWidth="1"/>
    <col min="12824" max="13057" width="9" style="318"/>
    <col min="13058" max="13058" width="5.375" style="318" customWidth="1"/>
    <col min="13059" max="13059" width="13.125" style="318" customWidth="1"/>
    <col min="13060" max="13060" width="43.875" style="318" customWidth="1"/>
    <col min="13061" max="13061" width="11.625" style="318" customWidth="1"/>
    <col min="13062" max="13062" width="10.375" style="318" customWidth="1"/>
    <col min="13063" max="13063" width="11" style="318" customWidth="1"/>
    <col min="13064" max="13065" width="12.125" style="318" customWidth="1"/>
    <col min="13066" max="13066" width="12.875" style="318" customWidth="1"/>
    <col min="13067" max="13068" width="12.125" style="318" customWidth="1"/>
    <col min="13069" max="13069" width="11.375" style="318" customWidth="1"/>
    <col min="13070" max="13071" width="11.875" style="318" customWidth="1"/>
    <col min="13072" max="13072" width="11.75" style="318" customWidth="1"/>
    <col min="13073" max="13073" width="11.375" style="318" customWidth="1"/>
    <col min="13074" max="13074" width="11.875" style="318" customWidth="1"/>
    <col min="13075" max="13075" width="11.375" style="318" customWidth="1"/>
    <col min="13076" max="13076" width="10.375" style="318" customWidth="1"/>
    <col min="13077" max="13077" width="12.875" style="318" customWidth="1"/>
    <col min="13078" max="13078" width="11.75" style="318" customWidth="1"/>
    <col min="13079" max="13079" width="11" style="318" customWidth="1"/>
    <col min="13080" max="13313" width="9" style="318"/>
    <col min="13314" max="13314" width="5.375" style="318" customWidth="1"/>
    <col min="13315" max="13315" width="13.125" style="318" customWidth="1"/>
    <col min="13316" max="13316" width="43.875" style="318" customWidth="1"/>
    <col min="13317" max="13317" width="11.625" style="318" customWidth="1"/>
    <col min="13318" max="13318" width="10.375" style="318" customWidth="1"/>
    <col min="13319" max="13319" width="11" style="318" customWidth="1"/>
    <col min="13320" max="13321" width="12.125" style="318" customWidth="1"/>
    <col min="13322" max="13322" width="12.875" style="318" customWidth="1"/>
    <col min="13323" max="13324" width="12.125" style="318" customWidth="1"/>
    <col min="13325" max="13325" width="11.375" style="318" customWidth="1"/>
    <col min="13326" max="13327" width="11.875" style="318" customWidth="1"/>
    <col min="13328" max="13328" width="11.75" style="318" customWidth="1"/>
    <col min="13329" max="13329" width="11.375" style="318" customWidth="1"/>
    <col min="13330" max="13330" width="11.875" style="318" customWidth="1"/>
    <col min="13331" max="13331" width="11.375" style="318" customWidth="1"/>
    <col min="13332" max="13332" width="10.375" style="318" customWidth="1"/>
    <col min="13333" max="13333" width="12.875" style="318" customWidth="1"/>
    <col min="13334" max="13334" width="11.75" style="318" customWidth="1"/>
    <col min="13335" max="13335" width="11" style="318" customWidth="1"/>
    <col min="13336" max="13569" width="9" style="318"/>
    <col min="13570" max="13570" width="5.375" style="318" customWidth="1"/>
    <col min="13571" max="13571" width="13.125" style="318" customWidth="1"/>
    <col min="13572" max="13572" width="43.875" style="318" customWidth="1"/>
    <col min="13573" max="13573" width="11.625" style="318" customWidth="1"/>
    <col min="13574" max="13574" width="10.375" style="318" customWidth="1"/>
    <col min="13575" max="13575" width="11" style="318" customWidth="1"/>
    <col min="13576" max="13577" width="12.125" style="318" customWidth="1"/>
    <col min="13578" max="13578" width="12.875" style="318" customWidth="1"/>
    <col min="13579" max="13580" width="12.125" style="318" customWidth="1"/>
    <col min="13581" max="13581" width="11.375" style="318" customWidth="1"/>
    <col min="13582" max="13583" width="11.875" style="318" customWidth="1"/>
    <col min="13584" max="13584" width="11.75" style="318" customWidth="1"/>
    <col min="13585" max="13585" width="11.375" style="318" customWidth="1"/>
    <col min="13586" max="13586" width="11.875" style="318" customWidth="1"/>
    <col min="13587" max="13587" width="11.375" style="318" customWidth="1"/>
    <col min="13588" max="13588" width="10.375" style="318" customWidth="1"/>
    <col min="13589" max="13589" width="12.875" style="318" customWidth="1"/>
    <col min="13590" max="13590" width="11.75" style="318" customWidth="1"/>
    <col min="13591" max="13591" width="11" style="318" customWidth="1"/>
    <col min="13592" max="13825" width="9" style="318"/>
    <col min="13826" max="13826" width="5.375" style="318" customWidth="1"/>
    <col min="13827" max="13827" width="13.125" style="318" customWidth="1"/>
    <col min="13828" max="13828" width="43.875" style="318" customWidth="1"/>
    <col min="13829" max="13829" width="11.625" style="318" customWidth="1"/>
    <col min="13830" max="13830" width="10.375" style="318" customWidth="1"/>
    <col min="13831" max="13831" width="11" style="318" customWidth="1"/>
    <col min="13832" max="13833" width="12.125" style="318" customWidth="1"/>
    <col min="13834" max="13834" width="12.875" style="318" customWidth="1"/>
    <col min="13835" max="13836" width="12.125" style="318" customWidth="1"/>
    <col min="13837" max="13837" width="11.375" style="318" customWidth="1"/>
    <col min="13838" max="13839" width="11.875" style="318" customWidth="1"/>
    <col min="13840" max="13840" width="11.75" style="318" customWidth="1"/>
    <col min="13841" max="13841" width="11.375" style="318" customWidth="1"/>
    <col min="13842" max="13842" width="11.875" style="318" customWidth="1"/>
    <col min="13843" max="13843" width="11.375" style="318" customWidth="1"/>
    <col min="13844" max="13844" width="10.375" style="318" customWidth="1"/>
    <col min="13845" max="13845" width="12.875" style="318" customWidth="1"/>
    <col min="13846" max="13846" width="11.75" style="318" customWidth="1"/>
    <col min="13847" max="13847" width="11" style="318" customWidth="1"/>
    <col min="13848" max="14081" width="9" style="318"/>
    <col min="14082" max="14082" width="5.375" style="318" customWidth="1"/>
    <col min="14083" max="14083" width="13.125" style="318" customWidth="1"/>
    <col min="14084" max="14084" width="43.875" style="318" customWidth="1"/>
    <col min="14085" max="14085" width="11.625" style="318" customWidth="1"/>
    <col min="14086" max="14086" width="10.375" style="318" customWidth="1"/>
    <col min="14087" max="14087" width="11" style="318" customWidth="1"/>
    <col min="14088" max="14089" width="12.125" style="318" customWidth="1"/>
    <col min="14090" max="14090" width="12.875" style="318" customWidth="1"/>
    <col min="14091" max="14092" width="12.125" style="318" customWidth="1"/>
    <col min="14093" max="14093" width="11.375" style="318" customWidth="1"/>
    <col min="14094" max="14095" width="11.875" style="318" customWidth="1"/>
    <col min="14096" max="14096" width="11.75" style="318" customWidth="1"/>
    <col min="14097" max="14097" width="11.375" style="318" customWidth="1"/>
    <col min="14098" max="14098" width="11.875" style="318" customWidth="1"/>
    <col min="14099" max="14099" width="11.375" style="318" customWidth="1"/>
    <col min="14100" max="14100" width="10.375" style="318" customWidth="1"/>
    <col min="14101" max="14101" width="12.875" style="318" customWidth="1"/>
    <col min="14102" max="14102" width="11.75" style="318" customWidth="1"/>
    <col min="14103" max="14103" width="11" style="318" customWidth="1"/>
    <col min="14104" max="14337" width="9" style="318"/>
    <col min="14338" max="14338" width="5.375" style="318" customWidth="1"/>
    <col min="14339" max="14339" width="13.125" style="318" customWidth="1"/>
    <col min="14340" max="14340" width="43.875" style="318" customWidth="1"/>
    <col min="14341" max="14341" width="11.625" style="318" customWidth="1"/>
    <col min="14342" max="14342" width="10.375" style="318" customWidth="1"/>
    <col min="14343" max="14343" width="11" style="318" customWidth="1"/>
    <col min="14344" max="14345" width="12.125" style="318" customWidth="1"/>
    <col min="14346" max="14346" width="12.875" style="318" customWidth="1"/>
    <col min="14347" max="14348" width="12.125" style="318" customWidth="1"/>
    <col min="14349" max="14349" width="11.375" style="318" customWidth="1"/>
    <col min="14350" max="14351" width="11.875" style="318" customWidth="1"/>
    <col min="14352" max="14352" width="11.75" style="318" customWidth="1"/>
    <col min="14353" max="14353" width="11.375" style="318" customWidth="1"/>
    <col min="14354" max="14354" width="11.875" style="318" customWidth="1"/>
    <col min="14355" max="14355" width="11.375" style="318" customWidth="1"/>
    <col min="14356" max="14356" width="10.375" style="318" customWidth="1"/>
    <col min="14357" max="14357" width="12.875" style="318" customWidth="1"/>
    <col min="14358" max="14358" width="11.75" style="318" customWidth="1"/>
    <col min="14359" max="14359" width="11" style="318" customWidth="1"/>
    <col min="14360" max="14593" width="9" style="318"/>
    <col min="14594" max="14594" width="5.375" style="318" customWidth="1"/>
    <col min="14595" max="14595" width="13.125" style="318" customWidth="1"/>
    <col min="14596" max="14596" width="43.875" style="318" customWidth="1"/>
    <col min="14597" max="14597" width="11.625" style="318" customWidth="1"/>
    <col min="14598" max="14598" width="10.375" style="318" customWidth="1"/>
    <col min="14599" max="14599" width="11" style="318" customWidth="1"/>
    <col min="14600" max="14601" width="12.125" style="318" customWidth="1"/>
    <col min="14602" max="14602" width="12.875" style="318" customWidth="1"/>
    <col min="14603" max="14604" width="12.125" style="318" customWidth="1"/>
    <col min="14605" max="14605" width="11.375" style="318" customWidth="1"/>
    <col min="14606" max="14607" width="11.875" style="318" customWidth="1"/>
    <col min="14608" max="14608" width="11.75" style="318" customWidth="1"/>
    <col min="14609" max="14609" width="11.375" style="318" customWidth="1"/>
    <col min="14610" max="14610" width="11.875" style="318" customWidth="1"/>
    <col min="14611" max="14611" width="11.375" style="318" customWidth="1"/>
    <col min="14612" max="14612" width="10.375" style="318" customWidth="1"/>
    <col min="14613" max="14613" width="12.875" style="318" customWidth="1"/>
    <col min="14614" max="14614" width="11.75" style="318" customWidth="1"/>
    <col min="14615" max="14615" width="11" style="318" customWidth="1"/>
    <col min="14616" max="14849" width="9" style="318"/>
    <col min="14850" max="14850" width="5.375" style="318" customWidth="1"/>
    <col min="14851" max="14851" width="13.125" style="318" customWidth="1"/>
    <col min="14852" max="14852" width="43.875" style="318" customWidth="1"/>
    <col min="14853" max="14853" width="11.625" style="318" customWidth="1"/>
    <col min="14854" max="14854" width="10.375" style="318" customWidth="1"/>
    <col min="14855" max="14855" width="11" style="318" customWidth="1"/>
    <col min="14856" max="14857" width="12.125" style="318" customWidth="1"/>
    <col min="14858" max="14858" width="12.875" style="318" customWidth="1"/>
    <col min="14859" max="14860" width="12.125" style="318" customWidth="1"/>
    <col min="14861" max="14861" width="11.375" style="318" customWidth="1"/>
    <col min="14862" max="14863" width="11.875" style="318" customWidth="1"/>
    <col min="14864" max="14864" width="11.75" style="318" customWidth="1"/>
    <col min="14865" max="14865" width="11.375" style="318" customWidth="1"/>
    <col min="14866" max="14866" width="11.875" style="318" customWidth="1"/>
    <col min="14867" max="14867" width="11.375" style="318" customWidth="1"/>
    <col min="14868" max="14868" width="10.375" style="318" customWidth="1"/>
    <col min="14869" max="14869" width="12.875" style="318" customWidth="1"/>
    <col min="14870" max="14870" width="11.75" style="318" customWidth="1"/>
    <col min="14871" max="14871" width="11" style="318" customWidth="1"/>
    <col min="14872" max="15105" width="9" style="318"/>
    <col min="15106" max="15106" width="5.375" style="318" customWidth="1"/>
    <col min="15107" max="15107" width="13.125" style="318" customWidth="1"/>
    <col min="15108" max="15108" width="43.875" style="318" customWidth="1"/>
    <col min="15109" max="15109" width="11.625" style="318" customWidth="1"/>
    <col min="15110" max="15110" width="10.375" style="318" customWidth="1"/>
    <col min="15111" max="15111" width="11" style="318" customWidth="1"/>
    <col min="15112" max="15113" width="12.125" style="318" customWidth="1"/>
    <col min="15114" max="15114" width="12.875" style="318" customWidth="1"/>
    <col min="15115" max="15116" width="12.125" style="318" customWidth="1"/>
    <col min="15117" max="15117" width="11.375" style="318" customWidth="1"/>
    <col min="15118" max="15119" width="11.875" style="318" customWidth="1"/>
    <col min="15120" max="15120" width="11.75" style="318" customWidth="1"/>
    <col min="15121" max="15121" width="11.375" style="318" customWidth="1"/>
    <col min="15122" max="15122" width="11.875" style="318" customWidth="1"/>
    <col min="15123" max="15123" width="11.375" style="318" customWidth="1"/>
    <col min="15124" max="15124" width="10.375" style="318" customWidth="1"/>
    <col min="15125" max="15125" width="12.875" style="318" customWidth="1"/>
    <col min="15126" max="15126" width="11.75" style="318" customWidth="1"/>
    <col min="15127" max="15127" width="11" style="318" customWidth="1"/>
    <col min="15128" max="15361" width="9" style="318"/>
    <col min="15362" max="15362" width="5.375" style="318" customWidth="1"/>
    <col min="15363" max="15363" width="13.125" style="318" customWidth="1"/>
    <col min="15364" max="15364" width="43.875" style="318" customWidth="1"/>
    <col min="15365" max="15365" width="11.625" style="318" customWidth="1"/>
    <col min="15366" max="15366" width="10.375" style="318" customWidth="1"/>
    <col min="15367" max="15367" width="11" style="318" customWidth="1"/>
    <col min="15368" max="15369" width="12.125" style="318" customWidth="1"/>
    <col min="15370" max="15370" width="12.875" style="318" customWidth="1"/>
    <col min="15371" max="15372" width="12.125" style="318" customWidth="1"/>
    <col min="15373" max="15373" width="11.375" style="318" customWidth="1"/>
    <col min="15374" max="15375" width="11.875" style="318" customWidth="1"/>
    <col min="15376" max="15376" width="11.75" style="318" customWidth="1"/>
    <col min="15377" max="15377" width="11.375" style="318" customWidth="1"/>
    <col min="15378" max="15378" width="11.875" style="318" customWidth="1"/>
    <col min="15379" max="15379" width="11.375" style="318" customWidth="1"/>
    <col min="15380" max="15380" width="10.375" style="318" customWidth="1"/>
    <col min="15381" max="15381" width="12.875" style="318" customWidth="1"/>
    <col min="15382" max="15382" width="11.75" style="318" customWidth="1"/>
    <col min="15383" max="15383" width="11" style="318" customWidth="1"/>
    <col min="15384" max="15617" width="9" style="318"/>
    <col min="15618" max="15618" width="5.375" style="318" customWidth="1"/>
    <col min="15619" max="15619" width="13.125" style="318" customWidth="1"/>
    <col min="15620" max="15620" width="43.875" style="318" customWidth="1"/>
    <col min="15621" max="15621" width="11.625" style="318" customWidth="1"/>
    <col min="15622" max="15622" width="10.375" style="318" customWidth="1"/>
    <col min="15623" max="15623" width="11" style="318" customWidth="1"/>
    <col min="15624" max="15625" width="12.125" style="318" customWidth="1"/>
    <col min="15626" max="15626" width="12.875" style="318" customWidth="1"/>
    <col min="15627" max="15628" width="12.125" style="318" customWidth="1"/>
    <col min="15629" max="15629" width="11.375" style="318" customWidth="1"/>
    <col min="15630" max="15631" width="11.875" style="318" customWidth="1"/>
    <col min="15632" max="15632" width="11.75" style="318" customWidth="1"/>
    <col min="15633" max="15633" width="11.375" style="318" customWidth="1"/>
    <col min="15634" max="15634" width="11.875" style="318" customWidth="1"/>
    <col min="15635" max="15635" width="11.375" style="318" customWidth="1"/>
    <col min="15636" max="15636" width="10.375" style="318" customWidth="1"/>
    <col min="15637" max="15637" width="12.875" style="318" customWidth="1"/>
    <col min="15638" max="15638" width="11.75" style="318" customWidth="1"/>
    <col min="15639" max="15639" width="11" style="318" customWidth="1"/>
    <col min="15640" max="15873" width="9" style="318"/>
    <col min="15874" max="15874" width="5.375" style="318" customWidth="1"/>
    <col min="15875" max="15875" width="13.125" style="318" customWidth="1"/>
    <col min="15876" max="15876" width="43.875" style="318" customWidth="1"/>
    <col min="15877" max="15877" width="11.625" style="318" customWidth="1"/>
    <col min="15878" max="15878" width="10.375" style="318" customWidth="1"/>
    <col min="15879" max="15879" width="11" style="318" customWidth="1"/>
    <col min="15880" max="15881" width="12.125" style="318" customWidth="1"/>
    <col min="15882" max="15882" width="12.875" style="318" customWidth="1"/>
    <col min="15883" max="15884" width="12.125" style="318" customWidth="1"/>
    <col min="15885" max="15885" width="11.375" style="318" customWidth="1"/>
    <col min="15886" max="15887" width="11.875" style="318" customWidth="1"/>
    <col min="15888" max="15888" width="11.75" style="318" customWidth="1"/>
    <col min="15889" max="15889" width="11.375" style="318" customWidth="1"/>
    <col min="15890" max="15890" width="11.875" style="318" customWidth="1"/>
    <col min="15891" max="15891" width="11.375" style="318" customWidth="1"/>
    <col min="15892" max="15892" width="10.375" style="318" customWidth="1"/>
    <col min="15893" max="15893" width="12.875" style="318" customWidth="1"/>
    <col min="15894" max="15894" width="11.75" style="318" customWidth="1"/>
    <col min="15895" max="15895" width="11" style="318" customWidth="1"/>
    <col min="15896" max="16129" width="9" style="318"/>
    <col min="16130" max="16130" width="5.375" style="318" customWidth="1"/>
    <col min="16131" max="16131" width="13.125" style="318" customWidth="1"/>
    <col min="16132" max="16132" width="43.875" style="318" customWidth="1"/>
    <col min="16133" max="16133" width="11.625" style="318" customWidth="1"/>
    <col min="16134" max="16134" width="10.375" style="318" customWidth="1"/>
    <col min="16135" max="16135" width="11" style="318" customWidth="1"/>
    <col min="16136" max="16137" width="12.125" style="318" customWidth="1"/>
    <col min="16138" max="16138" width="12.875" style="318" customWidth="1"/>
    <col min="16139" max="16140" width="12.125" style="318" customWidth="1"/>
    <col min="16141" max="16141" width="11.375" style="318" customWidth="1"/>
    <col min="16142" max="16143" width="11.875" style="318" customWidth="1"/>
    <col min="16144" max="16144" width="11.75" style="318" customWidth="1"/>
    <col min="16145" max="16145" width="11.375" style="318" customWidth="1"/>
    <col min="16146" max="16146" width="11.875" style="318" customWidth="1"/>
    <col min="16147" max="16147" width="11.375" style="318" customWidth="1"/>
    <col min="16148" max="16148" width="10.375" style="318" customWidth="1"/>
    <col min="16149" max="16149" width="12.875" style="318" customWidth="1"/>
    <col min="16150" max="16150" width="11.75" style="318" customWidth="1"/>
    <col min="16151" max="16151" width="11" style="318" customWidth="1"/>
    <col min="16152" max="16384" width="9" style="318"/>
  </cols>
  <sheetData>
    <row r="1" spans="1:24" s="277" customFormat="1" ht="13.5" customHeight="1">
      <c r="A1" s="276" t="s">
        <v>107</v>
      </c>
      <c r="U1" s="1010" t="s">
        <v>896</v>
      </c>
      <c r="V1" s="1010"/>
      <c r="W1" s="1010"/>
    </row>
    <row r="2" spans="1:24" s="277" customFormat="1" ht="13.5" customHeight="1">
      <c r="A2" s="276"/>
      <c r="U2" s="1010" t="s">
        <v>762</v>
      </c>
      <c r="V2" s="1010"/>
      <c r="W2" s="1010"/>
    </row>
    <row r="3" spans="1:24" s="277" customFormat="1" ht="13.5" customHeight="1">
      <c r="A3" s="276"/>
      <c r="U3" s="1010" t="s">
        <v>635</v>
      </c>
      <c r="V3" s="1010"/>
      <c r="W3" s="1010"/>
    </row>
    <row r="4" spans="1:24" s="277" customFormat="1" ht="5.25" customHeight="1">
      <c r="A4" s="276"/>
    </row>
    <row r="5" spans="1:24" s="277" customFormat="1" ht="44.25" customHeight="1">
      <c r="A5" s="1011" t="s">
        <v>897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</row>
    <row r="6" spans="1:24" s="277" customFormat="1" ht="12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76" t="s">
        <v>35</v>
      </c>
    </row>
    <row r="7" spans="1:24" s="279" customFormat="1" ht="28.5" customHeight="1">
      <c r="A7" s="949" t="s">
        <v>638</v>
      </c>
      <c r="B7" s="952" t="s">
        <v>763</v>
      </c>
      <c r="C7" s="955" t="s">
        <v>764</v>
      </c>
      <c r="D7" s="955" t="s">
        <v>642</v>
      </c>
      <c r="E7" s="952" t="s">
        <v>643</v>
      </c>
      <c r="F7" s="955" t="s">
        <v>397</v>
      </c>
      <c r="G7" s="958" t="s">
        <v>765</v>
      </c>
      <c r="H7" s="958" t="s">
        <v>766</v>
      </c>
      <c r="I7" s="955" t="s">
        <v>99</v>
      </c>
      <c r="J7" s="903" t="s">
        <v>646</v>
      </c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</row>
    <row r="8" spans="1:24" s="279" customFormat="1" ht="21.75" customHeight="1">
      <c r="A8" s="950"/>
      <c r="B8" s="953"/>
      <c r="C8" s="956"/>
      <c r="D8" s="956"/>
      <c r="E8" s="953"/>
      <c r="F8" s="956"/>
      <c r="G8" s="958"/>
      <c r="H8" s="958"/>
      <c r="I8" s="956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</row>
    <row r="9" spans="1:24" s="279" customFormat="1" ht="15.75" customHeight="1">
      <c r="A9" s="950"/>
      <c r="B9" s="953"/>
      <c r="C9" s="956"/>
      <c r="D9" s="956"/>
      <c r="E9" s="953"/>
      <c r="F9" s="956"/>
      <c r="G9" s="281" t="s">
        <v>647</v>
      </c>
      <c r="H9" s="281" t="s">
        <v>647</v>
      </c>
      <c r="I9" s="956"/>
      <c r="J9" s="903" t="s">
        <v>648</v>
      </c>
      <c r="K9" s="947" t="s">
        <v>649</v>
      </c>
      <c r="L9" s="947"/>
      <c r="M9" s="947"/>
      <c r="N9" s="944" t="s">
        <v>650</v>
      </c>
      <c r="O9" s="947" t="s">
        <v>767</v>
      </c>
      <c r="P9" s="947"/>
      <c r="Q9" s="947"/>
      <c r="R9" s="947"/>
      <c r="S9" s="947"/>
      <c r="T9" s="947"/>
      <c r="U9" s="947"/>
      <c r="V9" s="947"/>
      <c r="W9" s="947"/>
    </row>
    <row r="10" spans="1:24" s="279" customFormat="1" ht="12.75" customHeight="1">
      <c r="A10" s="950"/>
      <c r="B10" s="953"/>
      <c r="C10" s="956"/>
      <c r="D10" s="956"/>
      <c r="E10" s="953"/>
      <c r="F10" s="956"/>
      <c r="G10" s="281" t="s">
        <v>652</v>
      </c>
      <c r="H10" s="281" t="s">
        <v>652</v>
      </c>
      <c r="I10" s="956"/>
      <c r="J10" s="903"/>
      <c r="K10" s="947"/>
      <c r="L10" s="947"/>
      <c r="M10" s="947"/>
      <c r="N10" s="944"/>
      <c r="O10" s="942" t="s">
        <v>653</v>
      </c>
      <c r="P10" s="942"/>
      <c r="Q10" s="942"/>
      <c r="R10" s="942" t="s">
        <v>654</v>
      </c>
      <c r="S10" s="942"/>
      <c r="T10" s="942"/>
      <c r="U10" s="944" t="s">
        <v>768</v>
      </c>
      <c r="V10" s="944"/>
      <c r="W10" s="944"/>
    </row>
    <row r="11" spans="1:24" s="279" customFormat="1" ht="14.25" customHeight="1">
      <c r="A11" s="950"/>
      <c r="B11" s="953"/>
      <c r="C11" s="956"/>
      <c r="D11" s="956"/>
      <c r="E11" s="953"/>
      <c r="F11" s="956"/>
      <c r="G11" s="281" t="s">
        <v>656</v>
      </c>
      <c r="H11" s="281" t="s">
        <v>656</v>
      </c>
      <c r="I11" s="956"/>
      <c r="J11" s="903"/>
      <c r="K11" s="942" t="s">
        <v>38</v>
      </c>
      <c r="L11" s="942" t="s">
        <v>657</v>
      </c>
      <c r="M11" s="942" t="s">
        <v>658</v>
      </c>
      <c r="N11" s="944"/>
      <c r="O11" s="942" t="s">
        <v>38</v>
      </c>
      <c r="P11" s="942" t="s">
        <v>659</v>
      </c>
      <c r="Q11" s="943" t="s">
        <v>658</v>
      </c>
      <c r="R11" s="942" t="s">
        <v>38</v>
      </c>
      <c r="S11" s="942" t="s">
        <v>659</v>
      </c>
      <c r="T11" s="943" t="s">
        <v>658</v>
      </c>
      <c r="U11" s="944" t="s">
        <v>660</v>
      </c>
      <c r="V11" s="942" t="s">
        <v>659</v>
      </c>
      <c r="W11" s="943" t="s">
        <v>658</v>
      </c>
    </row>
    <row r="12" spans="1:24" s="279" customFormat="1" ht="16.5" customHeight="1">
      <c r="A12" s="951"/>
      <c r="B12" s="954"/>
      <c r="C12" s="957"/>
      <c r="D12" s="957"/>
      <c r="E12" s="954"/>
      <c r="F12" s="957"/>
      <c r="G12" s="281" t="s">
        <v>768</v>
      </c>
      <c r="H12" s="281" t="s">
        <v>768</v>
      </c>
      <c r="I12" s="957"/>
      <c r="J12" s="903"/>
      <c r="K12" s="942"/>
      <c r="L12" s="942"/>
      <c r="M12" s="942"/>
      <c r="N12" s="944"/>
      <c r="O12" s="942"/>
      <c r="P12" s="942"/>
      <c r="Q12" s="943"/>
      <c r="R12" s="942"/>
      <c r="S12" s="942"/>
      <c r="T12" s="943"/>
      <c r="U12" s="944"/>
      <c r="V12" s="942"/>
      <c r="W12" s="943"/>
    </row>
    <row r="13" spans="1:24" s="283" customFormat="1" ht="12.75" customHeight="1">
      <c r="A13" s="282">
        <v>1</v>
      </c>
      <c r="B13" s="282">
        <v>2</v>
      </c>
      <c r="C13" s="282">
        <v>3</v>
      </c>
      <c r="D13" s="282">
        <v>4</v>
      </c>
      <c r="E13" s="282">
        <v>5</v>
      </c>
      <c r="F13" s="282">
        <v>6</v>
      </c>
      <c r="G13" s="282">
        <v>7</v>
      </c>
      <c r="H13" s="282">
        <v>8</v>
      </c>
      <c r="I13" s="282" t="s">
        <v>661</v>
      </c>
      <c r="J13" s="282" t="s">
        <v>663</v>
      </c>
      <c r="K13" s="282" t="s">
        <v>664</v>
      </c>
      <c r="L13" s="282">
        <v>11</v>
      </c>
      <c r="M13" s="282">
        <v>12</v>
      </c>
      <c r="N13" s="282" t="s">
        <v>665</v>
      </c>
      <c r="O13" s="282" t="s">
        <v>666</v>
      </c>
      <c r="P13" s="282">
        <v>15</v>
      </c>
      <c r="Q13" s="282">
        <v>16</v>
      </c>
      <c r="R13" s="282" t="s">
        <v>667</v>
      </c>
      <c r="S13" s="282">
        <v>18</v>
      </c>
      <c r="T13" s="282">
        <v>19</v>
      </c>
      <c r="U13" s="282" t="s">
        <v>668</v>
      </c>
      <c r="V13" s="282">
        <v>21</v>
      </c>
      <c r="W13" s="282">
        <v>22</v>
      </c>
    </row>
    <row r="14" spans="1:24" s="283" customFormat="1" ht="4.5" customHeight="1">
      <c r="A14" s="1013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  <c r="W14" s="1013"/>
    </row>
    <row r="15" spans="1:24" s="283" customFormat="1" ht="17.25" customHeight="1">
      <c r="A15" s="1014" t="s">
        <v>861</v>
      </c>
      <c r="B15" s="1014"/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284"/>
    </row>
    <row r="16" spans="1:24" s="283" customFormat="1" ht="3" customHeight="1">
      <c r="A16" s="941"/>
      <c r="B16" s="941"/>
      <c r="C16" s="941"/>
      <c r="D16" s="941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1"/>
      <c r="V16" s="941"/>
      <c r="W16" s="941"/>
      <c r="X16" s="285"/>
    </row>
    <row r="17" spans="1:23" s="308" customFormat="1" ht="14.85" customHeight="1">
      <c r="A17" s="910">
        <v>1</v>
      </c>
      <c r="B17" s="910" t="s">
        <v>862</v>
      </c>
      <c r="C17" s="985" t="s">
        <v>863</v>
      </c>
      <c r="D17" s="914" t="s">
        <v>411</v>
      </c>
      <c r="E17" s="988" t="s">
        <v>839</v>
      </c>
      <c r="F17" s="910" t="s">
        <v>824</v>
      </c>
      <c r="G17" s="307">
        <f>G18+G19+G20+G21</f>
        <v>4000000</v>
      </c>
      <c r="H17" s="307">
        <f>H18+H19+H20+H21</f>
        <v>820105</v>
      </c>
      <c r="I17" s="908" t="s">
        <v>0</v>
      </c>
      <c r="J17" s="984">
        <f>K17+N17</f>
        <v>1560000</v>
      </c>
      <c r="K17" s="984">
        <f>L17+M17</f>
        <v>1243476</v>
      </c>
      <c r="L17" s="974">
        <v>1243476</v>
      </c>
      <c r="M17" s="974">
        <v>0</v>
      </c>
      <c r="N17" s="984">
        <f>O17+R17+U17</f>
        <v>316524</v>
      </c>
      <c r="O17" s="984">
        <f>P17+Q17</f>
        <v>316524</v>
      </c>
      <c r="P17" s="974">
        <v>316524</v>
      </c>
      <c r="Q17" s="974">
        <v>0</v>
      </c>
      <c r="R17" s="984">
        <f>S17+T17</f>
        <v>0</v>
      </c>
      <c r="S17" s="974">
        <v>0</v>
      </c>
      <c r="T17" s="974">
        <v>0</v>
      </c>
      <c r="U17" s="984">
        <f>V17+W17</f>
        <v>0</v>
      </c>
      <c r="V17" s="974">
        <v>0</v>
      </c>
      <c r="W17" s="974">
        <v>0</v>
      </c>
    </row>
    <row r="18" spans="1:23" s="308" customFormat="1" ht="14.85" customHeight="1">
      <c r="A18" s="910"/>
      <c r="B18" s="910"/>
      <c r="C18" s="986"/>
      <c r="D18" s="914"/>
      <c r="E18" s="988"/>
      <c r="F18" s="910"/>
      <c r="G18" s="307">
        <v>3188400</v>
      </c>
      <c r="H18" s="307">
        <v>653706</v>
      </c>
      <c r="I18" s="909"/>
      <c r="J18" s="984"/>
      <c r="K18" s="984"/>
      <c r="L18" s="974"/>
      <c r="M18" s="974"/>
      <c r="N18" s="984"/>
      <c r="O18" s="984"/>
      <c r="P18" s="974"/>
      <c r="Q18" s="974"/>
      <c r="R18" s="984"/>
      <c r="S18" s="974"/>
      <c r="T18" s="974"/>
      <c r="U18" s="984"/>
      <c r="V18" s="974"/>
      <c r="W18" s="974"/>
    </row>
    <row r="19" spans="1:23" s="308" customFormat="1" ht="14.85" customHeight="1">
      <c r="A19" s="910"/>
      <c r="B19" s="910"/>
      <c r="C19" s="986"/>
      <c r="D19" s="914"/>
      <c r="E19" s="988"/>
      <c r="F19" s="910"/>
      <c r="G19" s="307">
        <v>811600</v>
      </c>
      <c r="H19" s="307">
        <v>166399</v>
      </c>
      <c r="I19" s="286" t="s">
        <v>1</v>
      </c>
      <c r="J19" s="309">
        <f>K19+N19</f>
        <v>59895</v>
      </c>
      <c r="K19" s="309">
        <f>L19+M19</f>
        <v>47742</v>
      </c>
      <c r="L19" s="310">
        <v>47742</v>
      </c>
      <c r="M19" s="310">
        <v>0</v>
      </c>
      <c r="N19" s="309">
        <f>O19+R19+U19</f>
        <v>12153</v>
      </c>
      <c r="O19" s="309">
        <f>P19+Q19</f>
        <v>12153</v>
      </c>
      <c r="P19" s="310">
        <v>12153</v>
      </c>
      <c r="Q19" s="310">
        <v>0</v>
      </c>
      <c r="R19" s="309">
        <f>S19+T19</f>
        <v>0</v>
      </c>
      <c r="S19" s="310">
        <v>0</v>
      </c>
      <c r="T19" s="310">
        <v>0</v>
      </c>
      <c r="U19" s="309">
        <f>V19+W19</f>
        <v>0</v>
      </c>
      <c r="V19" s="310">
        <v>0</v>
      </c>
      <c r="W19" s="310">
        <v>0</v>
      </c>
    </row>
    <row r="20" spans="1:23" s="308" customFormat="1" ht="14.85" customHeight="1">
      <c r="A20" s="910"/>
      <c r="B20" s="910"/>
      <c r="C20" s="986"/>
      <c r="D20" s="914"/>
      <c r="E20" s="988"/>
      <c r="F20" s="910"/>
      <c r="G20" s="307">
        <v>0</v>
      </c>
      <c r="H20" s="307">
        <v>0</v>
      </c>
      <c r="I20" s="908" t="s">
        <v>2</v>
      </c>
      <c r="J20" s="984">
        <f t="shared" ref="J20:W20" si="0">J17+J19</f>
        <v>1619895</v>
      </c>
      <c r="K20" s="984">
        <f t="shared" si="0"/>
        <v>1291218</v>
      </c>
      <c r="L20" s="974">
        <f t="shared" si="0"/>
        <v>1291218</v>
      </c>
      <c r="M20" s="974">
        <f t="shared" si="0"/>
        <v>0</v>
      </c>
      <c r="N20" s="984">
        <f t="shared" si="0"/>
        <v>328677</v>
      </c>
      <c r="O20" s="984">
        <f t="shared" si="0"/>
        <v>328677</v>
      </c>
      <c r="P20" s="974">
        <f t="shared" si="0"/>
        <v>328677</v>
      </c>
      <c r="Q20" s="974">
        <f t="shared" si="0"/>
        <v>0</v>
      </c>
      <c r="R20" s="984">
        <f t="shared" si="0"/>
        <v>0</v>
      </c>
      <c r="S20" s="974">
        <f t="shared" si="0"/>
        <v>0</v>
      </c>
      <c r="T20" s="974">
        <f t="shared" si="0"/>
        <v>0</v>
      </c>
      <c r="U20" s="984">
        <f t="shared" si="0"/>
        <v>0</v>
      </c>
      <c r="V20" s="974">
        <f t="shared" si="0"/>
        <v>0</v>
      </c>
      <c r="W20" s="974">
        <f t="shared" si="0"/>
        <v>0</v>
      </c>
    </row>
    <row r="21" spans="1:23" s="308" customFormat="1" ht="14.85" customHeight="1">
      <c r="A21" s="910"/>
      <c r="B21" s="910"/>
      <c r="C21" s="987"/>
      <c r="D21" s="914"/>
      <c r="E21" s="988"/>
      <c r="F21" s="910"/>
      <c r="G21" s="307">
        <v>0</v>
      </c>
      <c r="H21" s="307">
        <v>0</v>
      </c>
      <c r="I21" s="909"/>
      <c r="J21" s="984"/>
      <c r="K21" s="984"/>
      <c r="L21" s="974"/>
      <c r="M21" s="974"/>
      <c r="N21" s="984"/>
      <c r="O21" s="984"/>
      <c r="P21" s="974"/>
      <c r="Q21" s="974"/>
      <c r="R21" s="984"/>
      <c r="S21" s="974"/>
      <c r="T21" s="974"/>
      <c r="U21" s="984"/>
      <c r="V21" s="974"/>
      <c r="W21" s="974"/>
    </row>
    <row r="22" spans="1:23" s="308" customFormat="1" ht="14.85" customHeight="1">
      <c r="A22" s="910">
        <v>2</v>
      </c>
      <c r="B22" s="910" t="s">
        <v>862</v>
      </c>
      <c r="C22" s="985" t="s">
        <v>864</v>
      </c>
      <c r="D22" s="914" t="s">
        <v>411</v>
      </c>
      <c r="E22" s="988" t="s">
        <v>839</v>
      </c>
      <c r="F22" s="910" t="s">
        <v>780</v>
      </c>
      <c r="G22" s="307">
        <f>G23+G24+G25+G26</f>
        <v>5000000</v>
      </c>
      <c r="H22" s="307">
        <f>H23+H24+H25+H26</f>
        <v>0</v>
      </c>
      <c r="I22" s="908" t="s">
        <v>0</v>
      </c>
      <c r="J22" s="984">
        <f>K22+N22</f>
        <v>0</v>
      </c>
      <c r="K22" s="984">
        <f>L22+M22</f>
        <v>0</v>
      </c>
      <c r="L22" s="974">
        <v>0</v>
      </c>
      <c r="M22" s="974">
        <v>0</v>
      </c>
      <c r="N22" s="984">
        <f>O22+R22+U22</f>
        <v>0</v>
      </c>
      <c r="O22" s="984">
        <f>P22+Q22</f>
        <v>0</v>
      </c>
      <c r="P22" s="974">
        <v>0</v>
      </c>
      <c r="Q22" s="974">
        <v>0</v>
      </c>
      <c r="R22" s="984">
        <f>S22+T22</f>
        <v>0</v>
      </c>
      <c r="S22" s="974">
        <v>0</v>
      </c>
      <c r="T22" s="974">
        <v>0</v>
      </c>
      <c r="U22" s="984">
        <f>V22+W22</f>
        <v>0</v>
      </c>
      <c r="V22" s="974">
        <v>0</v>
      </c>
      <c r="W22" s="974">
        <v>0</v>
      </c>
    </row>
    <row r="23" spans="1:23" s="308" customFormat="1" ht="14.85" customHeight="1">
      <c r="A23" s="910"/>
      <c r="B23" s="910"/>
      <c r="C23" s="986"/>
      <c r="D23" s="914"/>
      <c r="E23" s="988"/>
      <c r="F23" s="910"/>
      <c r="G23" s="307">
        <v>3985500</v>
      </c>
      <c r="H23" s="307">
        <v>0</v>
      </c>
      <c r="I23" s="909"/>
      <c r="J23" s="984"/>
      <c r="K23" s="984"/>
      <c r="L23" s="974"/>
      <c r="M23" s="974"/>
      <c r="N23" s="984"/>
      <c r="O23" s="984"/>
      <c r="P23" s="974"/>
      <c r="Q23" s="974"/>
      <c r="R23" s="984"/>
      <c r="S23" s="974"/>
      <c r="T23" s="974"/>
      <c r="U23" s="984"/>
      <c r="V23" s="974"/>
      <c r="W23" s="974"/>
    </row>
    <row r="24" spans="1:23" s="308" customFormat="1" ht="14.85" customHeight="1">
      <c r="A24" s="910"/>
      <c r="B24" s="910"/>
      <c r="C24" s="986"/>
      <c r="D24" s="914"/>
      <c r="E24" s="988"/>
      <c r="F24" s="910"/>
      <c r="G24" s="307">
        <v>1014500</v>
      </c>
      <c r="H24" s="307">
        <v>0</v>
      </c>
      <c r="I24" s="286" t="s">
        <v>1</v>
      </c>
      <c r="J24" s="309">
        <f>K24+N24</f>
        <v>350000</v>
      </c>
      <c r="K24" s="309">
        <f>L24+M24</f>
        <v>278985</v>
      </c>
      <c r="L24" s="310">
        <v>278985</v>
      </c>
      <c r="M24" s="310">
        <v>0</v>
      </c>
      <c r="N24" s="309">
        <f>O24+R24+U24</f>
        <v>71015</v>
      </c>
      <c r="O24" s="309">
        <f>P24+Q24</f>
        <v>71015</v>
      </c>
      <c r="P24" s="310">
        <v>71015</v>
      </c>
      <c r="Q24" s="310">
        <v>0</v>
      </c>
      <c r="R24" s="309">
        <f>S24+T24</f>
        <v>0</v>
      </c>
      <c r="S24" s="310">
        <v>0</v>
      </c>
      <c r="T24" s="310">
        <v>0</v>
      </c>
      <c r="U24" s="309">
        <f>V24+W24</f>
        <v>0</v>
      </c>
      <c r="V24" s="310">
        <v>0</v>
      </c>
      <c r="W24" s="310">
        <v>0</v>
      </c>
    </row>
    <row r="25" spans="1:23" s="308" customFormat="1" ht="14.85" customHeight="1">
      <c r="A25" s="910"/>
      <c r="B25" s="910"/>
      <c r="C25" s="986"/>
      <c r="D25" s="914"/>
      <c r="E25" s="988"/>
      <c r="F25" s="910"/>
      <c r="G25" s="307">
        <v>0</v>
      </c>
      <c r="H25" s="307">
        <v>0</v>
      </c>
      <c r="I25" s="908" t="s">
        <v>2</v>
      </c>
      <c r="J25" s="984">
        <f t="shared" ref="J25:W25" si="1">J22+J24</f>
        <v>350000</v>
      </c>
      <c r="K25" s="984">
        <f t="shared" si="1"/>
        <v>278985</v>
      </c>
      <c r="L25" s="974">
        <f t="shared" si="1"/>
        <v>278985</v>
      </c>
      <c r="M25" s="974">
        <f t="shared" si="1"/>
        <v>0</v>
      </c>
      <c r="N25" s="984">
        <f t="shared" si="1"/>
        <v>71015</v>
      </c>
      <c r="O25" s="984">
        <f t="shared" si="1"/>
        <v>71015</v>
      </c>
      <c r="P25" s="974">
        <f t="shared" si="1"/>
        <v>71015</v>
      </c>
      <c r="Q25" s="974">
        <f t="shared" si="1"/>
        <v>0</v>
      </c>
      <c r="R25" s="984">
        <f t="shared" si="1"/>
        <v>0</v>
      </c>
      <c r="S25" s="974">
        <f t="shared" si="1"/>
        <v>0</v>
      </c>
      <c r="T25" s="974">
        <f t="shared" si="1"/>
        <v>0</v>
      </c>
      <c r="U25" s="984">
        <f t="shared" si="1"/>
        <v>0</v>
      </c>
      <c r="V25" s="974">
        <f t="shared" si="1"/>
        <v>0</v>
      </c>
      <c r="W25" s="974">
        <f t="shared" si="1"/>
        <v>0</v>
      </c>
    </row>
    <row r="26" spans="1:23" s="308" customFormat="1" ht="14.85" customHeight="1">
      <c r="A26" s="910"/>
      <c r="B26" s="910"/>
      <c r="C26" s="987"/>
      <c r="D26" s="914"/>
      <c r="E26" s="988"/>
      <c r="F26" s="910"/>
      <c r="G26" s="307">
        <v>0</v>
      </c>
      <c r="H26" s="307">
        <v>0</v>
      </c>
      <c r="I26" s="909"/>
      <c r="J26" s="984"/>
      <c r="K26" s="984"/>
      <c r="L26" s="974"/>
      <c r="M26" s="974"/>
      <c r="N26" s="984"/>
      <c r="O26" s="984"/>
      <c r="P26" s="974"/>
      <c r="Q26" s="974"/>
      <c r="R26" s="984"/>
      <c r="S26" s="974"/>
      <c r="T26" s="974"/>
      <c r="U26" s="984"/>
      <c r="V26" s="974"/>
      <c r="W26" s="974"/>
    </row>
    <row r="27" spans="1:23" s="308" customFormat="1" ht="14.85" customHeight="1">
      <c r="A27" s="910">
        <v>3</v>
      </c>
      <c r="B27" s="927" t="s">
        <v>865</v>
      </c>
      <c r="C27" s="985" t="s">
        <v>866</v>
      </c>
      <c r="D27" s="914" t="s">
        <v>867</v>
      </c>
      <c r="E27" s="988" t="s">
        <v>819</v>
      </c>
      <c r="F27" s="910" t="s">
        <v>868</v>
      </c>
      <c r="G27" s="307">
        <f>G28+G29+G30+G31</f>
        <v>22009656</v>
      </c>
      <c r="H27" s="307">
        <f>H28+H29+H30+H31</f>
        <v>0</v>
      </c>
      <c r="I27" s="908" t="s">
        <v>0</v>
      </c>
      <c r="J27" s="984">
        <f t="shared" ref="J27" si="2">K27+N27</f>
        <v>4488707</v>
      </c>
      <c r="K27" s="984">
        <f t="shared" ref="K27" si="3">L27+M27</f>
        <v>3704081</v>
      </c>
      <c r="L27" s="974">
        <v>3704081</v>
      </c>
      <c r="M27" s="974">
        <v>0</v>
      </c>
      <c r="N27" s="984">
        <f t="shared" ref="N27" si="4">O27+R27+U27</f>
        <v>784626</v>
      </c>
      <c r="O27" s="984">
        <f t="shared" ref="O27" si="5">P27+Q27</f>
        <v>784626</v>
      </c>
      <c r="P27" s="974">
        <v>784626</v>
      </c>
      <c r="Q27" s="974">
        <v>0</v>
      </c>
      <c r="R27" s="984">
        <f t="shared" ref="R27" si="6">S27+T27</f>
        <v>0</v>
      </c>
      <c r="S27" s="974">
        <v>0</v>
      </c>
      <c r="T27" s="974">
        <v>0</v>
      </c>
      <c r="U27" s="984">
        <f t="shared" ref="U27" si="7">V27+W27</f>
        <v>0</v>
      </c>
      <c r="V27" s="974">
        <v>0</v>
      </c>
      <c r="W27" s="974">
        <v>0</v>
      </c>
    </row>
    <row r="28" spans="1:23" s="308" customFormat="1" ht="14.85" customHeight="1">
      <c r="A28" s="910"/>
      <c r="B28" s="928"/>
      <c r="C28" s="986"/>
      <c r="D28" s="914"/>
      <c r="E28" s="988"/>
      <c r="F28" s="910"/>
      <c r="G28" s="307">
        <v>18162369</v>
      </c>
      <c r="H28" s="307">
        <v>0</v>
      </c>
      <c r="I28" s="909"/>
      <c r="J28" s="984"/>
      <c r="K28" s="984"/>
      <c r="L28" s="974"/>
      <c r="M28" s="974"/>
      <c r="N28" s="984"/>
      <c r="O28" s="984"/>
      <c r="P28" s="974"/>
      <c r="Q28" s="974"/>
      <c r="R28" s="984"/>
      <c r="S28" s="974"/>
      <c r="T28" s="974"/>
      <c r="U28" s="984"/>
      <c r="V28" s="974"/>
      <c r="W28" s="974"/>
    </row>
    <row r="29" spans="1:23" s="308" customFormat="1" ht="14.85" customHeight="1">
      <c r="A29" s="910"/>
      <c r="B29" s="928"/>
      <c r="C29" s="986"/>
      <c r="D29" s="914"/>
      <c r="E29" s="988"/>
      <c r="F29" s="910"/>
      <c r="G29" s="307">
        <v>3847287</v>
      </c>
      <c r="H29" s="307">
        <v>0</v>
      </c>
      <c r="I29" s="286" t="s">
        <v>1</v>
      </c>
      <c r="J29" s="309">
        <f t="shared" ref="J29" si="8">K29+N29</f>
        <v>0</v>
      </c>
      <c r="K29" s="309">
        <f t="shared" ref="K29" si="9">L29+M29</f>
        <v>0</v>
      </c>
      <c r="L29" s="310">
        <v>0</v>
      </c>
      <c r="M29" s="310">
        <v>0</v>
      </c>
      <c r="N29" s="309">
        <f t="shared" ref="N29" si="10">O29+R29+U29</f>
        <v>0</v>
      </c>
      <c r="O29" s="309">
        <f t="shared" ref="O29" si="11">P29+Q29</f>
        <v>0</v>
      </c>
      <c r="P29" s="310">
        <v>0</v>
      </c>
      <c r="Q29" s="310">
        <v>0</v>
      </c>
      <c r="R29" s="309">
        <f t="shared" ref="R29" si="12">S29+T29</f>
        <v>0</v>
      </c>
      <c r="S29" s="310">
        <v>0</v>
      </c>
      <c r="T29" s="310">
        <v>0</v>
      </c>
      <c r="U29" s="309">
        <f t="shared" ref="U29" si="13">V29+W29</f>
        <v>0</v>
      </c>
      <c r="V29" s="310">
        <v>0</v>
      </c>
      <c r="W29" s="310">
        <v>0</v>
      </c>
    </row>
    <row r="30" spans="1:23" s="308" customFormat="1" ht="14.85" customHeight="1">
      <c r="A30" s="910"/>
      <c r="B30" s="928"/>
      <c r="C30" s="986"/>
      <c r="D30" s="914"/>
      <c r="E30" s="988"/>
      <c r="F30" s="910"/>
      <c r="G30" s="307">
        <v>0</v>
      </c>
      <c r="H30" s="307">
        <v>0</v>
      </c>
      <c r="I30" s="908" t="s">
        <v>2</v>
      </c>
      <c r="J30" s="984">
        <f t="shared" ref="J30:W30" si="14">J27+J29</f>
        <v>4488707</v>
      </c>
      <c r="K30" s="984">
        <f t="shared" si="14"/>
        <v>3704081</v>
      </c>
      <c r="L30" s="974">
        <f t="shared" si="14"/>
        <v>3704081</v>
      </c>
      <c r="M30" s="974">
        <f t="shared" si="14"/>
        <v>0</v>
      </c>
      <c r="N30" s="984">
        <f t="shared" si="14"/>
        <v>784626</v>
      </c>
      <c r="O30" s="984">
        <f t="shared" si="14"/>
        <v>784626</v>
      </c>
      <c r="P30" s="974">
        <f t="shared" si="14"/>
        <v>784626</v>
      </c>
      <c r="Q30" s="974">
        <f t="shared" si="14"/>
        <v>0</v>
      </c>
      <c r="R30" s="984">
        <f t="shared" si="14"/>
        <v>0</v>
      </c>
      <c r="S30" s="974">
        <f t="shared" si="14"/>
        <v>0</v>
      </c>
      <c r="T30" s="974">
        <f t="shared" si="14"/>
        <v>0</v>
      </c>
      <c r="U30" s="984">
        <f t="shared" si="14"/>
        <v>0</v>
      </c>
      <c r="V30" s="974">
        <f t="shared" si="14"/>
        <v>0</v>
      </c>
      <c r="W30" s="974">
        <f t="shared" si="14"/>
        <v>0</v>
      </c>
    </row>
    <row r="31" spans="1:23" s="308" customFormat="1" ht="14.85" customHeight="1">
      <c r="A31" s="910"/>
      <c r="B31" s="929"/>
      <c r="C31" s="987"/>
      <c r="D31" s="914"/>
      <c r="E31" s="988"/>
      <c r="F31" s="910"/>
      <c r="G31" s="307">
        <v>0</v>
      </c>
      <c r="H31" s="307">
        <v>0</v>
      </c>
      <c r="I31" s="909"/>
      <c r="J31" s="984"/>
      <c r="K31" s="984"/>
      <c r="L31" s="974"/>
      <c r="M31" s="974"/>
      <c r="N31" s="984"/>
      <c r="O31" s="984"/>
      <c r="P31" s="974"/>
      <c r="Q31" s="974"/>
      <c r="R31" s="984"/>
      <c r="S31" s="974"/>
      <c r="T31" s="974"/>
      <c r="U31" s="984"/>
      <c r="V31" s="974"/>
      <c r="W31" s="974"/>
    </row>
    <row r="32" spans="1:23" s="308" customFormat="1" ht="14.85" hidden="1" customHeight="1">
      <c r="A32" s="910">
        <v>3</v>
      </c>
      <c r="B32" s="927" t="s">
        <v>869</v>
      </c>
      <c r="C32" s="1012" t="s">
        <v>870</v>
      </c>
      <c r="D32" s="914" t="s">
        <v>411</v>
      </c>
      <c r="E32" s="988" t="s">
        <v>871</v>
      </c>
      <c r="F32" s="910" t="s">
        <v>872</v>
      </c>
      <c r="G32" s="307">
        <f>G33+G34+G35+G36</f>
        <v>47338777</v>
      </c>
      <c r="H32" s="307">
        <f>H33+H34+H35+H36</f>
        <v>36338777</v>
      </c>
      <c r="I32" s="908" t="s">
        <v>0</v>
      </c>
      <c r="J32" s="984">
        <f t="shared" ref="J32" si="15">K32+N32</f>
        <v>7100000</v>
      </c>
      <c r="K32" s="984">
        <f t="shared" ref="K32" si="16">L32+M32</f>
        <v>4518000</v>
      </c>
      <c r="L32" s="974">
        <v>4518000</v>
      </c>
      <c r="M32" s="974">
        <v>0</v>
      </c>
      <c r="N32" s="984">
        <f t="shared" ref="N32" si="17">O32+R32+U32</f>
        <v>2582000</v>
      </c>
      <c r="O32" s="984">
        <f t="shared" ref="O32" si="18">P32+Q32</f>
        <v>2582000</v>
      </c>
      <c r="P32" s="974">
        <v>2582000</v>
      </c>
      <c r="Q32" s="974">
        <v>0</v>
      </c>
      <c r="R32" s="984">
        <f t="shared" ref="R32" si="19">S32+T32</f>
        <v>0</v>
      </c>
      <c r="S32" s="974">
        <v>0</v>
      </c>
      <c r="T32" s="974">
        <v>0</v>
      </c>
      <c r="U32" s="984">
        <f t="shared" ref="U32" si="20">V32+W32</f>
        <v>0</v>
      </c>
      <c r="V32" s="974">
        <v>0</v>
      </c>
      <c r="W32" s="974">
        <v>0</v>
      </c>
    </row>
    <row r="33" spans="1:23" s="308" customFormat="1" ht="14.85" hidden="1" customHeight="1">
      <c r="A33" s="910"/>
      <c r="B33" s="928"/>
      <c r="C33" s="1012"/>
      <c r="D33" s="914"/>
      <c r="E33" s="988"/>
      <c r="F33" s="910"/>
      <c r="G33" s="307">
        <v>30121562</v>
      </c>
      <c r="H33" s="307">
        <v>23121562</v>
      </c>
      <c r="I33" s="909"/>
      <c r="J33" s="984"/>
      <c r="K33" s="984"/>
      <c r="L33" s="974"/>
      <c r="M33" s="974"/>
      <c r="N33" s="984"/>
      <c r="O33" s="984"/>
      <c r="P33" s="974"/>
      <c r="Q33" s="974"/>
      <c r="R33" s="984"/>
      <c r="S33" s="974"/>
      <c r="T33" s="974"/>
      <c r="U33" s="984"/>
      <c r="V33" s="974"/>
      <c r="W33" s="974"/>
    </row>
    <row r="34" spans="1:23" s="308" customFormat="1" ht="14.85" hidden="1" customHeight="1">
      <c r="A34" s="910"/>
      <c r="B34" s="928"/>
      <c r="C34" s="1012"/>
      <c r="D34" s="914"/>
      <c r="E34" s="988"/>
      <c r="F34" s="910"/>
      <c r="G34" s="307">
        <v>17217215</v>
      </c>
      <c r="H34" s="307">
        <v>13217215</v>
      </c>
      <c r="I34" s="286" t="s">
        <v>1</v>
      </c>
      <c r="J34" s="309">
        <f t="shared" ref="J34" si="21">K34+N34</f>
        <v>0</v>
      </c>
      <c r="K34" s="309">
        <f t="shared" ref="K34" si="22">L34+M34</f>
        <v>0</v>
      </c>
      <c r="L34" s="310">
        <v>0</v>
      </c>
      <c r="M34" s="310">
        <v>0</v>
      </c>
      <c r="N34" s="309">
        <f t="shared" ref="N34" si="23">O34+R34+U34</f>
        <v>0</v>
      </c>
      <c r="O34" s="309">
        <f t="shared" ref="O34" si="24">P34+Q34</f>
        <v>0</v>
      </c>
      <c r="P34" s="310">
        <v>0</v>
      </c>
      <c r="Q34" s="310">
        <v>0</v>
      </c>
      <c r="R34" s="309">
        <f t="shared" ref="R34" si="25">S34+T34</f>
        <v>0</v>
      </c>
      <c r="S34" s="310">
        <v>0</v>
      </c>
      <c r="T34" s="310">
        <v>0</v>
      </c>
      <c r="U34" s="309">
        <f t="shared" ref="U34" si="26">V34+W34</f>
        <v>0</v>
      </c>
      <c r="V34" s="310">
        <v>0</v>
      </c>
      <c r="W34" s="310">
        <v>0</v>
      </c>
    </row>
    <row r="35" spans="1:23" s="308" customFormat="1" ht="14.85" hidden="1" customHeight="1">
      <c r="A35" s="910"/>
      <c r="B35" s="928"/>
      <c r="C35" s="1012"/>
      <c r="D35" s="914"/>
      <c r="E35" s="988"/>
      <c r="F35" s="910"/>
      <c r="G35" s="307">
        <v>0</v>
      </c>
      <c r="H35" s="307">
        <v>0</v>
      </c>
      <c r="I35" s="908" t="s">
        <v>2</v>
      </c>
      <c r="J35" s="984">
        <f t="shared" ref="J35:W35" si="27">J32+J34</f>
        <v>7100000</v>
      </c>
      <c r="K35" s="984">
        <f t="shared" si="27"/>
        <v>4518000</v>
      </c>
      <c r="L35" s="974">
        <f t="shared" si="27"/>
        <v>4518000</v>
      </c>
      <c r="M35" s="974">
        <f t="shared" si="27"/>
        <v>0</v>
      </c>
      <c r="N35" s="984">
        <f t="shared" si="27"/>
        <v>2582000</v>
      </c>
      <c r="O35" s="984">
        <f t="shared" si="27"/>
        <v>2582000</v>
      </c>
      <c r="P35" s="974">
        <f t="shared" si="27"/>
        <v>2582000</v>
      </c>
      <c r="Q35" s="974">
        <f t="shared" si="27"/>
        <v>0</v>
      </c>
      <c r="R35" s="984">
        <f t="shared" si="27"/>
        <v>0</v>
      </c>
      <c r="S35" s="974">
        <f t="shared" si="27"/>
        <v>0</v>
      </c>
      <c r="T35" s="974">
        <f t="shared" si="27"/>
        <v>0</v>
      </c>
      <c r="U35" s="984">
        <f t="shared" si="27"/>
        <v>0</v>
      </c>
      <c r="V35" s="974">
        <f t="shared" si="27"/>
        <v>0</v>
      </c>
      <c r="W35" s="974">
        <f t="shared" si="27"/>
        <v>0</v>
      </c>
    </row>
    <row r="36" spans="1:23" s="308" customFormat="1" ht="14.85" hidden="1" customHeight="1">
      <c r="A36" s="910"/>
      <c r="B36" s="929"/>
      <c r="C36" s="1012"/>
      <c r="D36" s="914"/>
      <c r="E36" s="988"/>
      <c r="F36" s="910"/>
      <c r="G36" s="307">
        <v>0</v>
      </c>
      <c r="H36" s="307">
        <v>0</v>
      </c>
      <c r="I36" s="909"/>
      <c r="J36" s="984"/>
      <c r="K36" s="984"/>
      <c r="L36" s="974"/>
      <c r="M36" s="974"/>
      <c r="N36" s="984"/>
      <c r="O36" s="984"/>
      <c r="P36" s="974"/>
      <c r="Q36" s="974"/>
      <c r="R36" s="984"/>
      <c r="S36" s="974"/>
      <c r="T36" s="974"/>
      <c r="U36" s="984"/>
      <c r="V36" s="974"/>
      <c r="W36" s="974"/>
    </row>
    <row r="37" spans="1:23" s="308" customFormat="1" ht="14.85" hidden="1" customHeight="1">
      <c r="A37" s="910">
        <v>4</v>
      </c>
      <c r="B37" s="927" t="s">
        <v>869</v>
      </c>
      <c r="C37" s="1012" t="s">
        <v>873</v>
      </c>
      <c r="D37" s="914" t="s">
        <v>411</v>
      </c>
      <c r="E37" s="988" t="s">
        <v>871</v>
      </c>
      <c r="F37" s="910" t="s">
        <v>874</v>
      </c>
      <c r="G37" s="307">
        <f>G38+G39+G40+G41</f>
        <v>978834</v>
      </c>
      <c r="H37" s="307">
        <f>H38+H39+H40+H41</f>
        <v>908834</v>
      </c>
      <c r="I37" s="908" t="s">
        <v>0</v>
      </c>
      <c r="J37" s="984">
        <f t="shared" ref="J37" si="28">K37+N37</f>
        <v>70000</v>
      </c>
      <c r="K37" s="984">
        <f t="shared" ref="K37" si="29">L37+M37</f>
        <v>45000</v>
      </c>
      <c r="L37" s="974">
        <v>45000</v>
      </c>
      <c r="M37" s="974">
        <v>0</v>
      </c>
      <c r="N37" s="984">
        <f t="shared" ref="N37" si="30">O37+R37+U37</f>
        <v>25000</v>
      </c>
      <c r="O37" s="984">
        <f t="shared" ref="O37" si="31">P37+Q37</f>
        <v>25000</v>
      </c>
      <c r="P37" s="974">
        <v>25000</v>
      </c>
      <c r="Q37" s="974">
        <v>0</v>
      </c>
      <c r="R37" s="984">
        <f t="shared" ref="R37" si="32">S37+T37</f>
        <v>0</v>
      </c>
      <c r="S37" s="974">
        <v>0</v>
      </c>
      <c r="T37" s="974">
        <v>0</v>
      </c>
      <c r="U37" s="984">
        <f t="shared" ref="U37" si="33">V37+W37</f>
        <v>0</v>
      </c>
      <c r="V37" s="974">
        <v>0</v>
      </c>
      <c r="W37" s="974">
        <v>0</v>
      </c>
    </row>
    <row r="38" spans="1:23" s="308" customFormat="1" ht="14.85" hidden="1" customHeight="1">
      <c r="A38" s="910"/>
      <c r="B38" s="928"/>
      <c r="C38" s="1012"/>
      <c r="D38" s="914"/>
      <c r="E38" s="988"/>
      <c r="F38" s="910"/>
      <c r="G38" s="307">
        <v>623661</v>
      </c>
      <c r="H38" s="307">
        <v>578661</v>
      </c>
      <c r="I38" s="909"/>
      <c r="J38" s="984"/>
      <c r="K38" s="984"/>
      <c r="L38" s="974"/>
      <c r="M38" s="974"/>
      <c r="N38" s="984"/>
      <c r="O38" s="984"/>
      <c r="P38" s="974"/>
      <c r="Q38" s="974"/>
      <c r="R38" s="984"/>
      <c r="S38" s="974"/>
      <c r="T38" s="974"/>
      <c r="U38" s="984"/>
      <c r="V38" s="974"/>
      <c r="W38" s="974"/>
    </row>
    <row r="39" spans="1:23" s="308" customFormat="1" ht="14.85" hidden="1" customHeight="1">
      <c r="A39" s="910"/>
      <c r="B39" s="928"/>
      <c r="C39" s="1012"/>
      <c r="D39" s="914"/>
      <c r="E39" s="988"/>
      <c r="F39" s="910"/>
      <c r="G39" s="307">
        <v>355173</v>
      </c>
      <c r="H39" s="307">
        <v>330173</v>
      </c>
      <c r="I39" s="286" t="s">
        <v>1</v>
      </c>
      <c r="J39" s="309">
        <f t="shared" ref="J39" si="34">K39+N39</f>
        <v>0</v>
      </c>
      <c r="K39" s="309">
        <f t="shared" ref="K39" si="35">L39+M39</f>
        <v>0</v>
      </c>
      <c r="L39" s="310">
        <v>0</v>
      </c>
      <c r="M39" s="310">
        <v>0</v>
      </c>
      <c r="N39" s="309">
        <f t="shared" ref="N39" si="36">O39+R39+U39</f>
        <v>0</v>
      </c>
      <c r="O39" s="309">
        <f t="shared" ref="O39" si="37">P39+Q39</f>
        <v>0</v>
      </c>
      <c r="P39" s="310">
        <v>0</v>
      </c>
      <c r="Q39" s="310">
        <v>0</v>
      </c>
      <c r="R39" s="309">
        <f t="shared" ref="R39" si="38">S39+T39</f>
        <v>0</v>
      </c>
      <c r="S39" s="310">
        <v>0</v>
      </c>
      <c r="T39" s="310">
        <v>0</v>
      </c>
      <c r="U39" s="309">
        <f t="shared" ref="U39" si="39">V39+W39</f>
        <v>0</v>
      </c>
      <c r="V39" s="310">
        <v>0</v>
      </c>
      <c r="W39" s="310">
        <v>0</v>
      </c>
    </row>
    <row r="40" spans="1:23" s="308" customFormat="1" ht="14.85" hidden="1" customHeight="1">
      <c r="A40" s="910"/>
      <c r="B40" s="928"/>
      <c r="C40" s="1012"/>
      <c r="D40" s="914"/>
      <c r="E40" s="988"/>
      <c r="F40" s="910"/>
      <c r="G40" s="307">
        <v>0</v>
      </c>
      <c r="H40" s="307">
        <v>0</v>
      </c>
      <c r="I40" s="908" t="s">
        <v>2</v>
      </c>
      <c r="J40" s="984">
        <f t="shared" ref="J40:W40" si="40">J37+J39</f>
        <v>70000</v>
      </c>
      <c r="K40" s="984">
        <f t="shared" si="40"/>
        <v>45000</v>
      </c>
      <c r="L40" s="974">
        <f t="shared" si="40"/>
        <v>45000</v>
      </c>
      <c r="M40" s="974">
        <f t="shared" si="40"/>
        <v>0</v>
      </c>
      <c r="N40" s="984">
        <f t="shared" si="40"/>
        <v>25000</v>
      </c>
      <c r="O40" s="984">
        <f t="shared" si="40"/>
        <v>25000</v>
      </c>
      <c r="P40" s="974">
        <f t="shared" si="40"/>
        <v>25000</v>
      </c>
      <c r="Q40" s="974">
        <f t="shared" si="40"/>
        <v>0</v>
      </c>
      <c r="R40" s="984">
        <f t="shared" si="40"/>
        <v>0</v>
      </c>
      <c r="S40" s="974">
        <f t="shared" si="40"/>
        <v>0</v>
      </c>
      <c r="T40" s="974">
        <f t="shared" si="40"/>
        <v>0</v>
      </c>
      <c r="U40" s="984">
        <f t="shared" si="40"/>
        <v>0</v>
      </c>
      <c r="V40" s="974">
        <f t="shared" si="40"/>
        <v>0</v>
      </c>
      <c r="W40" s="974">
        <f t="shared" si="40"/>
        <v>0</v>
      </c>
    </row>
    <row r="41" spans="1:23" s="308" customFormat="1" ht="15.75" hidden="1" customHeight="1">
      <c r="A41" s="910"/>
      <c r="B41" s="929"/>
      <c r="C41" s="1012"/>
      <c r="D41" s="914"/>
      <c r="E41" s="988"/>
      <c r="F41" s="910"/>
      <c r="G41" s="307">
        <v>0</v>
      </c>
      <c r="H41" s="307">
        <v>0</v>
      </c>
      <c r="I41" s="909"/>
      <c r="J41" s="984"/>
      <c r="K41" s="984"/>
      <c r="L41" s="974"/>
      <c r="M41" s="974"/>
      <c r="N41" s="984"/>
      <c r="O41" s="984"/>
      <c r="P41" s="974"/>
      <c r="Q41" s="974"/>
      <c r="R41" s="984"/>
      <c r="S41" s="974"/>
      <c r="T41" s="974"/>
      <c r="U41" s="984"/>
      <c r="V41" s="974"/>
      <c r="W41" s="974"/>
    </row>
    <row r="42" spans="1:23" s="308" customFormat="1" ht="14.85" hidden="1" customHeight="1">
      <c r="A42" s="910">
        <v>5</v>
      </c>
      <c r="B42" s="927" t="s">
        <v>869</v>
      </c>
      <c r="C42" s="1012" t="s">
        <v>875</v>
      </c>
      <c r="D42" s="914" t="s">
        <v>411</v>
      </c>
      <c r="E42" s="988" t="s">
        <v>871</v>
      </c>
      <c r="F42" s="910" t="s">
        <v>872</v>
      </c>
      <c r="G42" s="307">
        <f>G43+G44+G45+G46</f>
        <v>10830461</v>
      </c>
      <c r="H42" s="307">
        <f>H43+H44+H45+H46</f>
        <v>9630461</v>
      </c>
      <c r="I42" s="908" t="s">
        <v>0</v>
      </c>
      <c r="J42" s="984">
        <f t="shared" ref="J42" si="41">K42+N42</f>
        <v>1000000</v>
      </c>
      <c r="K42" s="984">
        <f t="shared" ref="K42" si="42">L42+M42</f>
        <v>636000</v>
      </c>
      <c r="L42" s="974">
        <v>636000</v>
      </c>
      <c r="M42" s="974">
        <v>0</v>
      </c>
      <c r="N42" s="984">
        <f t="shared" ref="N42" si="43">O42+R42+U42</f>
        <v>364000</v>
      </c>
      <c r="O42" s="984">
        <f t="shared" ref="O42" si="44">P42+Q42</f>
        <v>364000</v>
      </c>
      <c r="P42" s="974">
        <v>364000</v>
      </c>
      <c r="Q42" s="974">
        <v>0</v>
      </c>
      <c r="R42" s="984">
        <f t="shared" ref="R42" si="45">S42+T42</f>
        <v>0</v>
      </c>
      <c r="S42" s="974">
        <v>0</v>
      </c>
      <c r="T42" s="974">
        <v>0</v>
      </c>
      <c r="U42" s="984">
        <f t="shared" ref="U42" si="46">V42+W42</f>
        <v>0</v>
      </c>
      <c r="V42" s="974">
        <v>0</v>
      </c>
      <c r="W42" s="974">
        <v>0</v>
      </c>
    </row>
    <row r="43" spans="1:23" s="308" customFormat="1" ht="14.85" hidden="1" customHeight="1">
      <c r="A43" s="910"/>
      <c r="B43" s="928"/>
      <c r="C43" s="1012"/>
      <c r="D43" s="914"/>
      <c r="E43" s="988"/>
      <c r="F43" s="910"/>
      <c r="G43" s="307">
        <v>6890973</v>
      </c>
      <c r="H43" s="307">
        <v>6127973</v>
      </c>
      <c r="I43" s="909"/>
      <c r="J43" s="984"/>
      <c r="K43" s="984"/>
      <c r="L43" s="974"/>
      <c r="M43" s="974"/>
      <c r="N43" s="984"/>
      <c r="O43" s="984"/>
      <c r="P43" s="974"/>
      <c r="Q43" s="974"/>
      <c r="R43" s="984"/>
      <c r="S43" s="974"/>
      <c r="T43" s="974"/>
      <c r="U43" s="984"/>
      <c r="V43" s="974"/>
      <c r="W43" s="974"/>
    </row>
    <row r="44" spans="1:23" s="308" customFormat="1" ht="14.85" hidden="1" customHeight="1">
      <c r="A44" s="910"/>
      <c r="B44" s="928"/>
      <c r="C44" s="1012"/>
      <c r="D44" s="914"/>
      <c r="E44" s="988"/>
      <c r="F44" s="910"/>
      <c r="G44" s="307">
        <v>3939488</v>
      </c>
      <c r="H44" s="307">
        <v>3502488</v>
      </c>
      <c r="I44" s="286" t="s">
        <v>1</v>
      </c>
      <c r="J44" s="309">
        <f t="shared" ref="J44" si="47">K44+N44</f>
        <v>0</v>
      </c>
      <c r="K44" s="309">
        <f t="shared" ref="K44" si="48">L44+M44</f>
        <v>0</v>
      </c>
      <c r="L44" s="310">
        <v>0</v>
      </c>
      <c r="M44" s="310">
        <v>0</v>
      </c>
      <c r="N44" s="309">
        <f t="shared" ref="N44" si="49">O44+R44+U44</f>
        <v>0</v>
      </c>
      <c r="O44" s="309">
        <f t="shared" ref="O44" si="50">P44+Q44</f>
        <v>0</v>
      </c>
      <c r="P44" s="310">
        <v>0</v>
      </c>
      <c r="Q44" s="310">
        <v>0</v>
      </c>
      <c r="R44" s="309">
        <f t="shared" ref="R44" si="51">S44+T44</f>
        <v>0</v>
      </c>
      <c r="S44" s="310">
        <v>0</v>
      </c>
      <c r="T44" s="310">
        <v>0</v>
      </c>
      <c r="U44" s="309">
        <f t="shared" ref="U44" si="52">V44+W44</f>
        <v>0</v>
      </c>
      <c r="V44" s="310">
        <v>0</v>
      </c>
      <c r="W44" s="310">
        <v>0</v>
      </c>
    </row>
    <row r="45" spans="1:23" s="308" customFormat="1" ht="14.85" hidden="1" customHeight="1">
      <c r="A45" s="910"/>
      <c r="B45" s="928"/>
      <c r="C45" s="1012"/>
      <c r="D45" s="914"/>
      <c r="E45" s="988"/>
      <c r="F45" s="910"/>
      <c r="G45" s="307">
        <v>0</v>
      </c>
      <c r="H45" s="307">
        <v>0</v>
      </c>
      <c r="I45" s="908" t="s">
        <v>2</v>
      </c>
      <c r="J45" s="984">
        <f t="shared" ref="J45:W45" si="53">J42+J44</f>
        <v>1000000</v>
      </c>
      <c r="K45" s="984">
        <f t="shared" si="53"/>
        <v>636000</v>
      </c>
      <c r="L45" s="974">
        <f t="shared" si="53"/>
        <v>636000</v>
      </c>
      <c r="M45" s="974">
        <f t="shared" si="53"/>
        <v>0</v>
      </c>
      <c r="N45" s="984">
        <f t="shared" si="53"/>
        <v>364000</v>
      </c>
      <c r="O45" s="984">
        <f t="shared" si="53"/>
        <v>364000</v>
      </c>
      <c r="P45" s="974">
        <f t="shared" si="53"/>
        <v>364000</v>
      </c>
      <c r="Q45" s="974">
        <f t="shared" si="53"/>
        <v>0</v>
      </c>
      <c r="R45" s="984">
        <f t="shared" si="53"/>
        <v>0</v>
      </c>
      <c r="S45" s="974">
        <f t="shared" si="53"/>
        <v>0</v>
      </c>
      <c r="T45" s="974">
        <f t="shared" si="53"/>
        <v>0</v>
      </c>
      <c r="U45" s="984">
        <f t="shared" si="53"/>
        <v>0</v>
      </c>
      <c r="V45" s="974">
        <f t="shared" si="53"/>
        <v>0</v>
      </c>
      <c r="W45" s="974">
        <f t="shared" si="53"/>
        <v>0</v>
      </c>
    </row>
    <row r="46" spans="1:23" s="308" customFormat="1" ht="14.85" hidden="1" customHeight="1">
      <c r="A46" s="910"/>
      <c r="B46" s="929"/>
      <c r="C46" s="1012"/>
      <c r="D46" s="914"/>
      <c r="E46" s="988"/>
      <c r="F46" s="910"/>
      <c r="G46" s="307">
        <v>0</v>
      </c>
      <c r="H46" s="307">
        <v>0</v>
      </c>
      <c r="I46" s="909"/>
      <c r="J46" s="984"/>
      <c r="K46" s="984"/>
      <c r="L46" s="974"/>
      <c r="M46" s="974"/>
      <c r="N46" s="984"/>
      <c r="O46" s="984"/>
      <c r="P46" s="974"/>
      <c r="Q46" s="974"/>
      <c r="R46" s="984"/>
      <c r="S46" s="974"/>
      <c r="T46" s="974"/>
      <c r="U46" s="984"/>
      <c r="V46" s="974"/>
      <c r="W46" s="974"/>
    </row>
    <row r="47" spans="1:23" s="308" customFormat="1" ht="14.85" hidden="1" customHeight="1">
      <c r="A47" s="910">
        <v>6</v>
      </c>
      <c r="B47" s="914" t="s">
        <v>876</v>
      </c>
      <c r="C47" s="985" t="s">
        <v>877</v>
      </c>
      <c r="D47" s="914" t="s">
        <v>411</v>
      </c>
      <c r="E47" s="988" t="s">
        <v>878</v>
      </c>
      <c r="F47" s="914" t="s">
        <v>809</v>
      </c>
      <c r="G47" s="307">
        <f>G49+G48+G50+G51</f>
        <v>139000</v>
      </c>
      <c r="H47" s="307">
        <f>H49+H48+H50+H51</f>
        <v>0</v>
      </c>
      <c r="I47" s="908" t="s">
        <v>0</v>
      </c>
      <c r="J47" s="984">
        <f t="shared" ref="J47" si="54">K47+N47</f>
        <v>60000</v>
      </c>
      <c r="K47" s="984">
        <f t="shared" ref="K47" si="55">L47+M47</f>
        <v>42000</v>
      </c>
      <c r="L47" s="974">
        <v>42000</v>
      </c>
      <c r="M47" s="974">
        <v>0</v>
      </c>
      <c r="N47" s="984">
        <f t="shared" ref="N47" si="56">O47+R47+U47</f>
        <v>18000</v>
      </c>
      <c r="O47" s="984">
        <f t="shared" ref="O47" si="57">P47+Q47</f>
        <v>18000</v>
      </c>
      <c r="P47" s="974">
        <v>18000</v>
      </c>
      <c r="Q47" s="974">
        <v>0</v>
      </c>
      <c r="R47" s="984">
        <f t="shared" ref="R47" si="58">S47+T47</f>
        <v>0</v>
      </c>
      <c r="S47" s="974">
        <v>0</v>
      </c>
      <c r="T47" s="974">
        <v>0</v>
      </c>
      <c r="U47" s="984">
        <f t="shared" ref="U47" si="59">V47+W47</f>
        <v>0</v>
      </c>
      <c r="V47" s="974">
        <v>0</v>
      </c>
      <c r="W47" s="974">
        <v>0</v>
      </c>
    </row>
    <row r="48" spans="1:23" s="308" customFormat="1" ht="14.85" hidden="1" customHeight="1">
      <c r="A48" s="910"/>
      <c r="B48" s="914"/>
      <c r="C48" s="986"/>
      <c r="D48" s="914"/>
      <c r="E48" s="988"/>
      <c r="F48" s="914"/>
      <c r="G48" s="307">
        <v>98000</v>
      </c>
      <c r="H48" s="307">
        <v>0</v>
      </c>
      <c r="I48" s="909"/>
      <c r="J48" s="984"/>
      <c r="K48" s="984"/>
      <c r="L48" s="974"/>
      <c r="M48" s="974"/>
      <c r="N48" s="984"/>
      <c r="O48" s="984"/>
      <c r="P48" s="974"/>
      <c r="Q48" s="974"/>
      <c r="R48" s="984"/>
      <c r="S48" s="974"/>
      <c r="T48" s="974"/>
      <c r="U48" s="984"/>
      <c r="V48" s="974"/>
      <c r="W48" s="974"/>
    </row>
    <row r="49" spans="1:23" s="308" customFormat="1" ht="14.85" hidden="1" customHeight="1">
      <c r="A49" s="910"/>
      <c r="B49" s="914"/>
      <c r="C49" s="986"/>
      <c r="D49" s="914"/>
      <c r="E49" s="988"/>
      <c r="F49" s="914"/>
      <c r="G49" s="307">
        <v>41000</v>
      </c>
      <c r="H49" s="307">
        <v>0</v>
      </c>
      <c r="I49" s="286" t="s">
        <v>1</v>
      </c>
      <c r="J49" s="309">
        <f t="shared" ref="J49" si="60">K49+N49</f>
        <v>0</v>
      </c>
      <c r="K49" s="309">
        <f t="shared" ref="K49" si="61">L49+M49</f>
        <v>0</v>
      </c>
      <c r="L49" s="310">
        <v>0</v>
      </c>
      <c r="M49" s="310">
        <v>0</v>
      </c>
      <c r="N49" s="309">
        <f t="shared" ref="N49" si="62">O49+R49+U49</f>
        <v>0</v>
      </c>
      <c r="O49" s="309">
        <f t="shared" ref="O49" si="63">P49+Q49</f>
        <v>0</v>
      </c>
      <c r="P49" s="310">
        <v>0</v>
      </c>
      <c r="Q49" s="310">
        <v>0</v>
      </c>
      <c r="R49" s="309">
        <f t="shared" ref="R49" si="64">S49+T49</f>
        <v>0</v>
      </c>
      <c r="S49" s="310">
        <v>0</v>
      </c>
      <c r="T49" s="310">
        <v>0</v>
      </c>
      <c r="U49" s="309">
        <f t="shared" ref="U49" si="65">V49+W49</f>
        <v>0</v>
      </c>
      <c r="V49" s="310">
        <v>0</v>
      </c>
      <c r="W49" s="310">
        <v>0</v>
      </c>
    </row>
    <row r="50" spans="1:23" s="308" customFormat="1" ht="14.85" hidden="1" customHeight="1">
      <c r="A50" s="910"/>
      <c r="B50" s="914"/>
      <c r="C50" s="986"/>
      <c r="D50" s="914"/>
      <c r="E50" s="988"/>
      <c r="F50" s="914"/>
      <c r="G50" s="307">
        <v>0</v>
      </c>
      <c r="H50" s="307">
        <v>0</v>
      </c>
      <c r="I50" s="908" t="s">
        <v>2</v>
      </c>
      <c r="J50" s="984">
        <f t="shared" ref="J50:W50" si="66">J47+J49</f>
        <v>60000</v>
      </c>
      <c r="K50" s="984">
        <f t="shared" si="66"/>
        <v>42000</v>
      </c>
      <c r="L50" s="974">
        <f t="shared" si="66"/>
        <v>42000</v>
      </c>
      <c r="M50" s="974">
        <f t="shared" si="66"/>
        <v>0</v>
      </c>
      <c r="N50" s="984">
        <f t="shared" si="66"/>
        <v>18000</v>
      </c>
      <c r="O50" s="984">
        <f t="shared" si="66"/>
        <v>18000</v>
      </c>
      <c r="P50" s="974">
        <f t="shared" si="66"/>
        <v>18000</v>
      </c>
      <c r="Q50" s="974">
        <f t="shared" si="66"/>
        <v>0</v>
      </c>
      <c r="R50" s="984">
        <f t="shared" si="66"/>
        <v>0</v>
      </c>
      <c r="S50" s="974">
        <f t="shared" si="66"/>
        <v>0</v>
      </c>
      <c r="T50" s="974">
        <f t="shared" si="66"/>
        <v>0</v>
      </c>
      <c r="U50" s="984">
        <f t="shared" si="66"/>
        <v>0</v>
      </c>
      <c r="V50" s="974">
        <f t="shared" si="66"/>
        <v>0</v>
      </c>
      <c r="W50" s="974">
        <f t="shared" si="66"/>
        <v>0</v>
      </c>
    </row>
    <row r="51" spans="1:23" s="308" customFormat="1" ht="14.85" hidden="1" customHeight="1">
      <c r="A51" s="910"/>
      <c r="B51" s="914"/>
      <c r="C51" s="987"/>
      <c r="D51" s="914"/>
      <c r="E51" s="988"/>
      <c r="F51" s="914"/>
      <c r="G51" s="307">
        <v>0</v>
      </c>
      <c r="H51" s="307">
        <v>0</v>
      </c>
      <c r="I51" s="909"/>
      <c r="J51" s="984"/>
      <c r="K51" s="984"/>
      <c r="L51" s="974"/>
      <c r="M51" s="974"/>
      <c r="N51" s="984"/>
      <c r="O51" s="984"/>
      <c r="P51" s="974"/>
      <c r="Q51" s="974"/>
      <c r="R51" s="984"/>
      <c r="S51" s="974"/>
      <c r="T51" s="974"/>
      <c r="U51" s="984"/>
      <c r="V51" s="974"/>
      <c r="W51" s="974"/>
    </row>
    <row r="52" spans="1:23" s="308" customFormat="1" ht="14.25" hidden="1" customHeight="1">
      <c r="A52" s="910">
        <v>1</v>
      </c>
      <c r="B52" s="927" t="s">
        <v>879</v>
      </c>
      <c r="C52" s="985" t="s">
        <v>880</v>
      </c>
      <c r="D52" s="914" t="s">
        <v>881</v>
      </c>
      <c r="E52" s="988" t="s">
        <v>798</v>
      </c>
      <c r="F52" s="910" t="s">
        <v>771</v>
      </c>
      <c r="G52" s="307">
        <f>G53+G54+G55+G56</f>
        <v>6270334</v>
      </c>
      <c r="H52" s="307">
        <f>H53+H54+H55+H56</f>
        <v>326989</v>
      </c>
      <c r="I52" s="908" t="s">
        <v>0</v>
      </c>
      <c r="J52" s="984">
        <f t="shared" ref="J52" si="67">K52+N52</f>
        <v>1628893</v>
      </c>
      <c r="K52" s="984">
        <f t="shared" ref="K52" si="68">L52+M52</f>
        <v>1522229</v>
      </c>
      <c r="L52" s="974">
        <v>1522229</v>
      </c>
      <c r="M52" s="974">
        <v>0</v>
      </c>
      <c r="N52" s="984">
        <f t="shared" ref="N52" si="69">O52+R52+U52</f>
        <v>106664</v>
      </c>
      <c r="O52" s="984">
        <f t="shared" ref="O52" si="70">P52+Q52</f>
        <v>0</v>
      </c>
      <c r="P52" s="974">
        <v>0</v>
      </c>
      <c r="Q52" s="974">
        <v>0</v>
      </c>
      <c r="R52" s="984">
        <f t="shared" ref="R52" si="71">S52+T52</f>
        <v>106664</v>
      </c>
      <c r="S52" s="974">
        <v>106664</v>
      </c>
      <c r="T52" s="974">
        <v>0</v>
      </c>
      <c r="U52" s="984">
        <f t="shared" ref="U52" si="72">V52+W52</f>
        <v>0</v>
      </c>
      <c r="V52" s="974">
        <v>0</v>
      </c>
      <c r="W52" s="974">
        <v>0</v>
      </c>
    </row>
    <row r="53" spans="1:23" s="308" customFormat="1" ht="14.25" hidden="1" customHeight="1">
      <c r="A53" s="910"/>
      <c r="B53" s="928"/>
      <c r="C53" s="986"/>
      <c r="D53" s="914"/>
      <c r="E53" s="988"/>
      <c r="F53" s="910"/>
      <c r="G53" s="307">
        <v>5967866</v>
      </c>
      <c r="H53" s="307">
        <v>261591</v>
      </c>
      <c r="I53" s="909"/>
      <c r="J53" s="984"/>
      <c r="K53" s="984"/>
      <c r="L53" s="974"/>
      <c r="M53" s="974"/>
      <c r="N53" s="984"/>
      <c r="O53" s="984"/>
      <c r="P53" s="974"/>
      <c r="Q53" s="974"/>
      <c r="R53" s="984"/>
      <c r="S53" s="974"/>
      <c r="T53" s="974"/>
      <c r="U53" s="984"/>
      <c r="V53" s="974"/>
      <c r="W53" s="974"/>
    </row>
    <row r="54" spans="1:23" s="308" customFormat="1" ht="14.25" hidden="1" customHeight="1">
      <c r="A54" s="910"/>
      <c r="B54" s="928"/>
      <c r="C54" s="986"/>
      <c r="D54" s="914"/>
      <c r="E54" s="988"/>
      <c r="F54" s="910"/>
      <c r="G54" s="307">
        <v>0</v>
      </c>
      <c r="H54" s="307">
        <v>0</v>
      </c>
      <c r="I54" s="286" t="s">
        <v>1</v>
      </c>
      <c r="J54" s="309">
        <f t="shared" ref="J54" si="73">K54+N54</f>
        <v>0</v>
      </c>
      <c r="K54" s="309">
        <f t="shared" ref="K54" si="74">L54+M54</f>
        <v>0</v>
      </c>
      <c r="L54" s="310">
        <v>0</v>
      </c>
      <c r="M54" s="310">
        <v>0</v>
      </c>
      <c r="N54" s="309">
        <f t="shared" ref="N54" si="75">O54+R54+U54</f>
        <v>0</v>
      </c>
      <c r="O54" s="309">
        <f t="shared" ref="O54" si="76">P54+Q54</f>
        <v>0</v>
      </c>
      <c r="P54" s="310">
        <v>0</v>
      </c>
      <c r="Q54" s="310">
        <v>0</v>
      </c>
      <c r="R54" s="309">
        <f t="shared" ref="R54" si="77">S54+T54</f>
        <v>0</v>
      </c>
      <c r="S54" s="310">
        <v>0</v>
      </c>
      <c r="T54" s="310">
        <v>0</v>
      </c>
      <c r="U54" s="309">
        <f t="shared" ref="U54" si="78">V54+W54</f>
        <v>0</v>
      </c>
      <c r="V54" s="310">
        <v>0</v>
      </c>
      <c r="W54" s="310">
        <v>0</v>
      </c>
    </row>
    <row r="55" spans="1:23" s="308" customFormat="1" ht="14.25" hidden="1" customHeight="1">
      <c r="A55" s="910"/>
      <c r="B55" s="928"/>
      <c r="C55" s="986"/>
      <c r="D55" s="914"/>
      <c r="E55" s="988"/>
      <c r="F55" s="910"/>
      <c r="G55" s="307">
        <v>302468</v>
      </c>
      <c r="H55" s="307">
        <v>65398</v>
      </c>
      <c r="I55" s="908" t="s">
        <v>2</v>
      </c>
      <c r="J55" s="984">
        <f t="shared" ref="J55:W55" si="79">J52+J54</f>
        <v>1628893</v>
      </c>
      <c r="K55" s="984">
        <f t="shared" si="79"/>
        <v>1522229</v>
      </c>
      <c r="L55" s="974">
        <f t="shared" si="79"/>
        <v>1522229</v>
      </c>
      <c r="M55" s="974">
        <f t="shared" si="79"/>
        <v>0</v>
      </c>
      <c r="N55" s="984">
        <f t="shared" si="79"/>
        <v>106664</v>
      </c>
      <c r="O55" s="984">
        <f t="shared" si="79"/>
        <v>0</v>
      </c>
      <c r="P55" s="974">
        <f t="shared" si="79"/>
        <v>0</v>
      </c>
      <c r="Q55" s="974">
        <f t="shared" si="79"/>
        <v>0</v>
      </c>
      <c r="R55" s="984">
        <f t="shared" si="79"/>
        <v>106664</v>
      </c>
      <c r="S55" s="974">
        <f t="shared" si="79"/>
        <v>106664</v>
      </c>
      <c r="T55" s="974">
        <f t="shared" si="79"/>
        <v>0</v>
      </c>
      <c r="U55" s="984">
        <f t="shared" si="79"/>
        <v>0</v>
      </c>
      <c r="V55" s="974">
        <f t="shared" si="79"/>
        <v>0</v>
      </c>
      <c r="W55" s="974">
        <f t="shared" si="79"/>
        <v>0</v>
      </c>
    </row>
    <row r="56" spans="1:23" s="308" customFormat="1" ht="14.25" hidden="1" customHeight="1">
      <c r="A56" s="910"/>
      <c r="B56" s="929"/>
      <c r="C56" s="987"/>
      <c r="D56" s="914"/>
      <c r="E56" s="988"/>
      <c r="F56" s="910"/>
      <c r="G56" s="307">
        <v>0</v>
      </c>
      <c r="H56" s="307">
        <v>0</v>
      </c>
      <c r="I56" s="909"/>
      <c r="J56" s="984"/>
      <c r="K56" s="984"/>
      <c r="L56" s="974"/>
      <c r="M56" s="974"/>
      <c r="N56" s="984"/>
      <c r="O56" s="984"/>
      <c r="P56" s="974"/>
      <c r="Q56" s="974"/>
      <c r="R56" s="984"/>
      <c r="S56" s="974"/>
      <c r="T56" s="974"/>
      <c r="U56" s="984"/>
      <c r="V56" s="974"/>
      <c r="W56" s="974"/>
    </row>
    <row r="57" spans="1:23" s="308" customFormat="1" ht="14.25" hidden="1" customHeight="1">
      <c r="A57" s="910">
        <v>2</v>
      </c>
      <c r="B57" s="927" t="s">
        <v>882</v>
      </c>
      <c r="C57" s="985" t="s">
        <v>883</v>
      </c>
      <c r="D57" s="914" t="s">
        <v>411</v>
      </c>
      <c r="E57" s="988" t="s">
        <v>690</v>
      </c>
      <c r="F57" s="910" t="s">
        <v>776</v>
      </c>
      <c r="G57" s="307">
        <f>G58+G59+G60+G61</f>
        <v>971220</v>
      </c>
      <c r="H57" s="307">
        <f>H58+H59+H60+H61</f>
        <v>145695</v>
      </c>
      <c r="I57" s="908" t="s">
        <v>0</v>
      </c>
      <c r="J57" s="984">
        <f t="shared" ref="J57" si="80">K57+N57</f>
        <v>400500</v>
      </c>
      <c r="K57" s="984">
        <f t="shared" ref="K57" si="81">L57+M57</f>
        <v>320399</v>
      </c>
      <c r="L57" s="974">
        <v>320399</v>
      </c>
      <c r="M57" s="974">
        <v>0</v>
      </c>
      <c r="N57" s="984">
        <f t="shared" ref="N57" si="82">O57+R57+U57</f>
        <v>80101</v>
      </c>
      <c r="O57" s="984">
        <f t="shared" ref="O57" si="83">P57+Q57</f>
        <v>0</v>
      </c>
      <c r="P57" s="974">
        <v>0</v>
      </c>
      <c r="Q57" s="974">
        <v>0</v>
      </c>
      <c r="R57" s="984">
        <f t="shared" ref="R57" si="84">S57+T57</f>
        <v>80101</v>
      </c>
      <c r="S57" s="974">
        <v>80101</v>
      </c>
      <c r="T57" s="974">
        <v>0</v>
      </c>
      <c r="U57" s="984">
        <f t="shared" ref="U57" si="85">V57+W57</f>
        <v>0</v>
      </c>
      <c r="V57" s="974">
        <v>0</v>
      </c>
      <c r="W57" s="974">
        <v>0</v>
      </c>
    </row>
    <row r="58" spans="1:23" s="308" customFormat="1" ht="14.25" hidden="1" customHeight="1">
      <c r="A58" s="910"/>
      <c r="B58" s="928"/>
      <c r="C58" s="986"/>
      <c r="D58" s="914"/>
      <c r="E58" s="988"/>
      <c r="F58" s="910"/>
      <c r="G58" s="307">
        <v>776976</v>
      </c>
      <c r="H58" s="307">
        <v>116556</v>
      </c>
      <c r="I58" s="909"/>
      <c r="J58" s="984"/>
      <c r="K58" s="984"/>
      <c r="L58" s="974"/>
      <c r="M58" s="974"/>
      <c r="N58" s="984"/>
      <c r="O58" s="984"/>
      <c r="P58" s="974"/>
      <c r="Q58" s="974"/>
      <c r="R58" s="984"/>
      <c r="S58" s="974"/>
      <c r="T58" s="974"/>
      <c r="U58" s="984"/>
      <c r="V58" s="974"/>
      <c r="W58" s="974"/>
    </row>
    <row r="59" spans="1:23" s="308" customFormat="1" ht="14.25" hidden="1" customHeight="1">
      <c r="A59" s="910"/>
      <c r="B59" s="928"/>
      <c r="C59" s="986"/>
      <c r="D59" s="914"/>
      <c r="E59" s="988"/>
      <c r="F59" s="910"/>
      <c r="G59" s="307">
        <v>0</v>
      </c>
      <c r="H59" s="307">
        <v>0</v>
      </c>
      <c r="I59" s="286" t="s">
        <v>1</v>
      </c>
      <c r="J59" s="309">
        <f t="shared" ref="J59" si="86">K59+N59</f>
        <v>0</v>
      </c>
      <c r="K59" s="309">
        <f t="shared" ref="K59" si="87">L59+M59</f>
        <v>0</v>
      </c>
      <c r="L59" s="310">
        <v>0</v>
      </c>
      <c r="M59" s="310">
        <v>0</v>
      </c>
      <c r="N59" s="309">
        <f t="shared" ref="N59" si="88">O59+R59+U59</f>
        <v>0</v>
      </c>
      <c r="O59" s="309">
        <f t="shared" ref="O59" si="89">P59+Q59</f>
        <v>0</v>
      </c>
      <c r="P59" s="310">
        <v>0</v>
      </c>
      <c r="Q59" s="310">
        <v>0</v>
      </c>
      <c r="R59" s="309">
        <f t="shared" ref="R59" si="90">S59+T59</f>
        <v>0</v>
      </c>
      <c r="S59" s="310">
        <v>0</v>
      </c>
      <c r="T59" s="310">
        <v>0</v>
      </c>
      <c r="U59" s="309">
        <f t="shared" ref="U59" si="91">V59+W59</f>
        <v>0</v>
      </c>
      <c r="V59" s="310">
        <v>0</v>
      </c>
      <c r="W59" s="310">
        <v>0</v>
      </c>
    </row>
    <row r="60" spans="1:23" s="308" customFormat="1" ht="14.25" hidden="1" customHeight="1">
      <c r="A60" s="910"/>
      <c r="B60" s="928"/>
      <c r="C60" s="986"/>
      <c r="D60" s="914"/>
      <c r="E60" s="988"/>
      <c r="F60" s="910"/>
      <c r="G60" s="307">
        <v>194244</v>
      </c>
      <c r="H60" s="307">
        <v>29139</v>
      </c>
      <c r="I60" s="908" t="s">
        <v>2</v>
      </c>
      <c r="J60" s="984">
        <f t="shared" ref="J60:W60" si="92">J57+J59</f>
        <v>400500</v>
      </c>
      <c r="K60" s="984">
        <f t="shared" si="92"/>
        <v>320399</v>
      </c>
      <c r="L60" s="974">
        <f t="shared" si="92"/>
        <v>320399</v>
      </c>
      <c r="M60" s="974">
        <f t="shared" si="92"/>
        <v>0</v>
      </c>
      <c r="N60" s="984">
        <f t="shared" si="92"/>
        <v>80101</v>
      </c>
      <c r="O60" s="984">
        <f t="shared" si="92"/>
        <v>0</v>
      </c>
      <c r="P60" s="974">
        <f t="shared" si="92"/>
        <v>0</v>
      </c>
      <c r="Q60" s="974">
        <f t="shared" si="92"/>
        <v>0</v>
      </c>
      <c r="R60" s="984">
        <f t="shared" si="92"/>
        <v>80101</v>
      </c>
      <c r="S60" s="974">
        <f t="shared" si="92"/>
        <v>80101</v>
      </c>
      <c r="T60" s="974">
        <f t="shared" si="92"/>
        <v>0</v>
      </c>
      <c r="U60" s="984">
        <f t="shared" si="92"/>
        <v>0</v>
      </c>
      <c r="V60" s="974">
        <f t="shared" si="92"/>
        <v>0</v>
      </c>
      <c r="W60" s="974">
        <f t="shared" si="92"/>
        <v>0</v>
      </c>
    </row>
    <row r="61" spans="1:23" s="308" customFormat="1" ht="14.25" hidden="1" customHeight="1">
      <c r="A61" s="910"/>
      <c r="B61" s="929"/>
      <c r="C61" s="987"/>
      <c r="D61" s="914"/>
      <c r="E61" s="988"/>
      <c r="F61" s="910"/>
      <c r="G61" s="307">
        <v>0</v>
      </c>
      <c r="H61" s="307">
        <v>0</v>
      </c>
      <c r="I61" s="909"/>
      <c r="J61" s="984"/>
      <c r="K61" s="984"/>
      <c r="L61" s="974"/>
      <c r="M61" s="974"/>
      <c r="N61" s="984"/>
      <c r="O61" s="984"/>
      <c r="P61" s="974"/>
      <c r="Q61" s="974"/>
      <c r="R61" s="984"/>
      <c r="S61" s="974"/>
      <c r="T61" s="974"/>
      <c r="U61" s="984"/>
      <c r="V61" s="974"/>
      <c r="W61" s="974"/>
    </row>
    <row r="62" spans="1:23" s="308" customFormat="1" ht="14.25" hidden="1" customHeight="1">
      <c r="A62" s="910">
        <v>1</v>
      </c>
      <c r="B62" s="927" t="s">
        <v>884</v>
      </c>
      <c r="C62" s="985" t="s">
        <v>885</v>
      </c>
      <c r="D62" s="914" t="s">
        <v>411</v>
      </c>
      <c r="E62" s="988" t="s">
        <v>690</v>
      </c>
      <c r="F62" s="910" t="s">
        <v>780</v>
      </c>
      <c r="G62" s="307">
        <f>G63+G64+G65+G66</f>
        <v>455550</v>
      </c>
      <c r="H62" s="307">
        <f>H63+H64+H65+H66</f>
        <v>0</v>
      </c>
      <c r="I62" s="908" t="s">
        <v>0</v>
      </c>
      <c r="J62" s="984">
        <f t="shared" ref="J62" si="93">K62+N62</f>
        <v>151200</v>
      </c>
      <c r="K62" s="984">
        <f t="shared" ref="K62" si="94">L62+M62</f>
        <v>151200</v>
      </c>
      <c r="L62" s="974">
        <v>151200</v>
      </c>
      <c r="M62" s="974">
        <v>0</v>
      </c>
      <c r="N62" s="984">
        <f t="shared" ref="N62" si="95">O62+R62+U62</f>
        <v>0</v>
      </c>
      <c r="O62" s="984">
        <f t="shared" ref="O62" si="96">P62+Q62</f>
        <v>0</v>
      </c>
      <c r="P62" s="974">
        <v>0</v>
      </c>
      <c r="Q62" s="974">
        <v>0</v>
      </c>
      <c r="R62" s="984">
        <f t="shared" ref="R62" si="97">S62+T62</f>
        <v>0</v>
      </c>
      <c r="S62" s="974">
        <v>0</v>
      </c>
      <c r="T62" s="974">
        <v>0</v>
      </c>
      <c r="U62" s="984">
        <f t="shared" ref="U62" si="98">V62+W62</f>
        <v>0</v>
      </c>
      <c r="V62" s="974">
        <v>0</v>
      </c>
      <c r="W62" s="974">
        <v>0</v>
      </c>
    </row>
    <row r="63" spans="1:23" s="308" customFormat="1" ht="14.25" hidden="1" customHeight="1">
      <c r="A63" s="910"/>
      <c r="B63" s="928"/>
      <c r="C63" s="986"/>
      <c r="D63" s="914"/>
      <c r="E63" s="988"/>
      <c r="F63" s="910"/>
      <c r="G63" s="307">
        <v>455550</v>
      </c>
      <c r="H63" s="307">
        <v>0</v>
      </c>
      <c r="I63" s="909"/>
      <c r="J63" s="984"/>
      <c r="K63" s="984"/>
      <c r="L63" s="974"/>
      <c r="M63" s="974"/>
      <c r="N63" s="984"/>
      <c r="O63" s="984"/>
      <c r="P63" s="974"/>
      <c r="Q63" s="974"/>
      <c r="R63" s="984"/>
      <c r="S63" s="974"/>
      <c r="T63" s="974"/>
      <c r="U63" s="984"/>
      <c r="V63" s="974"/>
      <c r="W63" s="974"/>
    </row>
    <row r="64" spans="1:23" s="308" customFormat="1" ht="14.25" hidden="1" customHeight="1">
      <c r="A64" s="910"/>
      <c r="B64" s="928"/>
      <c r="C64" s="986"/>
      <c r="D64" s="914"/>
      <c r="E64" s="988"/>
      <c r="F64" s="910"/>
      <c r="G64" s="307">
        <v>0</v>
      </c>
      <c r="H64" s="307">
        <v>0</v>
      </c>
      <c r="I64" s="286" t="s">
        <v>1</v>
      </c>
      <c r="J64" s="309">
        <f t="shared" ref="J64" si="99">K64+N64</f>
        <v>0</v>
      </c>
      <c r="K64" s="309">
        <f t="shared" ref="K64" si="100">L64+M64</f>
        <v>0</v>
      </c>
      <c r="L64" s="310">
        <v>0</v>
      </c>
      <c r="M64" s="310">
        <v>0</v>
      </c>
      <c r="N64" s="309">
        <f t="shared" ref="N64" si="101">O64+R64+U64</f>
        <v>0</v>
      </c>
      <c r="O64" s="309">
        <f t="shared" ref="O64" si="102">P64+Q64</f>
        <v>0</v>
      </c>
      <c r="P64" s="310">
        <v>0</v>
      </c>
      <c r="Q64" s="310">
        <v>0</v>
      </c>
      <c r="R64" s="309">
        <f t="shared" ref="R64" si="103">S64+T64</f>
        <v>0</v>
      </c>
      <c r="S64" s="310">
        <v>0</v>
      </c>
      <c r="T64" s="310">
        <v>0</v>
      </c>
      <c r="U64" s="309">
        <f t="shared" ref="U64" si="104">V64+W64</f>
        <v>0</v>
      </c>
      <c r="V64" s="310">
        <v>0</v>
      </c>
      <c r="W64" s="310">
        <v>0</v>
      </c>
    </row>
    <row r="65" spans="1:23" s="308" customFormat="1" ht="14.25" hidden="1" customHeight="1">
      <c r="A65" s="910"/>
      <c r="B65" s="928"/>
      <c r="C65" s="986"/>
      <c r="D65" s="914"/>
      <c r="E65" s="988"/>
      <c r="F65" s="910"/>
      <c r="G65" s="307">
        <v>0</v>
      </c>
      <c r="H65" s="307">
        <v>0</v>
      </c>
      <c r="I65" s="908" t="s">
        <v>2</v>
      </c>
      <c r="J65" s="984">
        <f t="shared" ref="J65:W65" si="105">J62+J64</f>
        <v>151200</v>
      </c>
      <c r="K65" s="984">
        <f t="shared" si="105"/>
        <v>151200</v>
      </c>
      <c r="L65" s="974">
        <f t="shared" si="105"/>
        <v>151200</v>
      </c>
      <c r="M65" s="974">
        <f t="shared" si="105"/>
        <v>0</v>
      </c>
      <c r="N65" s="984">
        <f t="shared" si="105"/>
        <v>0</v>
      </c>
      <c r="O65" s="984">
        <f t="shared" si="105"/>
        <v>0</v>
      </c>
      <c r="P65" s="974">
        <f t="shared" si="105"/>
        <v>0</v>
      </c>
      <c r="Q65" s="974">
        <f t="shared" si="105"/>
        <v>0</v>
      </c>
      <c r="R65" s="984">
        <f t="shared" si="105"/>
        <v>0</v>
      </c>
      <c r="S65" s="974">
        <f t="shared" si="105"/>
        <v>0</v>
      </c>
      <c r="T65" s="974">
        <f t="shared" si="105"/>
        <v>0</v>
      </c>
      <c r="U65" s="984">
        <f t="shared" si="105"/>
        <v>0</v>
      </c>
      <c r="V65" s="974">
        <f t="shared" si="105"/>
        <v>0</v>
      </c>
      <c r="W65" s="974">
        <f t="shared" si="105"/>
        <v>0</v>
      </c>
    </row>
    <row r="66" spans="1:23" s="308" customFormat="1" ht="14.25" hidden="1" customHeight="1">
      <c r="A66" s="910"/>
      <c r="B66" s="929"/>
      <c r="C66" s="987"/>
      <c r="D66" s="914"/>
      <c r="E66" s="988"/>
      <c r="F66" s="910"/>
      <c r="G66" s="307">
        <v>0</v>
      </c>
      <c r="H66" s="307">
        <v>0</v>
      </c>
      <c r="I66" s="909"/>
      <c r="J66" s="984"/>
      <c r="K66" s="984"/>
      <c r="L66" s="974"/>
      <c r="M66" s="974"/>
      <c r="N66" s="984"/>
      <c r="O66" s="984"/>
      <c r="P66" s="974"/>
      <c r="Q66" s="974"/>
      <c r="R66" s="984"/>
      <c r="S66" s="974"/>
      <c r="T66" s="974"/>
      <c r="U66" s="984"/>
      <c r="V66" s="974"/>
      <c r="W66" s="974"/>
    </row>
    <row r="67" spans="1:23" s="308" customFormat="1" ht="14.25" hidden="1" customHeight="1">
      <c r="A67" s="910">
        <v>2</v>
      </c>
      <c r="B67" s="927" t="s">
        <v>886</v>
      </c>
      <c r="C67" s="985" t="s">
        <v>887</v>
      </c>
      <c r="D67" s="914" t="s">
        <v>411</v>
      </c>
      <c r="E67" s="988" t="s">
        <v>690</v>
      </c>
      <c r="F67" s="910" t="s">
        <v>888</v>
      </c>
      <c r="G67" s="307">
        <f>G68+G69+G70+G71</f>
        <v>961575</v>
      </c>
      <c r="H67" s="307">
        <f>H68+H69+H70+H71</f>
        <v>0</v>
      </c>
      <c r="I67" s="908" t="s">
        <v>0</v>
      </c>
      <c r="J67" s="984">
        <f t="shared" ref="J67" si="106">K67+N67</f>
        <v>210027</v>
      </c>
      <c r="K67" s="984">
        <f t="shared" ref="K67" si="107">L67+M67</f>
        <v>168022</v>
      </c>
      <c r="L67" s="974">
        <v>168022</v>
      </c>
      <c r="M67" s="974">
        <v>0</v>
      </c>
      <c r="N67" s="984">
        <f t="shared" ref="N67" si="108">O67+R67+U67</f>
        <v>42005</v>
      </c>
      <c r="O67" s="984">
        <f t="shared" ref="O67" si="109">P67+Q67</f>
        <v>0</v>
      </c>
      <c r="P67" s="974">
        <v>0</v>
      </c>
      <c r="Q67" s="974">
        <v>0</v>
      </c>
      <c r="R67" s="984">
        <f t="shared" ref="R67" si="110">S67+T67</f>
        <v>42005</v>
      </c>
      <c r="S67" s="974">
        <v>42005</v>
      </c>
      <c r="T67" s="974">
        <v>0</v>
      </c>
      <c r="U67" s="984">
        <f t="shared" ref="U67" si="111">V67+W67</f>
        <v>0</v>
      </c>
      <c r="V67" s="974">
        <v>0</v>
      </c>
      <c r="W67" s="974">
        <v>0</v>
      </c>
    </row>
    <row r="68" spans="1:23" s="308" customFormat="1" ht="14.25" hidden="1" customHeight="1">
      <c r="A68" s="910"/>
      <c r="B68" s="928"/>
      <c r="C68" s="986"/>
      <c r="D68" s="914"/>
      <c r="E68" s="988"/>
      <c r="F68" s="910"/>
      <c r="G68" s="307">
        <v>769260</v>
      </c>
      <c r="H68" s="307">
        <v>0</v>
      </c>
      <c r="I68" s="909"/>
      <c r="J68" s="984"/>
      <c r="K68" s="984"/>
      <c r="L68" s="974"/>
      <c r="M68" s="974"/>
      <c r="N68" s="984"/>
      <c r="O68" s="984"/>
      <c r="P68" s="974"/>
      <c r="Q68" s="974"/>
      <c r="R68" s="984"/>
      <c r="S68" s="974"/>
      <c r="T68" s="974"/>
      <c r="U68" s="984"/>
      <c r="V68" s="974"/>
      <c r="W68" s="974"/>
    </row>
    <row r="69" spans="1:23" s="308" customFormat="1" ht="14.25" hidden="1" customHeight="1">
      <c r="A69" s="910"/>
      <c r="B69" s="928"/>
      <c r="C69" s="986"/>
      <c r="D69" s="914"/>
      <c r="E69" s="988"/>
      <c r="F69" s="910"/>
      <c r="G69" s="307">
        <v>0</v>
      </c>
      <c r="H69" s="307">
        <v>0</v>
      </c>
      <c r="I69" s="286" t="s">
        <v>1</v>
      </c>
      <c r="J69" s="309">
        <f t="shared" ref="J69" si="112">K69+N69</f>
        <v>0</v>
      </c>
      <c r="K69" s="309">
        <f t="shared" ref="K69" si="113">L69+M69</f>
        <v>0</v>
      </c>
      <c r="L69" s="310">
        <v>0</v>
      </c>
      <c r="M69" s="310">
        <v>0</v>
      </c>
      <c r="N69" s="309">
        <f t="shared" ref="N69" si="114">O69+R69+U69</f>
        <v>0</v>
      </c>
      <c r="O69" s="309">
        <f t="shared" ref="O69" si="115">P69+Q69</f>
        <v>0</v>
      </c>
      <c r="P69" s="310">
        <v>0</v>
      </c>
      <c r="Q69" s="310">
        <v>0</v>
      </c>
      <c r="R69" s="309">
        <f t="shared" ref="R69" si="116">S69+T69</f>
        <v>0</v>
      </c>
      <c r="S69" s="310">
        <v>0</v>
      </c>
      <c r="T69" s="310">
        <v>0</v>
      </c>
      <c r="U69" s="309">
        <f t="shared" ref="U69" si="117">V69+W69</f>
        <v>0</v>
      </c>
      <c r="V69" s="310">
        <v>0</v>
      </c>
      <c r="W69" s="310">
        <v>0</v>
      </c>
    </row>
    <row r="70" spans="1:23" s="308" customFormat="1" ht="14.25" hidden="1" customHeight="1">
      <c r="A70" s="910"/>
      <c r="B70" s="928"/>
      <c r="C70" s="986"/>
      <c r="D70" s="914"/>
      <c r="E70" s="988"/>
      <c r="F70" s="910"/>
      <c r="G70" s="307">
        <v>192315</v>
      </c>
      <c r="H70" s="307">
        <v>0</v>
      </c>
      <c r="I70" s="908" t="s">
        <v>2</v>
      </c>
      <c r="J70" s="984">
        <f t="shared" ref="J70:W70" si="118">J67+J69</f>
        <v>210027</v>
      </c>
      <c r="K70" s="984">
        <f t="shared" si="118"/>
        <v>168022</v>
      </c>
      <c r="L70" s="974">
        <f t="shared" si="118"/>
        <v>168022</v>
      </c>
      <c r="M70" s="974">
        <f t="shared" si="118"/>
        <v>0</v>
      </c>
      <c r="N70" s="984">
        <f t="shared" si="118"/>
        <v>42005</v>
      </c>
      <c r="O70" s="984">
        <f t="shared" si="118"/>
        <v>0</v>
      </c>
      <c r="P70" s="974">
        <f t="shared" si="118"/>
        <v>0</v>
      </c>
      <c r="Q70" s="974">
        <f t="shared" si="118"/>
        <v>0</v>
      </c>
      <c r="R70" s="984">
        <f t="shared" si="118"/>
        <v>42005</v>
      </c>
      <c r="S70" s="974">
        <f t="shared" si="118"/>
        <v>42005</v>
      </c>
      <c r="T70" s="974">
        <f t="shared" si="118"/>
        <v>0</v>
      </c>
      <c r="U70" s="984">
        <f t="shared" si="118"/>
        <v>0</v>
      </c>
      <c r="V70" s="974">
        <f t="shared" si="118"/>
        <v>0</v>
      </c>
      <c r="W70" s="974">
        <f t="shared" si="118"/>
        <v>0</v>
      </c>
    </row>
    <row r="71" spans="1:23" s="308" customFormat="1" ht="14.25" hidden="1" customHeight="1">
      <c r="A71" s="910"/>
      <c r="B71" s="929"/>
      <c r="C71" s="987"/>
      <c r="D71" s="914"/>
      <c r="E71" s="988"/>
      <c r="F71" s="910"/>
      <c r="G71" s="307">
        <v>0</v>
      </c>
      <c r="H71" s="307">
        <v>0</v>
      </c>
      <c r="I71" s="909"/>
      <c r="J71" s="984"/>
      <c r="K71" s="984"/>
      <c r="L71" s="974"/>
      <c r="M71" s="974"/>
      <c r="N71" s="984"/>
      <c r="O71" s="984"/>
      <c r="P71" s="974"/>
      <c r="Q71" s="974"/>
      <c r="R71" s="984"/>
      <c r="S71" s="974"/>
      <c r="T71" s="974"/>
      <c r="U71" s="984"/>
      <c r="V71" s="974"/>
      <c r="W71" s="974"/>
    </row>
    <row r="72" spans="1:23" s="308" customFormat="1" ht="14.25" hidden="1" customHeight="1">
      <c r="A72" s="910">
        <v>3</v>
      </c>
      <c r="B72" s="927" t="s">
        <v>886</v>
      </c>
      <c r="C72" s="985" t="s">
        <v>889</v>
      </c>
      <c r="D72" s="914" t="s">
        <v>411</v>
      </c>
      <c r="E72" s="988" t="s">
        <v>690</v>
      </c>
      <c r="F72" s="910" t="s">
        <v>888</v>
      </c>
      <c r="G72" s="307">
        <f>G73+G74+G75+G76</f>
        <v>961210</v>
      </c>
      <c r="H72" s="307">
        <f>H73+H74+H75+H76</f>
        <v>0</v>
      </c>
      <c r="I72" s="908" t="s">
        <v>0</v>
      </c>
      <c r="J72" s="984">
        <f t="shared" ref="J72" si="119">K72+N72</f>
        <v>223588</v>
      </c>
      <c r="K72" s="984">
        <f t="shared" ref="K72" si="120">L72+M72</f>
        <v>178870</v>
      </c>
      <c r="L72" s="974">
        <v>178870</v>
      </c>
      <c r="M72" s="974">
        <v>0</v>
      </c>
      <c r="N72" s="984">
        <f t="shared" ref="N72" si="121">O72+R72+U72</f>
        <v>44718</v>
      </c>
      <c r="O72" s="984">
        <f t="shared" ref="O72" si="122">P72+Q72</f>
        <v>0</v>
      </c>
      <c r="P72" s="974">
        <v>0</v>
      </c>
      <c r="Q72" s="974">
        <v>0</v>
      </c>
      <c r="R72" s="984">
        <f t="shared" ref="R72" si="123">S72+T72</f>
        <v>44718</v>
      </c>
      <c r="S72" s="974">
        <v>44718</v>
      </c>
      <c r="T72" s="974">
        <v>0</v>
      </c>
      <c r="U72" s="984">
        <f t="shared" ref="U72" si="124">V72+W72</f>
        <v>0</v>
      </c>
      <c r="V72" s="974">
        <v>0</v>
      </c>
      <c r="W72" s="974">
        <v>0</v>
      </c>
    </row>
    <row r="73" spans="1:23" s="308" customFormat="1" ht="14.25" hidden="1" customHeight="1">
      <c r="A73" s="910"/>
      <c r="B73" s="928"/>
      <c r="C73" s="986"/>
      <c r="D73" s="914"/>
      <c r="E73" s="988"/>
      <c r="F73" s="910"/>
      <c r="G73" s="307">
        <v>768967</v>
      </c>
      <c r="H73" s="307">
        <v>0</v>
      </c>
      <c r="I73" s="909"/>
      <c r="J73" s="984"/>
      <c r="K73" s="984"/>
      <c r="L73" s="974"/>
      <c r="M73" s="974"/>
      <c r="N73" s="984"/>
      <c r="O73" s="984"/>
      <c r="P73" s="974"/>
      <c r="Q73" s="974"/>
      <c r="R73" s="984"/>
      <c r="S73" s="974"/>
      <c r="T73" s="974"/>
      <c r="U73" s="984"/>
      <c r="V73" s="974"/>
      <c r="W73" s="974"/>
    </row>
    <row r="74" spans="1:23" s="308" customFormat="1" ht="14.25" hidden="1" customHeight="1">
      <c r="A74" s="910"/>
      <c r="B74" s="928"/>
      <c r="C74" s="986"/>
      <c r="D74" s="914"/>
      <c r="E74" s="988"/>
      <c r="F74" s="910"/>
      <c r="G74" s="307">
        <v>0</v>
      </c>
      <c r="H74" s="307">
        <v>0</v>
      </c>
      <c r="I74" s="286" t="s">
        <v>1</v>
      </c>
      <c r="J74" s="309">
        <f t="shared" ref="J74" si="125">K74+N74</f>
        <v>0</v>
      </c>
      <c r="K74" s="309">
        <f t="shared" ref="K74" si="126">L74+M74</f>
        <v>0</v>
      </c>
      <c r="L74" s="310">
        <v>0</v>
      </c>
      <c r="M74" s="310">
        <v>0</v>
      </c>
      <c r="N74" s="309">
        <f t="shared" ref="N74" si="127">O74+R74+U74</f>
        <v>0</v>
      </c>
      <c r="O74" s="309">
        <f t="shared" ref="O74" si="128">P74+Q74</f>
        <v>0</v>
      </c>
      <c r="P74" s="310">
        <v>0</v>
      </c>
      <c r="Q74" s="310">
        <v>0</v>
      </c>
      <c r="R74" s="309">
        <f t="shared" ref="R74" si="129">S74+T74</f>
        <v>0</v>
      </c>
      <c r="S74" s="310">
        <v>0</v>
      </c>
      <c r="T74" s="310">
        <v>0</v>
      </c>
      <c r="U74" s="309">
        <f t="shared" ref="U74" si="130">V74+W74</f>
        <v>0</v>
      </c>
      <c r="V74" s="310">
        <v>0</v>
      </c>
      <c r="W74" s="310">
        <v>0</v>
      </c>
    </row>
    <row r="75" spans="1:23" s="308" customFormat="1" ht="14.25" hidden="1" customHeight="1">
      <c r="A75" s="910"/>
      <c r="B75" s="928"/>
      <c r="C75" s="986"/>
      <c r="D75" s="914"/>
      <c r="E75" s="988"/>
      <c r="F75" s="910"/>
      <c r="G75" s="307">
        <v>192243</v>
      </c>
      <c r="H75" s="307">
        <v>0</v>
      </c>
      <c r="I75" s="908" t="s">
        <v>2</v>
      </c>
      <c r="J75" s="984">
        <f t="shared" ref="J75:W75" si="131">J72+J74</f>
        <v>223588</v>
      </c>
      <c r="K75" s="984">
        <f t="shared" si="131"/>
        <v>178870</v>
      </c>
      <c r="L75" s="974">
        <f t="shared" si="131"/>
        <v>178870</v>
      </c>
      <c r="M75" s="974">
        <f t="shared" si="131"/>
        <v>0</v>
      </c>
      <c r="N75" s="984">
        <f t="shared" si="131"/>
        <v>44718</v>
      </c>
      <c r="O75" s="984">
        <f t="shared" si="131"/>
        <v>0</v>
      </c>
      <c r="P75" s="974">
        <f t="shared" si="131"/>
        <v>0</v>
      </c>
      <c r="Q75" s="974">
        <f t="shared" si="131"/>
        <v>0</v>
      </c>
      <c r="R75" s="984">
        <f t="shared" si="131"/>
        <v>44718</v>
      </c>
      <c r="S75" s="974">
        <f t="shared" si="131"/>
        <v>44718</v>
      </c>
      <c r="T75" s="974">
        <f t="shared" si="131"/>
        <v>0</v>
      </c>
      <c r="U75" s="984">
        <f t="shared" si="131"/>
        <v>0</v>
      </c>
      <c r="V75" s="974">
        <f t="shared" si="131"/>
        <v>0</v>
      </c>
      <c r="W75" s="974">
        <f t="shared" si="131"/>
        <v>0</v>
      </c>
    </row>
    <row r="76" spans="1:23" s="308" customFormat="1" ht="14.25" hidden="1" customHeight="1">
      <c r="A76" s="910"/>
      <c r="B76" s="929"/>
      <c r="C76" s="987"/>
      <c r="D76" s="914"/>
      <c r="E76" s="988"/>
      <c r="F76" s="910"/>
      <c r="G76" s="307">
        <v>0</v>
      </c>
      <c r="H76" s="307">
        <v>0</v>
      </c>
      <c r="I76" s="909"/>
      <c r="J76" s="984"/>
      <c r="K76" s="984"/>
      <c r="L76" s="974"/>
      <c r="M76" s="974"/>
      <c r="N76" s="984"/>
      <c r="O76" s="984"/>
      <c r="P76" s="974"/>
      <c r="Q76" s="974"/>
      <c r="R76" s="984"/>
      <c r="S76" s="974"/>
      <c r="T76" s="974"/>
      <c r="U76" s="984"/>
      <c r="V76" s="974"/>
      <c r="W76" s="974"/>
    </row>
    <row r="77" spans="1:23" s="308" customFormat="1" ht="14.25" hidden="1" customHeight="1">
      <c r="A77" s="910">
        <v>4</v>
      </c>
      <c r="B77" s="927" t="s">
        <v>886</v>
      </c>
      <c r="C77" s="985" t="s">
        <v>890</v>
      </c>
      <c r="D77" s="914" t="s">
        <v>411</v>
      </c>
      <c r="E77" s="988" t="s">
        <v>891</v>
      </c>
      <c r="F77" s="910" t="s">
        <v>888</v>
      </c>
      <c r="G77" s="307">
        <f>G78+G79+G80+G81</f>
        <v>862356</v>
      </c>
      <c r="H77" s="307">
        <f>H78+H79+H80+H81</f>
        <v>0</v>
      </c>
      <c r="I77" s="908" t="s">
        <v>0</v>
      </c>
      <c r="J77" s="984">
        <f t="shared" ref="J77" si="132">K77+N77</f>
        <v>190333</v>
      </c>
      <c r="K77" s="984">
        <f t="shared" ref="K77" si="133">L77+M77</f>
        <v>152266</v>
      </c>
      <c r="L77" s="974">
        <v>152266</v>
      </c>
      <c r="M77" s="974">
        <v>0</v>
      </c>
      <c r="N77" s="984">
        <f t="shared" ref="N77" si="134">O77+R77+U77</f>
        <v>38067</v>
      </c>
      <c r="O77" s="984">
        <f t="shared" ref="O77" si="135">P77+Q77</f>
        <v>0</v>
      </c>
      <c r="P77" s="974">
        <v>0</v>
      </c>
      <c r="Q77" s="974">
        <v>0</v>
      </c>
      <c r="R77" s="984">
        <f t="shared" ref="R77" si="136">S77+T77</f>
        <v>38067</v>
      </c>
      <c r="S77" s="974">
        <v>38067</v>
      </c>
      <c r="T77" s="974">
        <v>0</v>
      </c>
      <c r="U77" s="984">
        <f t="shared" ref="U77" si="137">V77+W77</f>
        <v>0</v>
      </c>
      <c r="V77" s="974">
        <v>0</v>
      </c>
      <c r="W77" s="974">
        <v>0</v>
      </c>
    </row>
    <row r="78" spans="1:23" s="308" customFormat="1" ht="14.25" hidden="1" customHeight="1">
      <c r="A78" s="910"/>
      <c r="B78" s="928"/>
      <c r="C78" s="986"/>
      <c r="D78" s="914"/>
      <c r="E78" s="988"/>
      <c r="F78" s="910"/>
      <c r="G78" s="307">
        <v>689884</v>
      </c>
      <c r="H78" s="307">
        <v>0</v>
      </c>
      <c r="I78" s="909"/>
      <c r="J78" s="984"/>
      <c r="K78" s="984"/>
      <c r="L78" s="974"/>
      <c r="M78" s="974"/>
      <c r="N78" s="984"/>
      <c r="O78" s="984"/>
      <c r="P78" s="974"/>
      <c r="Q78" s="974"/>
      <c r="R78" s="984"/>
      <c r="S78" s="974"/>
      <c r="T78" s="974"/>
      <c r="U78" s="984"/>
      <c r="V78" s="974"/>
      <c r="W78" s="974"/>
    </row>
    <row r="79" spans="1:23" s="308" customFormat="1" ht="14.25" hidden="1" customHeight="1">
      <c r="A79" s="910"/>
      <c r="B79" s="928"/>
      <c r="C79" s="986"/>
      <c r="D79" s="914"/>
      <c r="E79" s="988"/>
      <c r="F79" s="910"/>
      <c r="G79" s="307">
        <v>0</v>
      </c>
      <c r="H79" s="307">
        <v>0</v>
      </c>
      <c r="I79" s="286" t="s">
        <v>1</v>
      </c>
      <c r="J79" s="309">
        <f t="shared" ref="J79" si="138">K79+N79</f>
        <v>0</v>
      </c>
      <c r="K79" s="309">
        <f t="shared" ref="K79" si="139">L79+M79</f>
        <v>0</v>
      </c>
      <c r="L79" s="310">
        <v>0</v>
      </c>
      <c r="M79" s="310">
        <v>0</v>
      </c>
      <c r="N79" s="309">
        <f t="shared" ref="N79" si="140">O79+R79+U79</f>
        <v>0</v>
      </c>
      <c r="O79" s="309">
        <f t="shared" ref="O79" si="141">P79+Q79</f>
        <v>0</v>
      </c>
      <c r="P79" s="310">
        <v>0</v>
      </c>
      <c r="Q79" s="310">
        <v>0</v>
      </c>
      <c r="R79" s="309">
        <f t="shared" ref="R79" si="142">S79+T79</f>
        <v>0</v>
      </c>
      <c r="S79" s="310">
        <v>0</v>
      </c>
      <c r="T79" s="310">
        <v>0</v>
      </c>
      <c r="U79" s="309">
        <f t="shared" ref="U79" si="143">V79+W79</f>
        <v>0</v>
      </c>
      <c r="V79" s="310">
        <v>0</v>
      </c>
      <c r="W79" s="310">
        <v>0</v>
      </c>
    </row>
    <row r="80" spans="1:23" s="308" customFormat="1" ht="14.25" hidden="1" customHeight="1">
      <c r="A80" s="910"/>
      <c r="B80" s="928"/>
      <c r="C80" s="986"/>
      <c r="D80" s="914"/>
      <c r="E80" s="988"/>
      <c r="F80" s="910"/>
      <c r="G80" s="307">
        <v>172472</v>
      </c>
      <c r="H80" s="307">
        <v>0</v>
      </c>
      <c r="I80" s="908" t="s">
        <v>2</v>
      </c>
      <c r="J80" s="984">
        <f t="shared" ref="J80:W80" si="144">J77+J79</f>
        <v>190333</v>
      </c>
      <c r="K80" s="984">
        <f t="shared" si="144"/>
        <v>152266</v>
      </c>
      <c r="L80" s="974">
        <f t="shared" si="144"/>
        <v>152266</v>
      </c>
      <c r="M80" s="974">
        <f t="shared" si="144"/>
        <v>0</v>
      </c>
      <c r="N80" s="984">
        <f t="shared" si="144"/>
        <v>38067</v>
      </c>
      <c r="O80" s="984">
        <f t="shared" si="144"/>
        <v>0</v>
      </c>
      <c r="P80" s="974">
        <f t="shared" si="144"/>
        <v>0</v>
      </c>
      <c r="Q80" s="974">
        <f t="shared" si="144"/>
        <v>0</v>
      </c>
      <c r="R80" s="984">
        <f t="shared" si="144"/>
        <v>38067</v>
      </c>
      <c r="S80" s="974">
        <f t="shared" si="144"/>
        <v>38067</v>
      </c>
      <c r="T80" s="974">
        <f t="shared" si="144"/>
        <v>0</v>
      </c>
      <c r="U80" s="984">
        <f t="shared" si="144"/>
        <v>0</v>
      </c>
      <c r="V80" s="974">
        <f t="shared" si="144"/>
        <v>0</v>
      </c>
      <c r="W80" s="974">
        <f t="shared" si="144"/>
        <v>0</v>
      </c>
    </row>
    <row r="81" spans="1:23" s="308" customFormat="1" ht="14.25" hidden="1" customHeight="1">
      <c r="A81" s="910"/>
      <c r="B81" s="929"/>
      <c r="C81" s="987"/>
      <c r="D81" s="914"/>
      <c r="E81" s="988"/>
      <c r="F81" s="910"/>
      <c r="G81" s="307">
        <v>0</v>
      </c>
      <c r="H81" s="307">
        <v>0</v>
      </c>
      <c r="I81" s="909"/>
      <c r="J81" s="984"/>
      <c r="K81" s="984"/>
      <c r="L81" s="974"/>
      <c r="M81" s="974"/>
      <c r="N81" s="984"/>
      <c r="O81" s="984"/>
      <c r="P81" s="974"/>
      <c r="Q81" s="974"/>
      <c r="R81" s="984"/>
      <c r="S81" s="974"/>
      <c r="T81" s="974"/>
      <c r="U81" s="984"/>
      <c r="V81" s="974"/>
      <c r="W81" s="974"/>
    </row>
    <row r="82" spans="1:23" s="308" customFormat="1" ht="14.25" hidden="1" customHeight="1">
      <c r="A82" s="910">
        <v>5</v>
      </c>
      <c r="B82" s="927" t="s">
        <v>886</v>
      </c>
      <c r="C82" s="985" t="s">
        <v>892</v>
      </c>
      <c r="D82" s="914" t="s">
        <v>411</v>
      </c>
      <c r="E82" s="988" t="s">
        <v>893</v>
      </c>
      <c r="F82" s="910" t="s">
        <v>888</v>
      </c>
      <c r="G82" s="307">
        <f>G83+G84+G85+G86</f>
        <v>835351</v>
      </c>
      <c r="H82" s="307">
        <f>H83+H84+H85+H86</f>
        <v>0</v>
      </c>
      <c r="I82" s="908" t="s">
        <v>0</v>
      </c>
      <c r="J82" s="984">
        <f t="shared" ref="J82" si="145">K82+N82</f>
        <v>179942</v>
      </c>
      <c r="K82" s="984">
        <f t="shared" ref="K82" si="146">L82+M82</f>
        <v>143954</v>
      </c>
      <c r="L82" s="974">
        <v>143954</v>
      </c>
      <c r="M82" s="974">
        <v>0</v>
      </c>
      <c r="N82" s="984">
        <f t="shared" ref="N82" si="147">O82+R82+U82</f>
        <v>35988</v>
      </c>
      <c r="O82" s="984">
        <f t="shared" ref="O82" si="148">P82+Q82</f>
        <v>0</v>
      </c>
      <c r="P82" s="974">
        <v>0</v>
      </c>
      <c r="Q82" s="974">
        <v>0</v>
      </c>
      <c r="R82" s="984">
        <f t="shared" ref="R82" si="149">S82+T82</f>
        <v>35988</v>
      </c>
      <c r="S82" s="974">
        <v>35988</v>
      </c>
      <c r="T82" s="974">
        <v>0</v>
      </c>
      <c r="U82" s="984">
        <f t="shared" ref="U82" si="150">V82+W82</f>
        <v>0</v>
      </c>
      <c r="V82" s="974">
        <v>0</v>
      </c>
      <c r="W82" s="974">
        <v>0</v>
      </c>
    </row>
    <row r="83" spans="1:23" s="308" customFormat="1" ht="14.25" hidden="1" customHeight="1">
      <c r="A83" s="910"/>
      <c r="B83" s="928"/>
      <c r="C83" s="986"/>
      <c r="D83" s="914"/>
      <c r="E83" s="988"/>
      <c r="F83" s="910"/>
      <c r="G83" s="307">
        <v>668281</v>
      </c>
      <c r="H83" s="307">
        <v>0</v>
      </c>
      <c r="I83" s="909"/>
      <c r="J83" s="984"/>
      <c r="K83" s="984"/>
      <c r="L83" s="974"/>
      <c r="M83" s="974"/>
      <c r="N83" s="984"/>
      <c r="O83" s="984"/>
      <c r="P83" s="974"/>
      <c r="Q83" s="974"/>
      <c r="R83" s="984"/>
      <c r="S83" s="974"/>
      <c r="T83" s="974"/>
      <c r="U83" s="984"/>
      <c r="V83" s="974"/>
      <c r="W83" s="974"/>
    </row>
    <row r="84" spans="1:23" s="308" customFormat="1" ht="14.25" hidden="1" customHeight="1">
      <c r="A84" s="910"/>
      <c r="B84" s="928"/>
      <c r="C84" s="986"/>
      <c r="D84" s="914"/>
      <c r="E84" s="988"/>
      <c r="F84" s="910"/>
      <c r="G84" s="307">
        <v>0</v>
      </c>
      <c r="H84" s="307">
        <v>0</v>
      </c>
      <c r="I84" s="286" t="s">
        <v>1</v>
      </c>
      <c r="J84" s="309">
        <f t="shared" ref="J84" si="151">K84+N84</f>
        <v>0</v>
      </c>
      <c r="K84" s="309">
        <f t="shared" ref="K84" si="152">L84+M84</f>
        <v>0</v>
      </c>
      <c r="L84" s="310">
        <v>0</v>
      </c>
      <c r="M84" s="310">
        <v>0</v>
      </c>
      <c r="N84" s="309">
        <f t="shared" ref="N84" si="153">O84+R84+U84</f>
        <v>0</v>
      </c>
      <c r="O84" s="309">
        <f t="shared" ref="O84" si="154">P84+Q84</f>
        <v>0</v>
      </c>
      <c r="P84" s="310">
        <v>0</v>
      </c>
      <c r="Q84" s="310">
        <v>0</v>
      </c>
      <c r="R84" s="309">
        <f t="shared" ref="R84" si="155">S84+T84</f>
        <v>0</v>
      </c>
      <c r="S84" s="310">
        <v>0</v>
      </c>
      <c r="T84" s="310">
        <v>0</v>
      </c>
      <c r="U84" s="309">
        <f t="shared" ref="U84" si="156">V84+W84</f>
        <v>0</v>
      </c>
      <c r="V84" s="310">
        <v>0</v>
      </c>
      <c r="W84" s="310">
        <v>0</v>
      </c>
    </row>
    <row r="85" spans="1:23" s="308" customFormat="1" ht="14.25" hidden="1" customHeight="1">
      <c r="A85" s="910"/>
      <c r="B85" s="928"/>
      <c r="C85" s="986"/>
      <c r="D85" s="914"/>
      <c r="E85" s="988"/>
      <c r="F85" s="910"/>
      <c r="G85" s="307">
        <v>167070</v>
      </c>
      <c r="H85" s="307">
        <v>0</v>
      </c>
      <c r="I85" s="908" t="s">
        <v>2</v>
      </c>
      <c r="J85" s="984">
        <f t="shared" ref="J85:W85" si="157">J82+J84</f>
        <v>179942</v>
      </c>
      <c r="K85" s="984">
        <f t="shared" si="157"/>
        <v>143954</v>
      </c>
      <c r="L85" s="974">
        <f t="shared" si="157"/>
        <v>143954</v>
      </c>
      <c r="M85" s="974">
        <f t="shared" si="157"/>
        <v>0</v>
      </c>
      <c r="N85" s="984">
        <f t="shared" si="157"/>
        <v>35988</v>
      </c>
      <c r="O85" s="984">
        <f t="shared" si="157"/>
        <v>0</v>
      </c>
      <c r="P85" s="974">
        <f t="shared" si="157"/>
        <v>0</v>
      </c>
      <c r="Q85" s="974">
        <f t="shared" si="157"/>
        <v>0</v>
      </c>
      <c r="R85" s="984">
        <f t="shared" si="157"/>
        <v>35988</v>
      </c>
      <c r="S85" s="974">
        <f t="shared" si="157"/>
        <v>35988</v>
      </c>
      <c r="T85" s="974">
        <f t="shared" si="157"/>
        <v>0</v>
      </c>
      <c r="U85" s="984">
        <f t="shared" si="157"/>
        <v>0</v>
      </c>
      <c r="V85" s="974">
        <f t="shared" si="157"/>
        <v>0</v>
      </c>
      <c r="W85" s="974">
        <f t="shared" si="157"/>
        <v>0</v>
      </c>
    </row>
    <row r="86" spans="1:23" s="308" customFormat="1" ht="14.25" hidden="1" customHeight="1">
      <c r="A86" s="910"/>
      <c r="B86" s="929"/>
      <c r="C86" s="987"/>
      <c r="D86" s="914"/>
      <c r="E86" s="988"/>
      <c r="F86" s="910"/>
      <c r="G86" s="307">
        <v>0</v>
      </c>
      <c r="H86" s="307">
        <v>0</v>
      </c>
      <c r="I86" s="909"/>
      <c r="J86" s="984"/>
      <c r="K86" s="984"/>
      <c r="L86" s="974"/>
      <c r="M86" s="974"/>
      <c r="N86" s="984"/>
      <c r="O86" s="984"/>
      <c r="P86" s="974"/>
      <c r="Q86" s="974"/>
      <c r="R86" s="984"/>
      <c r="S86" s="974"/>
      <c r="T86" s="974"/>
      <c r="U86" s="984"/>
      <c r="V86" s="974"/>
      <c r="W86" s="974"/>
    </row>
    <row r="87" spans="1:23" s="308" customFormat="1" ht="14.25" customHeight="1">
      <c r="A87" s="910">
        <v>4</v>
      </c>
      <c r="B87" s="927" t="s">
        <v>894</v>
      </c>
      <c r="C87" s="985" t="s">
        <v>895</v>
      </c>
      <c r="D87" s="914" t="s">
        <v>411</v>
      </c>
      <c r="E87" s="988" t="s">
        <v>690</v>
      </c>
      <c r="F87" s="910" t="s">
        <v>780</v>
      </c>
      <c r="G87" s="307">
        <f>G88+G89+G90+G91</f>
        <v>1028293</v>
      </c>
      <c r="H87" s="307">
        <f>H88+H89+H90+H91</f>
        <v>0</v>
      </c>
      <c r="I87" s="908" t="s">
        <v>0</v>
      </c>
      <c r="J87" s="984">
        <f t="shared" ref="J87" si="158">K87+N87</f>
        <v>0</v>
      </c>
      <c r="K87" s="984">
        <f t="shared" ref="K87" si="159">L87+M87</f>
        <v>0</v>
      </c>
      <c r="L87" s="974">
        <v>0</v>
      </c>
      <c r="M87" s="974">
        <v>0</v>
      </c>
      <c r="N87" s="984">
        <f t="shared" ref="N87" si="160">O87+R87+U87</f>
        <v>0</v>
      </c>
      <c r="O87" s="984">
        <f t="shared" ref="O87" si="161">P87+Q87</f>
        <v>0</v>
      </c>
      <c r="P87" s="974">
        <v>0</v>
      </c>
      <c r="Q87" s="974">
        <v>0</v>
      </c>
      <c r="R87" s="984">
        <f t="shared" ref="R87" si="162">S87+T87</f>
        <v>0</v>
      </c>
      <c r="S87" s="974">
        <v>0</v>
      </c>
      <c r="T87" s="974">
        <v>0</v>
      </c>
      <c r="U87" s="984">
        <f t="shared" ref="U87" si="163">V87+W87</f>
        <v>0</v>
      </c>
      <c r="V87" s="974">
        <v>0</v>
      </c>
      <c r="W87" s="974">
        <v>0</v>
      </c>
    </row>
    <row r="88" spans="1:23" s="308" customFormat="1" ht="14.25" customHeight="1">
      <c r="A88" s="910"/>
      <c r="B88" s="928"/>
      <c r="C88" s="986"/>
      <c r="D88" s="914"/>
      <c r="E88" s="988"/>
      <c r="F88" s="910"/>
      <c r="G88" s="307">
        <v>822634</v>
      </c>
      <c r="H88" s="307">
        <v>0</v>
      </c>
      <c r="I88" s="909"/>
      <c r="J88" s="984"/>
      <c r="K88" s="984"/>
      <c r="L88" s="974"/>
      <c r="M88" s="974"/>
      <c r="N88" s="984"/>
      <c r="O88" s="984"/>
      <c r="P88" s="974"/>
      <c r="Q88" s="974"/>
      <c r="R88" s="984"/>
      <c r="S88" s="974"/>
      <c r="T88" s="974"/>
      <c r="U88" s="984"/>
      <c r="V88" s="974"/>
      <c r="W88" s="974"/>
    </row>
    <row r="89" spans="1:23" s="308" customFormat="1" ht="14.25" customHeight="1">
      <c r="A89" s="910"/>
      <c r="B89" s="928"/>
      <c r="C89" s="986"/>
      <c r="D89" s="914"/>
      <c r="E89" s="988"/>
      <c r="F89" s="910"/>
      <c r="G89" s="307">
        <v>0</v>
      </c>
      <c r="H89" s="307">
        <v>0</v>
      </c>
      <c r="I89" s="286" t="s">
        <v>1</v>
      </c>
      <c r="J89" s="309">
        <f t="shared" ref="J89" si="164">K89+N89</f>
        <v>147182</v>
      </c>
      <c r="K89" s="309">
        <f t="shared" ref="K89" si="165">L89+M89</f>
        <v>117746</v>
      </c>
      <c r="L89" s="310">
        <v>117746</v>
      </c>
      <c r="M89" s="310">
        <v>0</v>
      </c>
      <c r="N89" s="309">
        <f t="shared" ref="N89" si="166">O89+R89+U89</f>
        <v>29436</v>
      </c>
      <c r="O89" s="309">
        <f t="shared" ref="O89" si="167">P89+Q89</f>
        <v>0</v>
      </c>
      <c r="P89" s="310">
        <v>0</v>
      </c>
      <c r="Q89" s="310">
        <v>0</v>
      </c>
      <c r="R89" s="309">
        <f t="shared" ref="R89" si="168">S89+T89</f>
        <v>29436</v>
      </c>
      <c r="S89" s="310">
        <v>29436</v>
      </c>
      <c r="T89" s="310">
        <v>0</v>
      </c>
      <c r="U89" s="309">
        <f t="shared" ref="U89" si="169">V89+W89</f>
        <v>0</v>
      </c>
      <c r="V89" s="310">
        <v>0</v>
      </c>
      <c r="W89" s="310">
        <v>0</v>
      </c>
    </row>
    <row r="90" spans="1:23" s="308" customFormat="1" ht="14.25" customHeight="1">
      <c r="A90" s="910"/>
      <c r="B90" s="928"/>
      <c r="C90" s="986"/>
      <c r="D90" s="914"/>
      <c r="E90" s="988"/>
      <c r="F90" s="910"/>
      <c r="G90" s="307">
        <v>205659</v>
      </c>
      <c r="H90" s="307">
        <v>0</v>
      </c>
      <c r="I90" s="908" t="s">
        <v>2</v>
      </c>
      <c r="J90" s="984">
        <f t="shared" ref="J90:W90" si="170">J87+J89</f>
        <v>147182</v>
      </c>
      <c r="K90" s="984">
        <f t="shared" si="170"/>
        <v>117746</v>
      </c>
      <c r="L90" s="974">
        <f t="shared" si="170"/>
        <v>117746</v>
      </c>
      <c r="M90" s="974">
        <f t="shared" si="170"/>
        <v>0</v>
      </c>
      <c r="N90" s="984">
        <f t="shared" si="170"/>
        <v>29436</v>
      </c>
      <c r="O90" s="984">
        <f t="shared" si="170"/>
        <v>0</v>
      </c>
      <c r="P90" s="974">
        <f t="shared" si="170"/>
        <v>0</v>
      </c>
      <c r="Q90" s="974">
        <f t="shared" si="170"/>
        <v>0</v>
      </c>
      <c r="R90" s="984">
        <f t="shared" si="170"/>
        <v>29436</v>
      </c>
      <c r="S90" s="974">
        <f t="shared" si="170"/>
        <v>29436</v>
      </c>
      <c r="T90" s="974">
        <f t="shared" si="170"/>
        <v>0</v>
      </c>
      <c r="U90" s="984">
        <f t="shared" si="170"/>
        <v>0</v>
      </c>
      <c r="V90" s="974">
        <f t="shared" si="170"/>
        <v>0</v>
      </c>
      <c r="W90" s="974">
        <f t="shared" si="170"/>
        <v>0</v>
      </c>
    </row>
    <row r="91" spans="1:23" s="308" customFormat="1" ht="14.25" customHeight="1">
      <c r="A91" s="910"/>
      <c r="B91" s="929"/>
      <c r="C91" s="987"/>
      <c r="D91" s="914"/>
      <c r="E91" s="988"/>
      <c r="F91" s="910"/>
      <c r="G91" s="307">
        <v>0</v>
      </c>
      <c r="H91" s="307">
        <v>0</v>
      </c>
      <c r="I91" s="909"/>
      <c r="J91" s="984"/>
      <c r="K91" s="984"/>
      <c r="L91" s="974"/>
      <c r="M91" s="974"/>
      <c r="N91" s="984"/>
      <c r="O91" s="984"/>
      <c r="P91" s="974"/>
      <c r="Q91" s="974"/>
      <c r="R91" s="984"/>
      <c r="S91" s="974"/>
      <c r="T91" s="974"/>
      <c r="U91" s="984"/>
      <c r="V91" s="974"/>
      <c r="W91" s="974"/>
    </row>
    <row r="92" spans="1:23" s="317" customFormat="1">
      <c r="A92" s="963" t="s">
        <v>650</v>
      </c>
      <c r="B92" s="964"/>
      <c r="C92" s="964"/>
      <c r="D92" s="964"/>
      <c r="E92" s="964"/>
      <c r="F92" s="965"/>
      <c r="G92" s="315">
        <f>G17+G27+G32+G37+G42+G47+G52+G57+G62+G67+G72+G77+G82+G87+G22</f>
        <v>102642617</v>
      </c>
      <c r="H92" s="315">
        <f>H17+H27+H32+H37+H42+H47+H52+H57+H62+H67+H72+H77+H82+H87+H22</f>
        <v>48170861</v>
      </c>
      <c r="I92" s="898" t="s">
        <v>0</v>
      </c>
      <c r="J92" s="960">
        <f>J17+J27+J32+J37+J42+J47+J52+J57+J62+J67+J72+J77+J82+J22+J87</f>
        <v>17263190</v>
      </c>
      <c r="K92" s="960">
        <f t="shared" ref="K92:W92" si="171">K17+K27+K32+K37+K42+K47+K52+K57+K62+K67+K72+K77+K82+K22+K87</f>
        <v>12825497</v>
      </c>
      <c r="L92" s="960">
        <f t="shared" si="171"/>
        <v>12825497</v>
      </c>
      <c r="M92" s="960">
        <f t="shared" si="171"/>
        <v>0</v>
      </c>
      <c r="N92" s="960">
        <f t="shared" si="171"/>
        <v>4437693</v>
      </c>
      <c r="O92" s="960">
        <f t="shared" si="171"/>
        <v>4090150</v>
      </c>
      <c r="P92" s="960">
        <f t="shared" si="171"/>
        <v>4090150</v>
      </c>
      <c r="Q92" s="960">
        <f t="shared" si="171"/>
        <v>0</v>
      </c>
      <c r="R92" s="960">
        <f t="shared" si="171"/>
        <v>347543</v>
      </c>
      <c r="S92" s="960">
        <f t="shared" si="171"/>
        <v>347543</v>
      </c>
      <c r="T92" s="960">
        <f t="shared" si="171"/>
        <v>0</v>
      </c>
      <c r="U92" s="960">
        <f t="shared" si="171"/>
        <v>0</v>
      </c>
      <c r="V92" s="960">
        <f t="shared" si="171"/>
        <v>0</v>
      </c>
      <c r="W92" s="960">
        <f t="shared" si="171"/>
        <v>0</v>
      </c>
    </row>
    <row r="93" spans="1:23" s="317" customFormat="1">
      <c r="A93" s="966"/>
      <c r="B93" s="967"/>
      <c r="C93" s="967"/>
      <c r="D93" s="967"/>
      <c r="E93" s="967"/>
      <c r="F93" s="968"/>
      <c r="G93" s="315">
        <f t="shared" ref="G93:H96" si="172">G18+G28+G33+G38+G43+G48+G53+G58+G63+G68+G73+G78+G83+G88+G23</f>
        <v>73989883</v>
      </c>
      <c r="H93" s="315">
        <f t="shared" si="172"/>
        <v>30860049</v>
      </c>
      <c r="I93" s="899"/>
      <c r="J93" s="960"/>
      <c r="K93" s="960"/>
      <c r="L93" s="960"/>
      <c r="M93" s="960"/>
      <c r="N93" s="960"/>
      <c r="O93" s="960"/>
      <c r="P93" s="960"/>
      <c r="Q93" s="960"/>
      <c r="R93" s="960"/>
      <c r="S93" s="960"/>
      <c r="T93" s="960"/>
      <c r="U93" s="960"/>
      <c r="V93" s="960"/>
      <c r="W93" s="960"/>
    </row>
    <row r="94" spans="1:23" s="317" customFormat="1">
      <c r="A94" s="966"/>
      <c r="B94" s="967"/>
      <c r="C94" s="967"/>
      <c r="D94" s="967"/>
      <c r="E94" s="967"/>
      <c r="F94" s="968"/>
      <c r="G94" s="315">
        <f t="shared" si="172"/>
        <v>27226263</v>
      </c>
      <c r="H94" s="315">
        <f t="shared" si="172"/>
        <v>17216275</v>
      </c>
      <c r="I94" s="292" t="s">
        <v>1</v>
      </c>
      <c r="J94" s="316">
        <f>J19+J29+J34+J39+J44+J49+J54+J59+J64+J69+J74+J79+J84+J24+J89</f>
        <v>557077</v>
      </c>
      <c r="K94" s="316">
        <f t="shared" ref="K94:W94" si="173">K19+K29+K34+K39+K44+K49+K54+K59+K64+K69+K74+K79+K84+K24+K89</f>
        <v>444473</v>
      </c>
      <c r="L94" s="316">
        <f t="shared" si="173"/>
        <v>444473</v>
      </c>
      <c r="M94" s="316">
        <f t="shared" si="173"/>
        <v>0</v>
      </c>
      <c r="N94" s="316">
        <f t="shared" si="173"/>
        <v>112604</v>
      </c>
      <c r="O94" s="316">
        <f t="shared" si="173"/>
        <v>83168</v>
      </c>
      <c r="P94" s="316">
        <f t="shared" si="173"/>
        <v>83168</v>
      </c>
      <c r="Q94" s="316">
        <f t="shared" si="173"/>
        <v>0</v>
      </c>
      <c r="R94" s="316">
        <f t="shared" si="173"/>
        <v>29436</v>
      </c>
      <c r="S94" s="316">
        <f t="shared" si="173"/>
        <v>29436</v>
      </c>
      <c r="T94" s="316">
        <f t="shared" si="173"/>
        <v>0</v>
      </c>
      <c r="U94" s="316">
        <f t="shared" si="173"/>
        <v>0</v>
      </c>
      <c r="V94" s="316">
        <f t="shared" si="173"/>
        <v>0</v>
      </c>
      <c r="W94" s="316">
        <f t="shared" si="173"/>
        <v>0</v>
      </c>
    </row>
    <row r="95" spans="1:23" s="317" customFormat="1">
      <c r="A95" s="966"/>
      <c r="B95" s="967"/>
      <c r="C95" s="967"/>
      <c r="D95" s="967"/>
      <c r="E95" s="967"/>
      <c r="F95" s="968"/>
      <c r="G95" s="315">
        <f t="shared" si="172"/>
        <v>1426471</v>
      </c>
      <c r="H95" s="315">
        <f t="shared" si="172"/>
        <v>94537</v>
      </c>
      <c r="I95" s="898" t="s">
        <v>2</v>
      </c>
      <c r="J95" s="960">
        <f t="shared" ref="J95:W95" si="174">J92+J94</f>
        <v>17820267</v>
      </c>
      <c r="K95" s="960">
        <f t="shared" si="174"/>
        <v>13269970</v>
      </c>
      <c r="L95" s="960">
        <f t="shared" si="174"/>
        <v>13269970</v>
      </c>
      <c r="M95" s="960">
        <f t="shared" si="174"/>
        <v>0</v>
      </c>
      <c r="N95" s="960">
        <f t="shared" si="174"/>
        <v>4550297</v>
      </c>
      <c r="O95" s="960">
        <f t="shared" si="174"/>
        <v>4173318</v>
      </c>
      <c r="P95" s="960">
        <f t="shared" si="174"/>
        <v>4173318</v>
      </c>
      <c r="Q95" s="960">
        <f t="shared" si="174"/>
        <v>0</v>
      </c>
      <c r="R95" s="960">
        <f t="shared" si="174"/>
        <v>376979</v>
      </c>
      <c r="S95" s="960">
        <f t="shared" si="174"/>
        <v>376979</v>
      </c>
      <c r="T95" s="960">
        <f t="shared" si="174"/>
        <v>0</v>
      </c>
      <c r="U95" s="960">
        <f t="shared" si="174"/>
        <v>0</v>
      </c>
      <c r="V95" s="960">
        <f t="shared" si="174"/>
        <v>0</v>
      </c>
      <c r="W95" s="960">
        <f t="shared" si="174"/>
        <v>0</v>
      </c>
    </row>
    <row r="96" spans="1:23" s="317" customFormat="1">
      <c r="A96" s="969"/>
      <c r="B96" s="970"/>
      <c r="C96" s="970"/>
      <c r="D96" s="970"/>
      <c r="E96" s="970"/>
      <c r="F96" s="971"/>
      <c r="G96" s="315">
        <f t="shared" si="172"/>
        <v>0</v>
      </c>
      <c r="H96" s="315">
        <f t="shared" si="172"/>
        <v>0</v>
      </c>
      <c r="I96" s="899"/>
      <c r="J96" s="960"/>
      <c r="K96" s="960"/>
      <c r="L96" s="960"/>
      <c r="M96" s="960"/>
      <c r="N96" s="960"/>
      <c r="O96" s="960"/>
      <c r="P96" s="960"/>
      <c r="Q96" s="960"/>
      <c r="R96" s="960"/>
      <c r="S96" s="960"/>
      <c r="T96" s="960"/>
      <c r="U96" s="960"/>
      <c r="V96" s="960"/>
      <c r="W96" s="960"/>
    </row>
    <row r="98" spans="1:3">
      <c r="A98" s="319" t="s">
        <v>99</v>
      </c>
      <c r="B98" s="302"/>
      <c r="C98" s="302"/>
    </row>
    <row r="99" spans="1:3" s="320" customFormat="1" ht="12.75">
      <c r="A99" s="304" t="s">
        <v>0</v>
      </c>
      <c r="B99" s="305" t="s">
        <v>758</v>
      </c>
      <c r="C99" s="305"/>
    </row>
    <row r="100" spans="1:3" s="320" customFormat="1" ht="12.75">
      <c r="A100" s="304" t="s">
        <v>1</v>
      </c>
      <c r="B100" s="305" t="s">
        <v>759</v>
      </c>
      <c r="C100" s="305"/>
    </row>
    <row r="101" spans="1:3" s="320" customFormat="1" ht="12.75">
      <c r="A101" s="304" t="s">
        <v>2</v>
      </c>
      <c r="B101" s="305" t="s">
        <v>760</v>
      </c>
      <c r="C101" s="305"/>
    </row>
  </sheetData>
  <sheetProtection algorithmName="SHA-512" hashValue="KBvCjlCTXRfCUdwHOwGDepAbmf5PZrHHCO/QIwaqxNEj5XgaXr6gA2OFsgb0fBRfwUS+7WL05msmZ6K+GUC/sQ==" saltValue="1WpWGgd2rFiSReEJsqHEbQ==" spinCount="100000" sheet="1" objects="1" scenarios="1"/>
  <mergeCells count="607"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  <mergeCell ref="E17:E21"/>
    <mergeCell ref="F17:F21"/>
    <mergeCell ref="U11:U12"/>
    <mergeCell ref="V11:V12"/>
    <mergeCell ref="W11:W12"/>
    <mergeCell ref="A14:W14"/>
    <mergeCell ref="A15:W15"/>
    <mergeCell ref="A16:W16"/>
    <mergeCell ref="U10:W10"/>
    <mergeCell ref="K11:K12"/>
    <mergeCell ref="L11:L12"/>
    <mergeCell ref="M11:M12"/>
    <mergeCell ref="O11:O12"/>
    <mergeCell ref="P11:P12"/>
    <mergeCell ref="Q11:Q12"/>
    <mergeCell ref="R11:R12"/>
    <mergeCell ref="S11:S12"/>
    <mergeCell ref="T11:T12"/>
    <mergeCell ref="U17:U18"/>
    <mergeCell ref="V17:V18"/>
    <mergeCell ref="W17:W18"/>
    <mergeCell ref="I20:I21"/>
    <mergeCell ref="J20:J21"/>
    <mergeCell ref="K20:K21"/>
    <mergeCell ref="L20:L21"/>
    <mergeCell ref="M20:M21"/>
    <mergeCell ref="N20:N21"/>
    <mergeCell ref="O20:O21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M22:M23"/>
    <mergeCell ref="N22:N23"/>
    <mergeCell ref="O22:O23"/>
    <mergeCell ref="P22:P23"/>
    <mergeCell ref="V20:V21"/>
    <mergeCell ref="W20:W21"/>
    <mergeCell ref="A22:A26"/>
    <mergeCell ref="B22:B26"/>
    <mergeCell ref="C22:C26"/>
    <mergeCell ref="D22:D26"/>
    <mergeCell ref="E22:E26"/>
    <mergeCell ref="F22:F26"/>
    <mergeCell ref="I22:I23"/>
    <mergeCell ref="J22:J23"/>
    <mergeCell ref="P20:P21"/>
    <mergeCell ref="Q20:Q21"/>
    <mergeCell ref="R20:R21"/>
    <mergeCell ref="S20:S21"/>
    <mergeCell ref="T20:T21"/>
    <mergeCell ref="U20:U21"/>
    <mergeCell ref="A17:A21"/>
    <mergeCell ref="B17:B21"/>
    <mergeCell ref="C17:C21"/>
    <mergeCell ref="D17:D21"/>
    <mergeCell ref="R25:R26"/>
    <mergeCell ref="S25:S26"/>
    <mergeCell ref="T25:T26"/>
    <mergeCell ref="U25:U26"/>
    <mergeCell ref="V25:V26"/>
    <mergeCell ref="W25:W26"/>
    <mergeCell ref="W22:W23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K22:K23"/>
    <mergeCell ref="L22:L23"/>
    <mergeCell ref="U27:U28"/>
    <mergeCell ref="V27:V28"/>
    <mergeCell ref="W27:W28"/>
    <mergeCell ref="I30:I31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V30:V31"/>
    <mergeCell ref="W30:W31"/>
    <mergeCell ref="A32:A36"/>
    <mergeCell ref="B32:B36"/>
    <mergeCell ref="C32:C36"/>
    <mergeCell ref="D32:D36"/>
    <mergeCell ref="E32:E36"/>
    <mergeCell ref="F32:F36"/>
    <mergeCell ref="I32:I33"/>
    <mergeCell ref="J32:J33"/>
    <mergeCell ref="P30:P31"/>
    <mergeCell ref="Q30:Q31"/>
    <mergeCell ref="R30:R31"/>
    <mergeCell ref="S30:S31"/>
    <mergeCell ref="T30:T31"/>
    <mergeCell ref="U30:U31"/>
    <mergeCell ref="A27:A31"/>
    <mergeCell ref="B27:B31"/>
    <mergeCell ref="C27:C31"/>
    <mergeCell ref="D27:D31"/>
    <mergeCell ref="E27:E31"/>
    <mergeCell ref="F27:F31"/>
    <mergeCell ref="W35:W36"/>
    <mergeCell ref="W32:W33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C37:C41"/>
    <mergeCell ref="D37:D41"/>
    <mergeCell ref="E37:E41"/>
    <mergeCell ref="F37:F41"/>
    <mergeCell ref="R35:R36"/>
    <mergeCell ref="S35:S36"/>
    <mergeCell ref="T35:T36"/>
    <mergeCell ref="U35:U36"/>
    <mergeCell ref="V35:V36"/>
    <mergeCell ref="U37:U38"/>
    <mergeCell ref="V37:V38"/>
    <mergeCell ref="W37:W38"/>
    <mergeCell ref="I40:I41"/>
    <mergeCell ref="J40:J41"/>
    <mergeCell ref="K40:K41"/>
    <mergeCell ref="L40:L41"/>
    <mergeCell ref="M40:M41"/>
    <mergeCell ref="N40:N41"/>
    <mergeCell ref="O40:O41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K42:K43"/>
    <mergeCell ref="L42:L43"/>
    <mergeCell ref="M42:M43"/>
    <mergeCell ref="N42:N43"/>
    <mergeCell ref="O42:O43"/>
    <mergeCell ref="P42:P43"/>
    <mergeCell ref="V40:V41"/>
    <mergeCell ref="W40:W41"/>
    <mergeCell ref="A42:A46"/>
    <mergeCell ref="B42:B46"/>
    <mergeCell ref="C42:C46"/>
    <mergeCell ref="D42:D46"/>
    <mergeCell ref="E42:E46"/>
    <mergeCell ref="F42:F46"/>
    <mergeCell ref="I42:I43"/>
    <mergeCell ref="J42:J43"/>
    <mergeCell ref="P40:P41"/>
    <mergeCell ref="Q40:Q41"/>
    <mergeCell ref="R40:R41"/>
    <mergeCell ref="S40:S41"/>
    <mergeCell ref="T40:T41"/>
    <mergeCell ref="U40:U41"/>
    <mergeCell ref="A37:A41"/>
    <mergeCell ref="B37:B41"/>
    <mergeCell ref="E47:E51"/>
    <mergeCell ref="F47:F51"/>
    <mergeCell ref="R45:R46"/>
    <mergeCell ref="S45:S46"/>
    <mergeCell ref="T45:T46"/>
    <mergeCell ref="U45:U46"/>
    <mergeCell ref="V45:V46"/>
    <mergeCell ref="W45:W46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U47:U48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M52:M53"/>
    <mergeCell ref="N52:N53"/>
    <mergeCell ref="O52:O53"/>
    <mergeCell ref="P52:P53"/>
    <mergeCell ref="V50:V51"/>
    <mergeCell ref="W50:W51"/>
    <mergeCell ref="A52:A56"/>
    <mergeCell ref="B52:B56"/>
    <mergeCell ref="C52:C56"/>
    <mergeCell ref="D52:D56"/>
    <mergeCell ref="E52:E56"/>
    <mergeCell ref="F52:F56"/>
    <mergeCell ref="I52:I53"/>
    <mergeCell ref="J52:J53"/>
    <mergeCell ref="P50:P51"/>
    <mergeCell ref="Q50:Q51"/>
    <mergeCell ref="R50:R51"/>
    <mergeCell ref="S50:S51"/>
    <mergeCell ref="T50:T51"/>
    <mergeCell ref="U50:U51"/>
    <mergeCell ref="A47:A51"/>
    <mergeCell ref="B47:B51"/>
    <mergeCell ref="C47:C51"/>
    <mergeCell ref="D47:D51"/>
    <mergeCell ref="R55:R56"/>
    <mergeCell ref="S55:S56"/>
    <mergeCell ref="T55:T56"/>
    <mergeCell ref="U55:U56"/>
    <mergeCell ref="V55:V56"/>
    <mergeCell ref="W55:W5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Q52:Q53"/>
    <mergeCell ref="R52:R53"/>
    <mergeCell ref="S52:S53"/>
    <mergeCell ref="T52:T53"/>
    <mergeCell ref="U52:U53"/>
    <mergeCell ref="V52:V53"/>
    <mergeCell ref="K52:K53"/>
    <mergeCell ref="L52:L53"/>
    <mergeCell ref="U57:U58"/>
    <mergeCell ref="V57:V58"/>
    <mergeCell ref="W57:W58"/>
    <mergeCell ref="I60:I61"/>
    <mergeCell ref="J60:J61"/>
    <mergeCell ref="K60:K61"/>
    <mergeCell ref="L60:L61"/>
    <mergeCell ref="M60:M61"/>
    <mergeCell ref="N60:N61"/>
    <mergeCell ref="O60:O61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V60:V61"/>
    <mergeCell ref="W60:W61"/>
    <mergeCell ref="A62:A66"/>
    <mergeCell ref="B62:B66"/>
    <mergeCell ref="C62:C66"/>
    <mergeCell ref="D62:D66"/>
    <mergeCell ref="E62:E66"/>
    <mergeCell ref="F62:F66"/>
    <mergeCell ref="I62:I63"/>
    <mergeCell ref="J62:J63"/>
    <mergeCell ref="P60:P61"/>
    <mergeCell ref="Q60:Q61"/>
    <mergeCell ref="R60:R61"/>
    <mergeCell ref="S60:S61"/>
    <mergeCell ref="T60:T61"/>
    <mergeCell ref="U60:U61"/>
    <mergeCell ref="A57:A61"/>
    <mergeCell ref="B57:B61"/>
    <mergeCell ref="C57:C61"/>
    <mergeCell ref="D57:D61"/>
    <mergeCell ref="E57:E61"/>
    <mergeCell ref="F57:F61"/>
    <mergeCell ref="W65:W66"/>
    <mergeCell ref="W62:W63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C67:C71"/>
    <mergeCell ref="D67:D71"/>
    <mergeCell ref="E67:E71"/>
    <mergeCell ref="F67:F71"/>
    <mergeCell ref="R65:R66"/>
    <mergeCell ref="S65:S66"/>
    <mergeCell ref="T65:T66"/>
    <mergeCell ref="U65:U66"/>
    <mergeCell ref="V65:V66"/>
    <mergeCell ref="U67:U68"/>
    <mergeCell ref="V67:V68"/>
    <mergeCell ref="W67:W68"/>
    <mergeCell ref="I70:I71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K72:K73"/>
    <mergeCell ref="L72:L73"/>
    <mergeCell ref="M72:M73"/>
    <mergeCell ref="N72:N73"/>
    <mergeCell ref="O72:O73"/>
    <mergeCell ref="P72:P73"/>
    <mergeCell ref="V70:V71"/>
    <mergeCell ref="W70:W71"/>
    <mergeCell ref="A72:A76"/>
    <mergeCell ref="B72:B76"/>
    <mergeCell ref="C72:C76"/>
    <mergeCell ref="D72:D76"/>
    <mergeCell ref="E72:E76"/>
    <mergeCell ref="F72:F76"/>
    <mergeCell ref="I72:I73"/>
    <mergeCell ref="J72:J73"/>
    <mergeCell ref="P70:P71"/>
    <mergeCell ref="Q70:Q71"/>
    <mergeCell ref="R70:R71"/>
    <mergeCell ref="S70:S71"/>
    <mergeCell ref="T70:T71"/>
    <mergeCell ref="U70:U71"/>
    <mergeCell ref="A67:A71"/>
    <mergeCell ref="B67:B71"/>
    <mergeCell ref="E77:E81"/>
    <mergeCell ref="F77:F81"/>
    <mergeCell ref="R75:R76"/>
    <mergeCell ref="S75:S76"/>
    <mergeCell ref="T75:T76"/>
    <mergeCell ref="U75:U76"/>
    <mergeCell ref="V75:V76"/>
    <mergeCell ref="W75:W76"/>
    <mergeCell ref="W72:W73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Q72:Q73"/>
    <mergeCell ref="R72:R73"/>
    <mergeCell ref="S72:S73"/>
    <mergeCell ref="T72:T73"/>
    <mergeCell ref="U72:U73"/>
    <mergeCell ref="V72:V73"/>
    <mergeCell ref="U77:U78"/>
    <mergeCell ref="V77:V78"/>
    <mergeCell ref="W77:W78"/>
    <mergeCell ref="I80:I81"/>
    <mergeCell ref="J80:J81"/>
    <mergeCell ref="K80:K81"/>
    <mergeCell ref="L80:L81"/>
    <mergeCell ref="M80:M81"/>
    <mergeCell ref="N80:N81"/>
    <mergeCell ref="O80:O81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M82:M83"/>
    <mergeCell ref="N82:N83"/>
    <mergeCell ref="O82:O83"/>
    <mergeCell ref="P82:P83"/>
    <mergeCell ref="V80:V81"/>
    <mergeCell ref="W80:W81"/>
    <mergeCell ref="A82:A86"/>
    <mergeCell ref="B82:B86"/>
    <mergeCell ref="C82:C86"/>
    <mergeCell ref="D82:D86"/>
    <mergeCell ref="E82:E86"/>
    <mergeCell ref="F82:F86"/>
    <mergeCell ref="I82:I83"/>
    <mergeCell ref="J82:J83"/>
    <mergeCell ref="P80:P81"/>
    <mergeCell ref="Q80:Q81"/>
    <mergeCell ref="R80:R81"/>
    <mergeCell ref="S80:S81"/>
    <mergeCell ref="T80:T81"/>
    <mergeCell ref="U80:U81"/>
    <mergeCell ref="A77:A81"/>
    <mergeCell ref="B77:B81"/>
    <mergeCell ref="C77:C81"/>
    <mergeCell ref="D77:D81"/>
    <mergeCell ref="R85:R86"/>
    <mergeCell ref="S85:S86"/>
    <mergeCell ref="T85:T86"/>
    <mergeCell ref="U85:U86"/>
    <mergeCell ref="V85:V86"/>
    <mergeCell ref="W85:W86"/>
    <mergeCell ref="W82:W83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Q82:Q83"/>
    <mergeCell ref="R82:R83"/>
    <mergeCell ref="S82:S83"/>
    <mergeCell ref="T82:T83"/>
    <mergeCell ref="U82:U83"/>
    <mergeCell ref="V82:V83"/>
    <mergeCell ref="K82:K83"/>
    <mergeCell ref="L82:L83"/>
    <mergeCell ref="U87:U88"/>
    <mergeCell ref="V87:V88"/>
    <mergeCell ref="W87:W88"/>
    <mergeCell ref="I90:I91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V90:V91"/>
    <mergeCell ref="W90:W91"/>
    <mergeCell ref="A92:F96"/>
    <mergeCell ref="I92:I93"/>
    <mergeCell ref="J92:J93"/>
    <mergeCell ref="K92:K93"/>
    <mergeCell ref="L92:L93"/>
    <mergeCell ref="M92:M93"/>
    <mergeCell ref="N92:N93"/>
    <mergeCell ref="O92:O93"/>
    <mergeCell ref="P90:P91"/>
    <mergeCell ref="Q90:Q91"/>
    <mergeCell ref="R90:R91"/>
    <mergeCell ref="S90:S91"/>
    <mergeCell ref="T90:T91"/>
    <mergeCell ref="U90:U91"/>
    <mergeCell ref="A87:A91"/>
    <mergeCell ref="B87:B91"/>
    <mergeCell ref="C87:C91"/>
    <mergeCell ref="D87:D91"/>
    <mergeCell ref="E87:E91"/>
    <mergeCell ref="F87:F91"/>
    <mergeCell ref="I95:I96"/>
    <mergeCell ref="J95:J96"/>
    <mergeCell ref="K95:K96"/>
    <mergeCell ref="L95:L96"/>
    <mergeCell ref="M95:M96"/>
    <mergeCell ref="N95:N96"/>
    <mergeCell ref="O95:O96"/>
    <mergeCell ref="P95:P96"/>
    <mergeCell ref="P92:P93"/>
    <mergeCell ref="W95:W96"/>
    <mergeCell ref="Q95:Q96"/>
    <mergeCell ref="R95:R96"/>
    <mergeCell ref="S95:S96"/>
    <mergeCell ref="T95:T96"/>
    <mergeCell ref="U95:U96"/>
    <mergeCell ref="V95:V96"/>
    <mergeCell ref="V92:V93"/>
    <mergeCell ref="W92:W93"/>
    <mergeCell ref="Q92:Q93"/>
    <mergeCell ref="R92:R93"/>
    <mergeCell ref="S92:S93"/>
    <mergeCell ref="T92:T93"/>
    <mergeCell ref="U92:U93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4BF7-B2C3-4790-9EE8-233C01D52F73}">
  <dimension ref="A1:IV560"/>
  <sheetViews>
    <sheetView view="pageBreakPreview" topLeftCell="A488" zoomScaleNormal="100" zoomScaleSheetLayoutView="100" workbookViewId="0">
      <selection activeCell="A547" sqref="A547:J547"/>
    </sheetView>
  </sheetViews>
  <sheetFormatPr defaultColWidth="8.75" defaultRowHeight="14.25"/>
  <cols>
    <col min="1" max="1" width="8.375" style="146" customWidth="1"/>
    <col min="2" max="2" width="47.75" style="146" customWidth="1"/>
    <col min="3" max="3" width="10.25" style="146" customWidth="1"/>
    <col min="4" max="4" width="2" style="146" customWidth="1"/>
    <col min="5" max="5" width="12.25" style="146" customWidth="1"/>
    <col min="6" max="6" width="11.75" style="146" customWidth="1"/>
    <col min="7" max="7" width="12.75" style="146" customWidth="1"/>
    <col min="8" max="8" width="12.875" style="146" customWidth="1"/>
    <col min="9" max="9" width="12" style="146" customWidth="1"/>
    <col min="10" max="10" width="30.75" style="146" customWidth="1"/>
    <col min="257" max="257" width="8.375" customWidth="1"/>
    <col min="258" max="258" width="47.75" customWidth="1"/>
    <col min="259" max="259" width="10.25" customWidth="1"/>
    <col min="260" max="260" width="2" customWidth="1"/>
    <col min="261" max="261" width="12.25" customWidth="1"/>
    <col min="262" max="262" width="11.75" customWidth="1"/>
    <col min="263" max="263" width="12.75" customWidth="1"/>
    <col min="264" max="264" width="12.875" customWidth="1"/>
    <col min="265" max="265" width="12" customWidth="1"/>
    <col min="266" max="266" width="30.75" customWidth="1"/>
    <col min="513" max="513" width="8.375" customWidth="1"/>
    <col min="514" max="514" width="47.75" customWidth="1"/>
    <col min="515" max="515" width="10.25" customWidth="1"/>
    <col min="516" max="516" width="2" customWidth="1"/>
    <col min="517" max="517" width="12.25" customWidth="1"/>
    <col min="518" max="518" width="11.75" customWidth="1"/>
    <col min="519" max="519" width="12.75" customWidth="1"/>
    <col min="520" max="520" width="12.875" customWidth="1"/>
    <col min="521" max="521" width="12" customWidth="1"/>
    <col min="522" max="522" width="30.75" customWidth="1"/>
    <col min="769" max="769" width="8.375" customWidth="1"/>
    <col min="770" max="770" width="47.75" customWidth="1"/>
    <col min="771" max="771" width="10.25" customWidth="1"/>
    <col min="772" max="772" width="2" customWidth="1"/>
    <col min="773" max="773" width="12.25" customWidth="1"/>
    <col min="774" max="774" width="11.75" customWidth="1"/>
    <col min="775" max="775" width="12.75" customWidth="1"/>
    <col min="776" max="776" width="12.875" customWidth="1"/>
    <col min="777" max="777" width="12" customWidth="1"/>
    <col min="778" max="778" width="30.75" customWidth="1"/>
    <col min="1025" max="1025" width="8.375" customWidth="1"/>
    <col min="1026" max="1026" width="47.75" customWidth="1"/>
    <col min="1027" max="1027" width="10.25" customWidth="1"/>
    <col min="1028" max="1028" width="2" customWidth="1"/>
    <col min="1029" max="1029" width="12.25" customWidth="1"/>
    <col min="1030" max="1030" width="11.75" customWidth="1"/>
    <col min="1031" max="1031" width="12.75" customWidth="1"/>
    <col min="1032" max="1032" width="12.875" customWidth="1"/>
    <col min="1033" max="1033" width="12" customWidth="1"/>
    <col min="1034" max="1034" width="30.75" customWidth="1"/>
    <col min="1281" max="1281" width="8.375" customWidth="1"/>
    <col min="1282" max="1282" width="47.75" customWidth="1"/>
    <col min="1283" max="1283" width="10.25" customWidth="1"/>
    <col min="1284" max="1284" width="2" customWidth="1"/>
    <col min="1285" max="1285" width="12.25" customWidth="1"/>
    <col min="1286" max="1286" width="11.75" customWidth="1"/>
    <col min="1287" max="1287" width="12.75" customWidth="1"/>
    <col min="1288" max="1288" width="12.875" customWidth="1"/>
    <col min="1289" max="1289" width="12" customWidth="1"/>
    <col min="1290" max="1290" width="30.75" customWidth="1"/>
    <col min="1537" max="1537" width="8.375" customWidth="1"/>
    <col min="1538" max="1538" width="47.75" customWidth="1"/>
    <col min="1539" max="1539" width="10.25" customWidth="1"/>
    <col min="1540" max="1540" width="2" customWidth="1"/>
    <col min="1541" max="1541" width="12.25" customWidth="1"/>
    <col min="1542" max="1542" width="11.75" customWidth="1"/>
    <col min="1543" max="1543" width="12.75" customWidth="1"/>
    <col min="1544" max="1544" width="12.875" customWidth="1"/>
    <col min="1545" max="1545" width="12" customWidth="1"/>
    <col min="1546" max="1546" width="30.75" customWidth="1"/>
    <col min="1793" max="1793" width="8.375" customWidth="1"/>
    <col min="1794" max="1794" width="47.75" customWidth="1"/>
    <col min="1795" max="1795" width="10.25" customWidth="1"/>
    <col min="1796" max="1796" width="2" customWidth="1"/>
    <col min="1797" max="1797" width="12.25" customWidth="1"/>
    <col min="1798" max="1798" width="11.75" customWidth="1"/>
    <col min="1799" max="1799" width="12.75" customWidth="1"/>
    <col min="1800" max="1800" width="12.875" customWidth="1"/>
    <col min="1801" max="1801" width="12" customWidth="1"/>
    <col min="1802" max="1802" width="30.75" customWidth="1"/>
    <col min="2049" max="2049" width="8.375" customWidth="1"/>
    <col min="2050" max="2050" width="47.75" customWidth="1"/>
    <col min="2051" max="2051" width="10.25" customWidth="1"/>
    <col min="2052" max="2052" width="2" customWidth="1"/>
    <col min="2053" max="2053" width="12.25" customWidth="1"/>
    <col min="2054" max="2054" width="11.75" customWidth="1"/>
    <col min="2055" max="2055" width="12.75" customWidth="1"/>
    <col min="2056" max="2056" width="12.875" customWidth="1"/>
    <col min="2057" max="2057" width="12" customWidth="1"/>
    <col min="2058" max="2058" width="30.75" customWidth="1"/>
    <col min="2305" max="2305" width="8.375" customWidth="1"/>
    <col min="2306" max="2306" width="47.75" customWidth="1"/>
    <col min="2307" max="2307" width="10.25" customWidth="1"/>
    <col min="2308" max="2308" width="2" customWidth="1"/>
    <col min="2309" max="2309" width="12.25" customWidth="1"/>
    <col min="2310" max="2310" width="11.75" customWidth="1"/>
    <col min="2311" max="2311" width="12.75" customWidth="1"/>
    <col min="2312" max="2312" width="12.875" customWidth="1"/>
    <col min="2313" max="2313" width="12" customWidth="1"/>
    <col min="2314" max="2314" width="30.75" customWidth="1"/>
    <col min="2561" max="2561" width="8.375" customWidth="1"/>
    <col min="2562" max="2562" width="47.75" customWidth="1"/>
    <col min="2563" max="2563" width="10.25" customWidth="1"/>
    <col min="2564" max="2564" width="2" customWidth="1"/>
    <col min="2565" max="2565" width="12.25" customWidth="1"/>
    <col min="2566" max="2566" width="11.75" customWidth="1"/>
    <col min="2567" max="2567" width="12.75" customWidth="1"/>
    <col min="2568" max="2568" width="12.875" customWidth="1"/>
    <col min="2569" max="2569" width="12" customWidth="1"/>
    <col min="2570" max="2570" width="30.75" customWidth="1"/>
    <col min="2817" max="2817" width="8.375" customWidth="1"/>
    <col min="2818" max="2818" width="47.75" customWidth="1"/>
    <col min="2819" max="2819" width="10.25" customWidth="1"/>
    <col min="2820" max="2820" width="2" customWidth="1"/>
    <col min="2821" max="2821" width="12.25" customWidth="1"/>
    <col min="2822" max="2822" width="11.75" customWidth="1"/>
    <col min="2823" max="2823" width="12.75" customWidth="1"/>
    <col min="2824" max="2824" width="12.875" customWidth="1"/>
    <col min="2825" max="2825" width="12" customWidth="1"/>
    <col min="2826" max="2826" width="30.75" customWidth="1"/>
    <col min="3073" max="3073" width="8.375" customWidth="1"/>
    <col min="3074" max="3074" width="47.75" customWidth="1"/>
    <col min="3075" max="3075" width="10.25" customWidth="1"/>
    <col min="3076" max="3076" width="2" customWidth="1"/>
    <col min="3077" max="3077" width="12.25" customWidth="1"/>
    <col min="3078" max="3078" width="11.75" customWidth="1"/>
    <col min="3079" max="3079" width="12.75" customWidth="1"/>
    <col min="3080" max="3080" width="12.875" customWidth="1"/>
    <col min="3081" max="3081" width="12" customWidth="1"/>
    <col min="3082" max="3082" width="30.75" customWidth="1"/>
    <col min="3329" max="3329" width="8.375" customWidth="1"/>
    <col min="3330" max="3330" width="47.75" customWidth="1"/>
    <col min="3331" max="3331" width="10.25" customWidth="1"/>
    <col min="3332" max="3332" width="2" customWidth="1"/>
    <col min="3333" max="3333" width="12.25" customWidth="1"/>
    <col min="3334" max="3334" width="11.75" customWidth="1"/>
    <col min="3335" max="3335" width="12.75" customWidth="1"/>
    <col min="3336" max="3336" width="12.875" customWidth="1"/>
    <col min="3337" max="3337" width="12" customWidth="1"/>
    <col min="3338" max="3338" width="30.75" customWidth="1"/>
    <col min="3585" max="3585" width="8.375" customWidth="1"/>
    <col min="3586" max="3586" width="47.75" customWidth="1"/>
    <col min="3587" max="3587" width="10.25" customWidth="1"/>
    <col min="3588" max="3588" width="2" customWidth="1"/>
    <col min="3589" max="3589" width="12.25" customWidth="1"/>
    <col min="3590" max="3590" width="11.75" customWidth="1"/>
    <col min="3591" max="3591" width="12.75" customWidth="1"/>
    <col min="3592" max="3592" width="12.875" customWidth="1"/>
    <col min="3593" max="3593" width="12" customWidth="1"/>
    <col min="3594" max="3594" width="30.75" customWidth="1"/>
    <col min="3841" max="3841" width="8.375" customWidth="1"/>
    <col min="3842" max="3842" width="47.75" customWidth="1"/>
    <col min="3843" max="3843" width="10.25" customWidth="1"/>
    <col min="3844" max="3844" width="2" customWidth="1"/>
    <col min="3845" max="3845" width="12.25" customWidth="1"/>
    <col min="3846" max="3846" width="11.75" customWidth="1"/>
    <col min="3847" max="3847" width="12.75" customWidth="1"/>
    <col min="3848" max="3848" width="12.875" customWidth="1"/>
    <col min="3849" max="3849" width="12" customWidth="1"/>
    <col min="3850" max="3850" width="30.75" customWidth="1"/>
    <col min="4097" max="4097" width="8.375" customWidth="1"/>
    <col min="4098" max="4098" width="47.75" customWidth="1"/>
    <col min="4099" max="4099" width="10.25" customWidth="1"/>
    <col min="4100" max="4100" width="2" customWidth="1"/>
    <col min="4101" max="4101" width="12.25" customWidth="1"/>
    <col min="4102" max="4102" width="11.75" customWidth="1"/>
    <col min="4103" max="4103" width="12.75" customWidth="1"/>
    <col min="4104" max="4104" width="12.875" customWidth="1"/>
    <col min="4105" max="4105" width="12" customWidth="1"/>
    <col min="4106" max="4106" width="30.75" customWidth="1"/>
    <col min="4353" max="4353" width="8.375" customWidth="1"/>
    <col min="4354" max="4354" width="47.75" customWidth="1"/>
    <col min="4355" max="4355" width="10.25" customWidth="1"/>
    <col min="4356" max="4356" width="2" customWidth="1"/>
    <col min="4357" max="4357" width="12.25" customWidth="1"/>
    <col min="4358" max="4358" width="11.75" customWidth="1"/>
    <col min="4359" max="4359" width="12.75" customWidth="1"/>
    <col min="4360" max="4360" width="12.875" customWidth="1"/>
    <col min="4361" max="4361" width="12" customWidth="1"/>
    <col min="4362" max="4362" width="30.75" customWidth="1"/>
    <col min="4609" max="4609" width="8.375" customWidth="1"/>
    <col min="4610" max="4610" width="47.75" customWidth="1"/>
    <col min="4611" max="4611" width="10.25" customWidth="1"/>
    <col min="4612" max="4612" width="2" customWidth="1"/>
    <col min="4613" max="4613" width="12.25" customWidth="1"/>
    <col min="4614" max="4614" width="11.75" customWidth="1"/>
    <col min="4615" max="4615" width="12.75" customWidth="1"/>
    <col min="4616" max="4616" width="12.875" customWidth="1"/>
    <col min="4617" max="4617" width="12" customWidth="1"/>
    <col min="4618" max="4618" width="30.75" customWidth="1"/>
    <col min="4865" max="4865" width="8.375" customWidth="1"/>
    <col min="4866" max="4866" width="47.75" customWidth="1"/>
    <col min="4867" max="4867" width="10.25" customWidth="1"/>
    <col min="4868" max="4868" width="2" customWidth="1"/>
    <col min="4869" max="4869" width="12.25" customWidth="1"/>
    <col min="4870" max="4870" width="11.75" customWidth="1"/>
    <col min="4871" max="4871" width="12.75" customWidth="1"/>
    <col min="4872" max="4872" width="12.875" customWidth="1"/>
    <col min="4873" max="4873" width="12" customWidth="1"/>
    <col min="4874" max="4874" width="30.75" customWidth="1"/>
    <col min="5121" max="5121" width="8.375" customWidth="1"/>
    <col min="5122" max="5122" width="47.75" customWidth="1"/>
    <col min="5123" max="5123" width="10.25" customWidth="1"/>
    <col min="5124" max="5124" width="2" customWidth="1"/>
    <col min="5125" max="5125" width="12.25" customWidth="1"/>
    <col min="5126" max="5126" width="11.75" customWidth="1"/>
    <col min="5127" max="5127" width="12.75" customWidth="1"/>
    <col min="5128" max="5128" width="12.875" customWidth="1"/>
    <col min="5129" max="5129" width="12" customWidth="1"/>
    <col min="5130" max="5130" width="30.75" customWidth="1"/>
    <col min="5377" max="5377" width="8.375" customWidth="1"/>
    <col min="5378" max="5378" width="47.75" customWidth="1"/>
    <col min="5379" max="5379" width="10.25" customWidth="1"/>
    <col min="5380" max="5380" width="2" customWidth="1"/>
    <col min="5381" max="5381" width="12.25" customWidth="1"/>
    <col min="5382" max="5382" width="11.75" customWidth="1"/>
    <col min="5383" max="5383" width="12.75" customWidth="1"/>
    <col min="5384" max="5384" width="12.875" customWidth="1"/>
    <col min="5385" max="5385" width="12" customWidth="1"/>
    <col min="5386" max="5386" width="30.75" customWidth="1"/>
    <col min="5633" max="5633" width="8.375" customWidth="1"/>
    <col min="5634" max="5634" width="47.75" customWidth="1"/>
    <col min="5635" max="5635" width="10.25" customWidth="1"/>
    <col min="5636" max="5636" width="2" customWidth="1"/>
    <col min="5637" max="5637" width="12.25" customWidth="1"/>
    <col min="5638" max="5638" width="11.75" customWidth="1"/>
    <col min="5639" max="5639" width="12.75" customWidth="1"/>
    <col min="5640" max="5640" width="12.875" customWidth="1"/>
    <col min="5641" max="5641" width="12" customWidth="1"/>
    <col min="5642" max="5642" width="30.75" customWidth="1"/>
    <col min="5889" max="5889" width="8.375" customWidth="1"/>
    <col min="5890" max="5890" width="47.75" customWidth="1"/>
    <col min="5891" max="5891" width="10.25" customWidth="1"/>
    <col min="5892" max="5892" width="2" customWidth="1"/>
    <col min="5893" max="5893" width="12.25" customWidth="1"/>
    <col min="5894" max="5894" width="11.75" customWidth="1"/>
    <col min="5895" max="5895" width="12.75" customWidth="1"/>
    <col min="5896" max="5896" width="12.875" customWidth="1"/>
    <col min="5897" max="5897" width="12" customWidth="1"/>
    <col min="5898" max="5898" width="30.75" customWidth="1"/>
    <col min="6145" max="6145" width="8.375" customWidth="1"/>
    <col min="6146" max="6146" width="47.75" customWidth="1"/>
    <col min="6147" max="6147" width="10.25" customWidth="1"/>
    <col min="6148" max="6148" width="2" customWidth="1"/>
    <col min="6149" max="6149" width="12.25" customWidth="1"/>
    <col min="6150" max="6150" width="11.75" customWidth="1"/>
    <col min="6151" max="6151" width="12.75" customWidth="1"/>
    <col min="6152" max="6152" width="12.875" customWidth="1"/>
    <col min="6153" max="6153" width="12" customWidth="1"/>
    <col min="6154" max="6154" width="30.75" customWidth="1"/>
    <col min="6401" max="6401" width="8.375" customWidth="1"/>
    <col min="6402" max="6402" width="47.75" customWidth="1"/>
    <col min="6403" max="6403" width="10.25" customWidth="1"/>
    <col min="6404" max="6404" width="2" customWidth="1"/>
    <col min="6405" max="6405" width="12.25" customWidth="1"/>
    <col min="6406" max="6406" width="11.75" customWidth="1"/>
    <col min="6407" max="6407" width="12.75" customWidth="1"/>
    <col min="6408" max="6408" width="12.875" customWidth="1"/>
    <col min="6409" max="6409" width="12" customWidth="1"/>
    <col min="6410" max="6410" width="30.75" customWidth="1"/>
    <col min="6657" max="6657" width="8.375" customWidth="1"/>
    <col min="6658" max="6658" width="47.75" customWidth="1"/>
    <col min="6659" max="6659" width="10.25" customWidth="1"/>
    <col min="6660" max="6660" width="2" customWidth="1"/>
    <col min="6661" max="6661" width="12.25" customWidth="1"/>
    <col min="6662" max="6662" width="11.75" customWidth="1"/>
    <col min="6663" max="6663" width="12.75" customWidth="1"/>
    <col min="6664" max="6664" width="12.875" customWidth="1"/>
    <col min="6665" max="6665" width="12" customWidth="1"/>
    <col min="6666" max="6666" width="30.75" customWidth="1"/>
    <col min="6913" max="6913" width="8.375" customWidth="1"/>
    <col min="6914" max="6914" width="47.75" customWidth="1"/>
    <col min="6915" max="6915" width="10.25" customWidth="1"/>
    <col min="6916" max="6916" width="2" customWidth="1"/>
    <col min="6917" max="6917" width="12.25" customWidth="1"/>
    <col min="6918" max="6918" width="11.75" customWidth="1"/>
    <col min="6919" max="6919" width="12.75" customWidth="1"/>
    <col min="6920" max="6920" width="12.875" customWidth="1"/>
    <col min="6921" max="6921" width="12" customWidth="1"/>
    <col min="6922" max="6922" width="30.75" customWidth="1"/>
    <col min="7169" max="7169" width="8.375" customWidth="1"/>
    <col min="7170" max="7170" width="47.75" customWidth="1"/>
    <col min="7171" max="7171" width="10.25" customWidth="1"/>
    <col min="7172" max="7172" width="2" customWidth="1"/>
    <col min="7173" max="7173" width="12.25" customWidth="1"/>
    <col min="7174" max="7174" width="11.75" customWidth="1"/>
    <col min="7175" max="7175" width="12.75" customWidth="1"/>
    <col min="7176" max="7176" width="12.875" customWidth="1"/>
    <col min="7177" max="7177" width="12" customWidth="1"/>
    <col min="7178" max="7178" width="30.75" customWidth="1"/>
    <col min="7425" max="7425" width="8.375" customWidth="1"/>
    <col min="7426" max="7426" width="47.75" customWidth="1"/>
    <col min="7427" max="7427" width="10.25" customWidth="1"/>
    <col min="7428" max="7428" width="2" customWidth="1"/>
    <col min="7429" max="7429" width="12.25" customWidth="1"/>
    <col min="7430" max="7430" width="11.75" customWidth="1"/>
    <col min="7431" max="7431" width="12.75" customWidth="1"/>
    <col min="7432" max="7432" width="12.875" customWidth="1"/>
    <col min="7433" max="7433" width="12" customWidth="1"/>
    <col min="7434" max="7434" width="30.75" customWidth="1"/>
    <col min="7681" max="7681" width="8.375" customWidth="1"/>
    <col min="7682" max="7682" width="47.75" customWidth="1"/>
    <col min="7683" max="7683" width="10.25" customWidth="1"/>
    <col min="7684" max="7684" width="2" customWidth="1"/>
    <col min="7685" max="7685" width="12.25" customWidth="1"/>
    <col min="7686" max="7686" width="11.75" customWidth="1"/>
    <col min="7687" max="7687" width="12.75" customWidth="1"/>
    <col min="7688" max="7688" width="12.875" customWidth="1"/>
    <col min="7689" max="7689" width="12" customWidth="1"/>
    <col min="7690" max="7690" width="30.75" customWidth="1"/>
    <col min="7937" max="7937" width="8.375" customWidth="1"/>
    <col min="7938" max="7938" width="47.75" customWidth="1"/>
    <col min="7939" max="7939" width="10.25" customWidth="1"/>
    <col min="7940" max="7940" width="2" customWidth="1"/>
    <col min="7941" max="7941" width="12.25" customWidth="1"/>
    <col min="7942" max="7942" width="11.75" customWidth="1"/>
    <col min="7943" max="7943" width="12.75" customWidth="1"/>
    <col min="7944" max="7944" width="12.875" customWidth="1"/>
    <col min="7945" max="7945" width="12" customWidth="1"/>
    <col min="7946" max="7946" width="30.75" customWidth="1"/>
    <col min="8193" max="8193" width="8.375" customWidth="1"/>
    <col min="8194" max="8194" width="47.75" customWidth="1"/>
    <col min="8195" max="8195" width="10.25" customWidth="1"/>
    <col min="8196" max="8196" width="2" customWidth="1"/>
    <col min="8197" max="8197" width="12.25" customWidth="1"/>
    <col min="8198" max="8198" width="11.75" customWidth="1"/>
    <col min="8199" max="8199" width="12.75" customWidth="1"/>
    <col min="8200" max="8200" width="12.875" customWidth="1"/>
    <col min="8201" max="8201" width="12" customWidth="1"/>
    <col min="8202" max="8202" width="30.75" customWidth="1"/>
    <col min="8449" max="8449" width="8.375" customWidth="1"/>
    <col min="8450" max="8450" width="47.75" customWidth="1"/>
    <col min="8451" max="8451" width="10.25" customWidth="1"/>
    <col min="8452" max="8452" width="2" customWidth="1"/>
    <col min="8453" max="8453" width="12.25" customWidth="1"/>
    <col min="8454" max="8454" width="11.75" customWidth="1"/>
    <col min="8455" max="8455" width="12.75" customWidth="1"/>
    <col min="8456" max="8456" width="12.875" customWidth="1"/>
    <col min="8457" max="8457" width="12" customWidth="1"/>
    <col min="8458" max="8458" width="30.75" customWidth="1"/>
    <col min="8705" max="8705" width="8.375" customWidth="1"/>
    <col min="8706" max="8706" width="47.75" customWidth="1"/>
    <col min="8707" max="8707" width="10.25" customWidth="1"/>
    <col min="8708" max="8708" width="2" customWidth="1"/>
    <col min="8709" max="8709" width="12.25" customWidth="1"/>
    <col min="8710" max="8710" width="11.75" customWidth="1"/>
    <col min="8711" max="8711" width="12.75" customWidth="1"/>
    <col min="8712" max="8712" width="12.875" customWidth="1"/>
    <col min="8713" max="8713" width="12" customWidth="1"/>
    <col min="8714" max="8714" width="30.75" customWidth="1"/>
    <col min="8961" max="8961" width="8.375" customWidth="1"/>
    <col min="8962" max="8962" width="47.75" customWidth="1"/>
    <col min="8963" max="8963" width="10.25" customWidth="1"/>
    <col min="8964" max="8964" width="2" customWidth="1"/>
    <col min="8965" max="8965" width="12.25" customWidth="1"/>
    <col min="8966" max="8966" width="11.75" customWidth="1"/>
    <col min="8967" max="8967" width="12.75" customWidth="1"/>
    <col min="8968" max="8968" width="12.875" customWidth="1"/>
    <col min="8969" max="8969" width="12" customWidth="1"/>
    <col min="8970" max="8970" width="30.75" customWidth="1"/>
    <col min="9217" max="9217" width="8.375" customWidth="1"/>
    <col min="9218" max="9218" width="47.75" customWidth="1"/>
    <col min="9219" max="9219" width="10.25" customWidth="1"/>
    <col min="9220" max="9220" width="2" customWidth="1"/>
    <col min="9221" max="9221" width="12.25" customWidth="1"/>
    <col min="9222" max="9222" width="11.75" customWidth="1"/>
    <col min="9223" max="9223" width="12.75" customWidth="1"/>
    <col min="9224" max="9224" width="12.875" customWidth="1"/>
    <col min="9225" max="9225" width="12" customWidth="1"/>
    <col min="9226" max="9226" width="30.75" customWidth="1"/>
    <col min="9473" max="9473" width="8.375" customWidth="1"/>
    <col min="9474" max="9474" width="47.75" customWidth="1"/>
    <col min="9475" max="9475" width="10.25" customWidth="1"/>
    <col min="9476" max="9476" width="2" customWidth="1"/>
    <col min="9477" max="9477" width="12.25" customWidth="1"/>
    <col min="9478" max="9478" width="11.75" customWidth="1"/>
    <col min="9479" max="9479" width="12.75" customWidth="1"/>
    <col min="9480" max="9480" width="12.875" customWidth="1"/>
    <col min="9481" max="9481" width="12" customWidth="1"/>
    <col min="9482" max="9482" width="30.75" customWidth="1"/>
    <col min="9729" max="9729" width="8.375" customWidth="1"/>
    <col min="9730" max="9730" width="47.75" customWidth="1"/>
    <col min="9731" max="9731" width="10.25" customWidth="1"/>
    <col min="9732" max="9732" width="2" customWidth="1"/>
    <col min="9733" max="9733" width="12.25" customWidth="1"/>
    <col min="9734" max="9734" width="11.75" customWidth="1"/>
    <col min="9735" max="9735" width="12.75" customWidth="1"/>
    <col min="9736" max="9736" width="12.875" customWidth="1"/>
    <col min="9737" max="9737" width="12" customWidth="1"/>
    <col min="9738" max="9738" width="30.75" customWidth="1"/>
    <col min="9985" max="9985" width="8.375" customWidth="1"/>
    <col min="9986" max="9986" width="47.75" customWidth="1"/>
    <col min="9987" max="9987" width="10.25" customWidth="1"/>
    <col min="9988" max="9988" width="2" customWidth="1"/>
    <col min="9989" max="9989" width="12.25" customWidth="1"/>
    <col min="9990" max="9990" width="11.75" customWidth="1"/>
    <col min="9991" max="9991" width="12.75" customWidth="1"/>
    <col min="9992" max="9992" width="12.875" customWidth="1"/>
    <col min="9993" max="9993" width="12" customWidth="1"/>
    <col min="9994" max="9994" width="30.75" customWidth="1"/>
    <col min="10241" max="10241" width="8.375" customWidth="1"/>
    <col min="10242" max="10242" width="47.75" customWidth="1"/>
    <col min="10243" max="10243" width="10.25" customWidth="1"/>
    <col min="10244" max="10244" width="2" customWidth="1"/>
    <col min="10245" max="10245" width="12.25" customWidth="1"/>
    <col min="10246" max="10246" width="11.75" customWidth="1"/>
    <col min="10247" max="10247" width="12.75" customWidth="1"/>
    <col min="10248" max="10248" width="12.875" customWidth="1"/>
    <col min="10249" max="10249" width="12" customWidth="1"/>
    <col min="10250" max="10250" width="30.75" customWidth="1"/>
    <col min="10497" max="10497" width="8.375" customWidth="1"/>
    <col min="10498" max="10498" width="47.75" customWidth="1"/>
    <col min="10499" max="10499" width="10.25" customWidth="1"/>
    <col min="10500" max="10500" width="2" customWidth="1"/>
    <col min="10501" max="10501" width="12.25" customWidth="1"/>
    <col min="10502" max="10502" width="11.75" customWidth="1"/>
    <col min="10503" max="10503" width="12.75" customWidth="1"/>
    <col min="10504" max="10504" width="12.875" customWidth="1"/>
    <col min="10505" max="10505" width="12" customWidth="1"/>
    <col min="10506" max="10506" width="30.75" customWidth="1"/>
    <col min="10753" max="10753" width="8.375" customWidth="1"/>
    <col min="10754" max="10754" width="47.75" customWidth="1"/>
    <col min="10755" max="10755" width="10.25" customWidth="1"/>
    <col min="10756" max="10756" width="2" customWidth="1"/>
    <col min="10757" max="10757" width="12.25" customWidth="1"/>
    <col min="10758" max="10758" width="11.75" customWidth="1"/>
    <col min="10759" max="10759" width="12.75" customWidth="1"/>
    <col min="10760" max="10760" width="12.875" customWidth="1"/>
    <col min="10761" max="10761" width="12" customWidth="1"/>
    <col min="10762" max="10762" width="30.75" customWidth="1"/>
    <col min="11009" max="11009" width="8.375" customWidth="1"/>
    <col min="11010" max="11010" width="47.75" customWidth="1"/>
    <col min="11011" max="11011" width="10.25" customWidth="1"/>
    <col min="11012" max="11012" width="2" customWidth="1"/>
    <col min="11013" max="11013" width="12.25" customWidth="1"/>
    <col min="11014" max="11014" width="11.75" customWidth="1"/>
    <col min="11015" max="11015" width="12.75" customWidth="1"/>
    <col min="11016" max="11016" width="12.875" customWidth="1"/>
    <col min="11017" max="11017" width="12" customWidth="1"/>
    <col min="11018" max="11018" width="30.75" customWidth="1"/>
    <col min="11265" max="11265" width="8.375" customWidth="1"/>
    <col min="11266" max="11266" width="47.75" customWidth="1"/>
    <col min="11267" max="11267" width="10.25" customWidth="1"/>
    <col min="11268" max="11268" width="2" customWidth="1"/>
    <col min="11269" max="11269" width="12.25" customWidth="1"/>
    <col min="11270" max="11270" width="11.75" customWidth="1"/>
    <col min="11271" max="11271" width="12.75" customWidth="1"/>
    <col min="11272" max="11272" width="12.875" customWidth="1"/>
    <col min="11273" max="11273" width="12" customWidth="1"/>
    <col min="11274" max="11274" width="30.75" customWidth="1"/>
    <col min="11521" max="11521" width="8.375" customWidth="1"/>
    <col min="11522" max="11522" width="47.75" customWidth="1"/>
    <col min="11523" max="11523" width="10.25" customWidth="1"/>
    <col min="11524" max="11524" width="2" customWidth="1"/>
    <col min="11525" max="11525" width="12.25" customWidth="1"/>
    <col min="11526" max="11526" width="11.75" customWidth="1"/>
    <col min="11527" max="11527" width="12.75" customWidth="1"/>
    <col min="11528" max="11528" width="12.875" customWidth="1"/>
    <col min="11529" max="11529" width="12" customWidth="1"/>
    <col min="11530" max="11530" width="30.75" customWidth="1"/>
    <col min="11777" max="11777" width="8.375" customWidth="1"/>
    <col min="11778" max="11778" width="47.75" customWidth="1"/>
    <col min="11779" max="11779" width="10.25" customWidth="1"/>
    <col min="11780" max="11780" width="2" customWidth="1"/>
    <col min="11781" max="11781" width="12.25" customWidth="1"/>
    <col min="11782" max="11782" width="11.75" customWidth="1"/>
    <col min="11783" max="11783" width="12.75" customWidth="1"/>
    <col min="11784" max="11784" width="12.875" customWidth="1"/>
    <col min="11785" max="11785" width="12" customWidth="1"/>
    <col min="11786" max="11786" width="30.75" customWidth="1"/>
    <col min="12033" max="12033" width="8.375" customWidth="1"/>
    <col min="12034" max="12034" width="47.75" customWidth="1"/>
    <col min="12035" max="12035" width="10.25" customWidth="1"/>
    <col min="12036" max="12036" width="2" customWidth="1"/>
    <col min="12037" max="12037" width="12.25" customWidth="1"/>
    <col min="12038" max="12038" width="11.75" customWidth="1"/>
    <col min="12039" max="12039" width="12.75" customWidth="1"/>
    <col min="12040" max="12040" width="12.875" customWidth="1"/>
    <col min="12041" max="12041" width="12" customWidth="1"/>
    <col min="12042" max="12042" width="30.75" customWidth="1"/>
    <col min="12289" max="12289" width="8.375" customWidth="1"/>
    <col min="12290" max="12290" width="47.75" customWidth="1"/>
    <col min="12291" max="12291" width="10.25" customWidth="1"/>
    <col min="12292" max="12292" width="2" customWidth="1"/>
    <col min="12293" max="12293" width="12.25" customWidth="1"/>
    <col min="12294" max="12294" width="11.75" customWidth="1"/>
    <col min="12295" max="12295" width="12.75" customWidth="1"/>
    <col min="12296" max="12296" width="12.875" customWidth="1"/>
    <col min="12297" max="12297" width="12" customWidth="1"/>
    <col min="12298" max="12298" width="30.75" customWidth="1"/>
    <col min="12545" max="12545" width="8.375" customWidth="1"/>
    <col min="12546" max="12546" width="47.75" customWidth="1"/>
    <col min="12547" max="12547" width="10.25" customWidth="1"/>
    <col min="12548" max="12548" width="2" customWidth="1"/>
    <col min="12549" max="12549" width="12.25" customWidth="1"/>
    <col min="12550" max="12550" width="11.75" customWidth="1"/>
    <col min="12551" max="12551" width="12.75" customWidth="1"/>
    <col min="12552" max="12552" width="12.875" customWidth="1"/>
    <col min="12553" max="12553" width="12" customWidth="1"/>
    <col min="12554" max="12554" width="30.75" customWidth="1"/>
    <col min="12801" max="12801" width="8.375" customWidth="1"/>
    <col min="12802" max="12802" width="47.75" customWidth="1"/>
    <col min="12803" max="12803" width="10.25" customWidth="1"/>
    <col min="12804" max="12804" width="2" customWidth="1"/>
    <col min="12805" max="12805" width="12.25" customWidth="1"/>
    <col min="12806" max="12806" width="11.75" customWidth="1"/>
    <col min="12807" max="12807" width="12.75" customWidth="1"/>
    <col min="12808" max="12808" width="12.875" customWidth="1"/>
    <col min="12809" max="12809" width="12" customWidth="1"/>
    <col min="12810" max="12810" width="30.75" customWidth="1"/>
    <col min="13057" max="13057" width="8.375" customWidth="1"/>
    <col min="13058" max="13058" width="47.75" customWidth="1"/>
    <col min="13059" max="13059" width="10.25" customWidth="1"/>
    <col min="13060" max="13060" width="2" customWidth="1"/>
    <col min="13061" max="13061" width="12.25" customWidth="1"/>
    <col min="13062" max="13062" width="11.75" customWidth="1"/>
    <col min="13063" max="13063" width="12.75" customWidth="1"/>
    <col min="13064" max="13064" width="12.875" customWidth="1"/>
    <col min="13065" max="13065" width="12" customWidth="1"/>
    <col min="13066" max="13066" width="30.75" customWidth="1"/>
    <col min="13313" max="13313" width="8.375" customWidth="1"/>
    <col min="13314" max="13314" width="47.75" customWidth="1"/>
    <col min="13315" max="13315" width="10.25" customWidth="1"/>
    <col min="13316" max="13316" width="2" customWidth="1"/>
    <col min="13317" max="13317" width="12.25" customWidth="1"/>
    <col min="13318" max="13318" width="11.75" customWidth="1"/>
    <col min="13319" max="13319" width="12.75" customWidth="1"/>
    <col min="13320" max="13320" width="12.875" customWidth="1"/>
    <col min="13321" max="13321" width="12" customWidth="1"/>
    <col min="13322" max="13322" width="30.75" customWidth="1"/>
    <col min="13569" max="13569" width="8.375" customWidth="1"/>
    <col min="13570" max="13570" width="47.75" customWidth="1"/>
    <col min="13571" max="13571" width="10.25" customWidth="1"/>
    <col min="13572" max="13572" width="2" customWidth="1"/>
    <col min="13573" max="13573" width="12.25" customWidth="1"/>
    <col min="13574" max="13574" width="11.75" customWidth="1"/>
    <col min="13575" max="13575" width="12.75" customWidth="1"/>
    <col min="13576" max="13576" width="12.875" customWidth="1"/>
    <col min="13577" max="13577" width="12" customWidth="1"/>
    <col min="13578" max="13578" width="30.75" customWidth="1"/>
    <col min="13825" max="13825" width="8.375" customWidth="1"/>
    <col min="13826" max="13826" width="47.75" customWidth="1"/>
    <col min="13827" max="13827" width="10.25" customWidth="1"/>
    <col min="13828" max="13828" width="2" customWidth="1"/>
    <col min="13829" max="13829" width="12.25" customWidth="1"/>
    <col min="13830" max="13830" width="11.75" customWidth="1"/>
    <col min="13831" max="13831" width="12.75" customWidth="1"/>
    <col min="13832" max="13832" width="12.875" customWidth="1"/>
    <col min="13833" max="13833" width="12" customWidth="1"/>
    <col min="13834" max="13834" width="30.75" customWidth="1"/>
    <col min="14081" max="14081" width="8.375" customWidth="1"/>
    <col min="14082" max="14082" width="47.75" customWidth="1"/>
    <col min="14083" max="14083" width="10.25" customWidth="1"/>
    <col min="14084" max="14084" width="2" customWidth="1"/>
    <col min="14085" max="14085" width="12.25" customWidth="1"/>
    <col min="14086" max="14086" width="11.75" customWidth="1"/>
    <col min="14087" max="14087" width="12.75" customWidth="1"/>
    <col min="14088" max="14088" width="12.875" customWidth="1"/>
    <col min="14089" max="14089" width="12" customWidth="1"/>
    <col min="14090" max="14090" width="30.75" customWidth="1"/>
    <col min="14337" max="14337" width="8.375" customWidth="1"/>
    <col min="14338" max="14338" width="47.75" customWidth="1"/>
    <col min="14339" max="14339" width="10.25" customWidth="1"/>
    <col min="14340" max="14340" width="2" customWidth="1"/>
    <col min="14341" max="14341" width="12.25" customWidth="1"/>
    <col min="14342" max="14342" width="11.75" customWidth="1"/>
    <col min="14343" max="14343" width="12.75" customWidth="1"/>
    <col min="14344" max="14344" width="12.875" customWidth="1"/>
    <col min="14345" max="14345" width="12" customWidth="1"/>
    <col min="14346" max="14346" width="30.75" customWidth="1"/>
    <col min="14593" max="14593" width="8.375" customWidth="1"/>
    <col min="14594" max="14594" width="47.75" customWidth="1"/>
    <col min="14595" max="14595" width="10.25" customWidth="1"/>
    <col min="14596" max="14596" width="2" customWidth="1"/>
    <col min="14597" max="14597" width="12.25" customWidth="1"/>
    <col min="14598" max="14598" width="11.75" customWidth="1"/>
    <col min="14599" max="14599" width="12.75" customWidth="1"/>
    <col min="14600" max="14600" width="12.875" customWidth="1"/>
    <col min="14601" max="14601" width="12" customWidth="1"/>
    <col min="14602" max="14602" width="30.75" customWidth="1"/>
    <col min="14849" max="14849" width="8.375" customWidth="1"/>
    <col min="14850" max="14850" width="47.75" customWidth="1"/>
    <col min="14851" max="14851" width="10.25" customWidth="1"/>
    <col min="14852" max="14852" width="2" customWidth="1"/>
    <col min="14853" max="14853" width="12.25" customWidth="1"/>
    <col min="14854" max="14854" width="11.75" customWidth="1"/>
    <col min="14855" max="14855" width="12.75" customWidth="1"/>
    <col min="14856" max="14856" width="12.875" customWidth="1"/>
    <col min="14857" max="14857" width="12" customWidth="1"/>
    <col min="14858" max="14858" width="30.75" customWidth="1"/>
    <col min="15105" max="15105" width="8.375" customWidth="1"/>
    <col min="15106" max="15106" width="47.75" customWidth="1"/>
    <col min="15107" max="15107" width="10.25" customWidth="1"/>
    <col min="15108" max="15108" width="2" customWidth="1"/>
    <col min="15109" max="15109" width="12.25" customWidth="1"/>
    <col min="15110" max="15110" width="11.75" customWidth="1"/>
    <col min="15111" max="15111" width="12.75" customWidth="1"/>
    <col min="15112" max="15112" width="12.875" customWidth="1"/>
    <col min="15113" max="15113" width="12" customWidth="1"/>
    <col min="15114" max="15114" width="30.75" customWidth="1"/>
    <col min="15361" max="15361" width="8.375" customWidth="1"/>
    <col min="15362" max="15362" width="47.75" customWidth="1"/>
    <col min="15363" max="15363" width="10.25" customWidth="1"/>
    <col min="15364" max="15364" width="2" customWidth="1"/>
    <col min="15365" max="15365" width="12.25" customWidth="1"/>
    <col min="15366" max="15366" width="11.75" customWidth="1"/>
    <col min="15367" max="15367" width="12.75" customWidth="1"/>
    <col min="15368" max="15368" width="12.875" customWidth="1"/>
    <col min="15369" max="15369" width="12" customWidth="1"/>
    <col min="15370" max="15370" width="30.75" customWidth="1"/>
    <col min="15617" max="15617" width="8.375" customWidth="1"/>
    <col min="15618" max="15618" width="47.75" customWidth="1"/>
    <col min="15619" max="15619" width="10.25" customWidth="1"/>
    <col min="15620" max="15620" width="2" customWidth="1"/>
    <col min="15621" max="15621" width="12.25" customWidth="1"/>
    <col min="15622" max="15622" width="11.75" customWidth="1"/>
    <col min="15623" max="15623" width="12.75" customWidth="1"/>
    <col min="15624" max="15624" width="12.875" customWidth="1"/>
    <col min="15625" max="15625" width="12" customWidth="1"/>
    <col min="15626" max="15626" width="30.75" customWidth="1"/>
    <col min="15873" max="15873" width="8.375" customWidth="1"/>
    <col min="15874" max="15874" width="47.75" customWidth="1"/>
    <col min="15875" max="15875" width="10.25" customWidth="1"/>
    <col min="15876" max="15876" width="2" customWidth="1"/>
    <col min="15877" max="15877" width="12.25" customWidth="1"/>
    <col min="15878" max="15878" width="11.75" customWidth="1"/>
    <col min="15879" max="15879" width="12.75" customWidth="1"/>
    <col min="15880" max="15880" width="12.875" customWidth="1"/>
    <col min="15881" max="15881" width="12" customWidth="1"/>
    <col min="15882" max="15882" width="30.75" customWidth="1"/>
    <col min="16129" max="16129" width="8.375" customWidth="1"/>
    <col min="16130" max="16130" width="47.75" customWidth="1"/>
    <col min="16131" max="16131" width="10.25" customWidth="1"/>
    <col min="16132" max="16132" width="2" customWidth="1"/>
    <col min="16133" max="16133" width="12.25" customWidth="1"/>
    <col min="16134" max="16134" width="11.75" customWidth="1"/>
    <col min="16135" max="16135" width="12.75" customWidth="1"/>
    <col min="16136" max="16136" width="12.875" customWidth="1"/>
    <col min="16137" max="16137" width="12" customWidth="1"/>
    <col min="16138" max="16138" width="30.75" customWidth="1"/>
  </cols>
  <sheetData>
    <row r="1" spans="1:256" s="146" customFormat="1" ht="13.7" customHeight="1">
      <c r="A1" s="204"/>
      <c r="I1" s="144" t="s">
        <v>898</v>
      </c>
      <c r="K1" s="144"/>
      <c r="L1" s="143"/>
    </row>
    <row r="2" spans="1:256" s="146" customFormat="1" ht="13.7" customHeight="1">
      <c r="A2" s="251"/>
      <c r="B2" s="251"/>
      <c r="C2" s="251"/>
      <c r="D2" s="251"/>
      <c r="E2" s="251"/>
      <c r="F2" s="251"/>
      <c r="G2" s="251"/>
      <c r="H2" s="251"/>
      <c r="I2" s="4" t="s">
        <v>155</v>
      </c>
      <c r="J2" s="251"/>
      <c r="K2" s="4"/>
      <c r="L2" s="251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s="146" customFormat="1" ht="13.7" customHeight="1">
      <c r="A3" s="251"/>
      <c r="B3" s="251"/>
      <c r="C3" s="251"/>
      <c r="D3" s="251"/>
      <c r="E3" s="251"/>
      <c r="F3" s="251"/>
      <c r="G3" s="251"/>
      <c r="H3" s="251"/>
      <c r="I3" s="4" t="s">
        <v>635</v>
      </c>
      <c r="J3" s="251"/>
      <c r="K3" s="4"/>
      <c r="L3" s="251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146" customFormat="1" ht="0.7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s="146" customFormat="1" ht="28.15" customHeight="1">
      <c r="A5" s="1073" t="s">
        <v>394</v>
      </c>
      <c r="B5" s="1073"/>
      <c r="C5" s="1073"/>
      <c r="D5" s="1073"/>
      <c r="E5" s="1073"/>
      <c r="F5" s="1073"/>
      <c r="G5" s="1073"/>
      <c r="H5" s="1073"/>
      <c r="I5" s="1073"/>
      <c r="J5" s="1073"/>
      <c r="K5" s="253"/>
      <c r="L5" s="253"/>
      <c r="M5" s="253"/>
      <c r="N5" s="253"/>
      <c r="O5" s="253"/>
      <c r="P5" s="253"/>
    </row>
    <row r="6" spans="1:256" ht="11.25" customHeight="1">
      <c r="I6" s="254"/>
      <c r="J6" s="204" t="s">
        <v>35</v>
      </c>
    </row>
    <row r="7" spans="1:256" ht="14.1" customHeight="1">
      <c r="A7" s="1069" t="s">
        <v>395</v>
      </c>
      <c r="B7" s="1069" t="s">
        <v>396</v>
      </c>
      <c r="C7" s="1055" t="s">
        <v>397</v>
      </c>
      <c r="D7" s="1055" t="s">
        <v>99</v>
      </c>
      <c r="E7" s="1069" t="s">
        <v>398</v>
      </c>
      <c r="F7" s="1069" t="s">
        <v>399</v>
      </c>
      <c r="G7" s="1074" t="s">
        <v>400</v>
      </c>
      <c r="H7" s="1074"/>
      <c r="I7" s="1074"/>
      <c r="J7" s="1069" t="s">
        <v>401</v>
      </c>
    </row>
    <row r="8" spans="1:256" ht="14.1" customHeight="1">
      <c r="A8" s="1069"/>
      <c r="B8" s="1069"/>
      <c r="C8" s="1056"/>
      <c r="D8" s="1056"/>
      <c r="E8" s="1069"/>
      <c r="F8" s="1069"/>
      <c r="G8" s="1069" t="s">
        <v>402</v>
      </c>
      <c r="H8" s="1068" t="s">
        <v>403</v>
      </c>
      <c r="I8" s="1068"/>
      <c r="J8" s="1069"/>
    </row>
    <row r="9" spans="1:256" ht="14.1" customHeight="1">
      <c r="A9" s="1069"/>
      <c r="B9" s="1069"/>
      <c r="C9" s="1056"/>
      <c r="D9" s="1056"/>
      <c r="E9" s="1069"/>
      <c r="F9" s="1069"/>
      <c r="G9" s="1069"/>
      <c r="H9" s="1069" t="s">
        <v>404</v>
      </c>
      <c r="I9" s="1069" t="s">
        <v>405</v>
      </c>
      <c r="J9" s="1069"/>
    </row>
    <row r="10" spans="1:256" ht="14.1" customHeight="1">
      <c r="A10" s="1069"/>
      <c r="B10" s="1069"/>
      <c r="C10" s="1057"/>
      <c r="D10" s="1057"/>
      <c r="E10" s="1069"/>
      <c r="F10" s="1069"/>
      <c r="G10" s="1069"/>
      <c r="H10" s="1069"/>
      <c r="I10" s="1069"/>
      <c r="J10" s="1069"/>
    </row>
    <row r="11" spans="1:256" ht="12" customHeight="1">
      <c r="A11" s="256">
        <v>1</v>
      </c>
      <c r="B11" s="256">
        <v>2</v>
      </c>
      <c r="C11" s="256">
        <v>3</v>
      </c>
      <c r="D11" s="256"/>
      <c r="E11" s="256">
        <v>4</v>
      </c>
      <c r="F11" s="256">
        <v>5</v>
      </c>
      <c r="G11" s="256">
        <v>6</v>
      </c>
      <c r="H11" s="256" t="s">
        <v>406</v>
      </c>
      <c r="I11" s="256" t="s">
        <v>407</v>
      </c>
      <c r="J11" s="256">
        <v>7</v>
      </c>
    </row>
    <row r="12" spans="1:256" ht="5.0999999999999996" customHeight="1">
      <c r="A12" s="257"/>
      <c r="B12" s="257"/>
      <c r="C12" s="257"/>
      <c r="D12" s="257"/>
      <c r="E12" s="257"/>
      <c r="F12" s="257"/>
      <c r="G12" s="257"/>
      <c r="H12" s="257"/>
      <c r="I12" s="258"/>
      <c r="J12" s="257"/>
    </row>
    <row r="13" spans="1:256" ht="15.2" customHeight="1">
      <c r="A13" s="1017"/>
      <c r="B13" s="1070" t="s">
        <v>176</v>
      </c>
      <c r="C13" s="1017" t="s">
        <v>408</v>
      </c>
      <c r="D13" s="259" t="s">
        <v>0</v>
      </c>
      <c r="E13" s="1017" t="s">
        <v>408</v>
      </c>
      <c r="F13" s="1017" t="s">
        <v>408</v>
      </c>
      <c r="G13" s="260">
        <f t="shared" ref="G13:I14" si="0">G314+G537+G543+G549</f>
        <v>687722364</v>
      </c>
      <c r="H13" s="260">
        <f t="shared" si="0"/>
        <v>479601905</v>
      </c>
      <c r="I13" s="260">
        <f t="shared" si="0"/>
        <v>208120459</v>
      </c>
      <c r="J13" s="1017" t="s">
        <v>408</v>
      </c>
    </row>
    <row r="14" spans="1:256" ht="15.2" customHeight="1">
      <c r="A14" s="1018"/>
      <c r="B14" s="1071"/>
      <c r="C14" s="1018"/>
      <c r="D14" s="259" t="s">
        <v>1</v>
      </c>
      <c r="E14" s="1018"/>
      <c r="F14" s="1018"/>
      <c r="G14" s="260">
        <f t="shared" si="0"/>
        <v>22784133</v>
      </c>
      <c r="H14" s="260">
        <f t="shared" si="0"/>
        <v>9468361</v>
      </c>
      <c r="I14" s="260">
        <f t="shared" si="0"/>
        <v>13315772</v>
      </c>
      <c r="J14" s="1018"/>
    </row>
    <row r="15" spans="1:256" ht="15.2" customHeight="1">
      <c r="A15" s="1019"/>
      <c r="B15" s="1072"/>
      <c r="C15" s="1019"/>
      <c r="D15" s="259" t="s">
        <v>2</v>
      </c>
      <c r="E15" s="1019"/>
      <c r="F15" s="1019"/>
      <c r="G15" s="260">
        <f>G13+G14</f>
        <v>710506497</v>
      </c>
      <c r="H15" s="260">
        <f>H13+H14</f>
        <v>489070266</v>
      </c>
      <c r="I15" s="260">
        <f>I13+I14</f>
        <v>221436231</v>
      </c>
      <c r="J15" s="1019"/>
    </row>
    <row r="16" spans="1:256" ht="5.0999999999999996" customHeight="1">
      <c r="A16" s="257"/>
      <c r="B16" s="261"/>
      <c r="C16" s="262"/>
      <c r="D16" s="262"/>
      <c r="E16" s="257"/>
      <c r="F16" s="257"/>
      <c r="G16" s="257"/>
      <c r="H16" s="257"/>
      <c r="I16" s="258"/>
      <c r="J16" s="257"/>
    </row>
    <row r="17" spans="1:10" ht="15.75">
      <c r="A17" s="1024" t="s">
        <v>409</v>
      </c>
      <c r="B17" s="1025"/>
      <c r="C17" s="1025"/>
      <c r="D17" s="1025"/>
      <c r="E17" s="1025"/>
      <c r="F17" s="1025"/>
      <c r="G17" s="1025"/>
      <c r="H17" s="1025"/>
      <c r="I17" s="1025"/>
      <c r="J17" s="1026"/>
    </row>
    <row r="18" spans="1:10" ht="5.0999999999999996" customHeight="1">
      <c r="A18" s="263"/>
      <c r="B18" s="264"/>
      <c r="C18" s="257"/>
      <c r="D18" s="257"/>
      <c r="E18" s="257"/>
      <c r="F18" s="257"/>
      <c r="G18" s="257"/>
      <c r="H18" s="257"/>
      <c r="I18" s="258"/>
      <c r="J18" s="257"/>
    </row>
    <row r="19" spans="1:10" hidden="1">
      <c r="A19" s="1046" t="s">
        <v>42</v>
      </c>
      <c r="B19" s="1052" t="s">
        <v>177</v>
      </c>
      <c r="C19" s="1028" t="s">
        <v>408</v>
      </c>
      <c r="D19" s="255" t="s">
        <v>0</v>
      </c>
      <c r="E19" s="265">
        <f>E22</f>
        <v>12601553</v>
      </c>
      <c r="F19" s="1065" t="s">
        <v>408</v>
      </c>
      <c r="G19" s="265">
        <f t="shared" ref="G19:I20" si="1">G22</f>
        <v>12601553</v>
      </c>
      <c r="H19" s="265">
        <f t="shared" si="1"/>
        <v>12601553</v>
      </c>
      <c r="I19" s="265">
        <f t="shared" si="1"/>
        <v>0</v>
      </c>
      <c r="J19" s="1028" t="s">
        <v>408</v>
      </c>
    </row>
    <row r="20" spans="1:10" hidden="1">
      <c r="A20" s="1047"/>
      <c r="B20" s="1053"/>
      <c r="C20" s="1029"/>
      <c r="D20" s="255" t="s">
        <v>1</v>
      </c>
      <c r="E20" s="265">
        <f>E23</f>
        <v>0</v>
      </c>
      <c r="F20" s="1066"/>
      <c r="G20" s="265">
        <f t="shared" si="1"/>
        <v>0</v>
      </c>
      <c r="H20" s="265">
        <f t="shared" si="1"/>
        <v>0</v>
      </c>
      <c r="I20" s="265">
        <f t="shared" si="1"/>
        <v>0</v>
      </c>
      <c r="J20" s="1029"/>
    </row>
    <row r="21" spans="1:10" hidden="1">
      <c r="A21" s="1048"/>
      <c r="B21" s="1054"/>
      <c r="C21" s="1030"/>
      <c r="D21" s="255" t="s">
        <v>2</v>
      </c>
      <c r="E21" s="265">
        <f>E19+E20</f>
        <v>12601553</v>
      </c>
      <c r="F21" s="1067"/>
      <c r="G21" s="265">
        <f>G19+G20</f>
        <v>12601553</v>
      </c>
      <c r="H21" s="265">
        <f>H19+H20</f>
        <v>12601553</v>
      </c>
      <c r="I21" s="265">
        <f>I19+I20</f>
        <v>0</v>
      </c>
      <c r="J21" s="1030"/>
    </row>
    <row r="22" spans="1:10" hidden="1">
      <c r="A22" s="1031" t="s">
        <v>184</v>
      </c>
      <c r="B22" s="1034" t="s">
        <v>410</v>
      </c>
      <c r="C22" s="1037">
        <v>2024</v>
      </c>
      <c r="D22" s="266" t="s">
        <v>0</v>
      </c>
      <c r="E22" s="267">
        <v>12601553</v>
      </c>
      <c r="F22" s="1059" t="s">
        <v>408</v>
      </c>
      <c r="G22" s="267">
        <f>H22+I22</f>
        <v>12601553</v>
      </c>
      <c r="H22" s="267">
        <v>12601553</v>
      </c>
      <c r="I22" s="267">
        <v>0</v>
      </c>
      <c r="J22" s="1034" t="s">
        <v>411</v>
      </c>
    </row>
    <row r="23" spans="1:10" hidden="1">
      <c r="A23" s="1032"/>
      <c r="B23" s="1035"/>
      <c r="C23" s="1038"/>
      <c r="D23" s="266" t="s">
        <v>1</v>
      </c>
      <c r="E23" s="267"/>
      <c r="F23" s="1060"/>
      <c r="G23" s="267">
        <f>H23+I23</f>
        <v>0</v>
      </c>
      <c r="H23" s="267"/>
      <c r="I23" s="267"/>
      <c r="J23" s="1035"/>
    </row>
    <row r="24" spans="1:10" hidden="1">
      <c r="A24" s="1033"/>
      <c r="B24" s="1036"/>
      <c r="C24" s="1039"/>
      <c r="D24" s="266" t="s">
        <v>2</v>
      </c>
      <c r="E24" s="267">
        <f>E22+E23</f>
        <v>12601553</v>
      </c>
      <c r="F24" s="1061"/>
      <c r="G24" s="267">
        <f>G22+G23</f>
        <v>12601553</v>
      </c>
      <c r="H24" s="267">
        <f>H22+H23</f>
        <v>12601553</v>
      </c>
      <c r="I24" s="267">
        <f>I22+I23</f>
        <v>0</v>
      </c>
      <c r="J24" s="1036"/>
    </row>
    <row r="25" spans="1:10" ht="13.7" customHeight="1">
      <c r="A25" s="1046" t="s">
        <v>45</v>
      </c>
      <c r="B25" s="1052" t="s">
        <v>46</v>
      </c>
      <c r="C25" s="1028" t="s">
        <v>408</v>
      </c>
      <c r="D25" s="255" t="s">
        <v>0</v>
      </c>
      <c r="E25" s="265">
        <f>E28+E31+E34+E37+E40+E43+E46+E52+E55+E58+E61+E49+E64+E67+E70</f>
        <v>165455343</v>
      </c>
      <c r="F25" s="1065" t="s">
        <v>408</v>
      </c>
      <c r="G25" s="265">
        <f t="shared" ref="G25:I26" si="2">G28+G31+G34+G37+G40+G43+G46+G52+G55+G58+G61+G49+G64+G67+G70</f>
        <v>165455343</v>
      </c>
      <c r="H25" s="265">
        <f t="shared" si="2"/>
        <v>155433924</v>
      </c>
      <c r="I25" s="265">
        <f t="shared" si="2"/>
        <v>10021419</v>
      </c>
      <c r="J25" s="1028" t="s">
        <v>408</v>
      </c>
    </row>
    <row r="26" spans="1:10" ht="13.7" customHeight="1">
      <c r="A26" s="1047"/>
      <c r="B26" s="1053"/>
      <c r="C26" s="1029"/>
      <c r="D26" s="255" t="s">
        <v>1</v>
      </c>
      <c r="E26" s="265">
        <f>E29+E32+E35+E38+E41+E44+E47+E53+E56+E59+E62+E50+E65+E68+E71</f>
        <v>16431916</v>
      </c>
      <c r="F26" s="1066"/>
      <c r="G26" s="265">
        <f t="shared" si="2"/>
        <v>16431916</v>
      </c>
      <c r="H26" s="265">
        <f t="shared" si="2"/>
        <v>15601403</v>
      </c>
      <c r="I26" s="265">
        <f t="shared" si="2"/>
        <v>830513</v>
      </c>
      <c r="J26" s="1029"/>
    </row>
    <row r="27" spans="1:10" ht="13.7" customHeight="1">
      <c r="A27" s="1048"/>
      <c r="B27" s="1054"/>
      <c r="C27" s="1030"/>
      <c r="D27" s="255" t="s">
        <v>2</v>
      </c>
      <c r="E27" s="265">
        <f>E25+E26</f>
        <v>181887259</v>
      </c>
      <c r="F27" s="1067"/>
      <c r="G27" s="265">
        <f>G25+G26</f>
        <v>181887259</v>
      </c>
      <c r="H27" s="265">
        <f>H25+H26</f>
        <v>171035327</v>
      </c>
      <c r="I27" s="265">
        <f>I25+I26</f>
        <v>10851932</v>
      </c>
      <c r="J27" s="1030"/>
    </row>
    <row r="28" spans="1:10" hidden="1">
      <c r="A28" s="1031" t="s">
        <v>195</v>
      </c>
      <c r="B28" s="1034" t="s">
        <v>412</v>
      </c>
      <c r="C28" s="1037">
        <v>2024</v>
      </c>
      <c r="D28" s="266" t="s">
        <v>0</v>
      </c>
      <c r="E28" s="267">
        <v>6875000</v>
      </c>
      <c r="F28" s="1059" t="s">
        <v>408</v>
      </c>
      <c r="G28" s="267">
        <f>H28+I28</f>
        <v>6875000</v>
      </c>
      <c r="H28" s="267">
        <v>0</v>
      </c>
      <c r="I28" s="267">
        <v>6875000</v>
      </c>
      <c r="J28" s="1034" t="s">
        <v>411</v>
      </c>
    </row>
    <row r="29" spans="1:10" hidden="1">
      <c r="A29" s="1032"/>
      <c r="B29" s="1035"/>
      <c r="C29" s="1038"/>
      <c r="D29" s="266" t="s">
        <v>1</v>
      </c>
      <c r="E29" s="267"/>
      <c r="F29" s="1060"/>
      <c r="G29" s="267">
        <f>H29+I29</f>
        <v>0</v>
      </c>
      <c r="H29" s="267"/>
      <c r="I29" s="267"/>
      <c r="J29" s="1035"/>
    </row>
    <row r="30" spans="1:10" hidden="1">
      <c r="A30" s="1033"/>
      <c r="B30" s="1036"/>
      <c r="C30" s="1039"/>
      <c r="D30" s="266" t="s">
        <v>2</v>
      </c>
      <c r="E30" s="267">
        <f>E28+E29</f>
        <v>6875000</v>
      </c>
      <c r="F30" s="1061"/>
      <c r="G30" s="267">
        <f>G28+G29</f>
        <v>6875000</v>
      </c>
      <c r="H30" s="267">
        <f>H28+H29</f>
        <v>0</v>
      </c>
      <c r="I30" s="267">
        <f>I28+I29</f>
        <v>6875000</v>
      </c>
      <c r="J30" s="1036"/>
    </row>
    <row r="31" spans="1:10" ht="18" hidden="1" customHeight="1">
      <c r="A31" s="1031" t="s">
        <v>413</v>
      </c>
      <c r="B31" s="1034" t="s">
        <v>414</v>
      </c>
      <c r="C31" s="1037">
        <v>2024</v>
      </c>
      <c r="D31" s="266" t="s">
        <v>0</v>
      </c>
      <c r="E31" s="267">
        <v>200000</v>
      </c>
      <c r="F31" s="1059" t="s">
        <v>408</v>
      </c>
      <c r="G31" s="267">
        <f>H31+I31</f>
        <v>200000</v>
      </c>
      <c r="H31" s="267">
        <v>200000</v>
      </c>
      <c r="I31" s="267">
        <v>0</v>
      </c>
      <c r="J31" s="1034" t="s">
        <v>411</v>
      </c>
    </row>
    <row r="32" spans="1:10" ht="18" hidden="1" customHeight="1">
      <c r="A32" s="1032"/>
      <c r="B32" s="1035"/>
      <c r="C32" s="1038"/>
      <c r="D32" s="266" t="s">
        <v>1</v>
      </c>
      <c r="E32" s="267"/>
      <c r="F32" s="1060"/>
      <c r="G32" s="267">
        <f>H32+I32</f>
        <v>0</v>
      </c>
      <c r="H32" s="267"/>
      <c r="I32" s="267"/>
      <c r="J32" s="1035"/>
    </row>
    <row r="33" spans="1:10" ht="18" hidden="1" customHeight="1">
      <c r="A33" s="1033"/>
      <c r="B33" s="1036"/>
      <c r="C33" s="1039"/>
      <c r="D33" s="266" t="s">
        <v>2</v>
      </c>
      <c r="E33" s="267">
        <f>E31+E32</f>
        <v>200000</v>
      </c>
      <c r="F33" s="1061"/>
      <c r="G33" s="267">
        <f>G31+G32</f>
        <v>200000</v>
      </c>
      <c r="H33" s="267">
        <f>H31+H32</f>
        <v>200000</v>
      </c>
      <c r="I33" s="267">
        <f>I31+I32</f>
        <v>0</v>
      </c>
      <c r="J33" s="1036"/>
    </row>
    <row r="34" spans="1:10" ht="13.7" customHeight="1">
      <c r="A34" s="1031" t="s">
        <v>200</v>
      </c>
      <c r="B34" s="1034" t="s">
        <v>415</v>
      </c>
      <c r="C34" s="1037">
        <v>2024</v>
      </c>
      <c r="D34" s="266" t="s">
        <v>0</v>
      </c>
      <c r="E34" s="267">
        <v>38160000</v>
      </c>
      <c r="F34" s="1059" t="s">
        <v>408</v>
      </c>
      <c r="G34" s="267">
        <f>H34+I34</f>
        <v>38160000</v>
      </c>
      <c r="H34" s="267">
        <v>38100000</v>
      </c>
      <c r="I34" s="267">
        <v>60000</v>
      </c>
      <c r="J34" s="1034" t="s">
        <v>416</v>
      </c>
    </row>
    <row r="35" spans="1:10" ht="13.7" customHeight="1">
      <c r="A35" s="1032"/>
      <c r="B35" s="1035"/>
      <c r="C35" s="1038"/>
      <c r="D35" s="266" t="s">
        <v>1</v>
      </c>
      <c r="E35" s="267">
        <v>7876272</v>
      </c>
      <c r="F35" s="1060"/>
      <c r="G35" s="267">
        <f>H35+I35</f>
        <v>7876272</v>
      </c>
      <c r="H35" s="267">
        <v>7876272</v>
      </c>
      <c r="I35" s="267"/>
      <c r="J35" s="1035"/>
    </row>
    <row r="36" spans="1:10" ht="13.7" customHeight="1">
      <c r="A36" s="1033"/>
      <c r="B36" s="1036"/>
      <c r="C36" s="1039"/>
      <c r="D36" s="266" t="s">
        <v>2</v>
      </c>
      <c r="E36" s="267">
        <f>E34+E35</f>
        <v>46036272</v>
      </c>
      <c r="F36" s="1061"/>
      <c r="G36" s="267">
        <f>G34+G35</f>
        <v>46036272</v>
      </c>
      <c r="H36" s="267">
        <f>H34+H35</f>
        <v>45976272</v>
      </c>
      <c r="I36" s="267">
        <f>I34+I35</f>
        <v>60000</v>
      </c>
      <c r="J36" s="1036"/>
    </row>
    <row r="37" spans="1:10" ht="13.7" customHeight="1">
      <c r="A37" s="1031" t="s">
        <v>200</v>
      </c>
      <c r="B37" s="1034" t="s">
        <v>417</v>
      </c>
      <c r="C37" s="1037">
        <v>2024</v>
      </c>
      <c r="D37" s="266" t="s">
        <v>0</v>
      </c>
      <c r="E37" s="267">
        <v>4086419</v>
      </c>
      <c r="F37" s="1059" t="s">
        <v>408</v>
      </c>
      <c r="G37" s="267">
        <f>H37+I37</f>
        <v>4086419</v>
      </c>
      <c r="H37" s="267">
        <v>3000000</v>
      </c>
      <c r="I37" s="267">
        <v>1086419</v>
      </c>
      <c r="J37" s="1034" t="s">
        <v>416</v>
      </c>
    </row>
    <row r="38" spans="1:10" ht="13.7" customHeight="1">
      <c r="A38" s="1032"/>
      <c r="B38" s="1035"/>
      <c r="C38" s="1038"/>
      <c r="D38" s="266" t="s">
        <v>1</v>
      </c>
      <c r="E38" s="267">
        <v>230513</v>
      </c>
      <c r="F38" s="1060"/>
      <c r="G38" s="267">
        <f>H38+I38</f>
        <v>230513</v>
      </c>
      <c r="H38" s="267"/>
      <c r="I38" s="267">
        <v>230513</v>
      </c>
      <c r="J38" s="1035"/>
    </row>
    <row r="39" spans="1:10" ht="13.7" customHeight="1">
      <c r="A39" s="1033"/>
      <c r="B39" s="1036"/>
      <c r="C39" s="1039"/>
      <c r="D39" s="266" t="s">
        <v>2</v>
      </c>
      <c r="E39" s="267">
        <f>E37+E38</f>
        <v>4316932</v>
      </c>
      <c r="F39" s="1061"/>
      <c r="G39" s="267">
        <f>G37+G38</f>
        <v>4316932</v>
      </c>
      <c r="H39" s="267">
        <f>H37+H38</f>
        <v>3000000</v>
      </c>
      <c r="I39" s="267">
        <f>I37+I38</f>
        <v>1316932</v>
      </c>
      <c r="J39" s="1036"/>
    </row>
    <row r="40" spans="1:10" hidden="1">
      <c r="A40" s="1031" t="s">
        <v>200</v>
      </c>
      <c r="B40" s="1034" t="s">
        <v>418</v>
      </c>
      <c r="C40" s="1037">
        <v>2024</v>
      </c>
      <c r="D40" s="266" t="s">
        <v>0</v>
      </c>
      <c r="E40" s="267">
        <v>2000000</v>
      </c>
      <c r="F40" s="1059" t="s">
        <v>408</v>
      </c>
      <c r="G40" s="267">
        <f>H40+I40</f>
        <v>2000000</v>
      </c>
      <c r="H40" s="267">
        <v>2000000</v>
      </c>
      <c r="I40" s="267">
        <v>0</v>
      </c>
      <c r="J40" s="1034" t="s">
        <v>416</v>
      </c>
    </row>
    <row r="41" spans="1:10" hidden="1">
      <c r="A41" s="1032"/>
      <c r="B41" s="1035"/>
      <c r="C41" s="1038"/>
      <c r="D41" s="266" t="s">
        <v>1</v>
      </c>
      <c r="E41" s="267"/>
      <c r="F41" s="1060"/>
      <c r="G41" s="267">
        <f>H41+I41</f>
        <v>0</v>
      </c>
      <c r="H41" s="267"/>
      <c r="I41" s="267"/>
      <c r="J41" s="1035"/>
    </row>
    <row r="42" spans="1:10" hidden="1">
      <c r="A42" s="1033"/>
      <c r="B42" s="1036"/>
      <c r="C42" s="1039"/>
      <c r="D42" s="266" t="s">
        <v>2</v>
      </c>
      <c r="E42" s="267">
        <f>E40+E41</f>
        <v>2000000</v>
      </c>
      <c r="F42" s="1061"/>
      <c r="G42" s="267">
        <f>G40+G41</f>
        <v>2000000</v>
      </c>
      <c r="H42" s="267">
        <f>H40+H41</f>
        <v>2000000</v>
      </c>
      <c r="I42" s="267">
        <f>I40+I41</f>
        <v>0</v>
      </c>
      <c r="J42" s="1036"/>
    </row>
    <row r="43" spans="1:10" ht="21.75" customHeight="1">
      <c r="A43" s="1031" t="s">
        <v>200</v>
      </c>
      <c r="B43" s="1034" t="s">
        <v>419</v>
      </c>
      <c r="C43" s="1037">
        <v>2024</v>
      </c>
      <c r="D43" s="266" t="s">
        <v>0</v>
      </c>
      <c r="E43" s="267">
        <v>12733924</v>
      </c>
      <c r="F43" s="1059" t="s">
        <v>408</v>
      </c>
      <c r="G43" s="267">
        <f>H43+I43</f>
        <v>12733924</v>
      </c>
      <c r="H43" s="267">
        <v>12733924</v>
      </c>
      <c r="I43" s="267">
        <v>0</v>
      </c>
      <c r="J43" s="1034" t="s">
        <v>416</v>
      </c>
    </row>
    <row r="44" spans="1:10" ht="21.75" customHeight="1">
      <c r="A44" s="1032"/>
      <c r="B44" s="1035"/>
      <c r="C44" s="1038"/>
      <c r="D44" s="266" t="s">
        <v>1</v>
      </c>
      <c r="E44" s="267">
        <v>1000000</v>
      </c>
      <c r="F44" s="1060"/>
      <c r="G44" s="267">
        <f>H44+I44</f>
        <v>1000000</v>
      </c>
      <c r="H44" s="267">
        <v>1000000</v>
      </c>
      <c r="I44" s="267"/>
      <c r="J44" s="1035"/>
    </row>
    <row r="45" spans="1:10" ht="21.75" customHeight="1">
      <c r="A45" s="1033"/>
      <c r="B45" s="1036"/>
      <c r="C45" s="1039"/>
      <c r="D45" s="266" t="s">
        <v>2</v>
      </c>
      <c r="E45" s="267">
        <f>E43+E44</f>
        <v>13733924</v>
      </c>
      <c r="F45" s="1061"/>
      <c r="G45" s="267">
        <f>G43+G44</f>
        <v>13733924</v>
      </c>
      <c r="H45" s="267">
        <f>H43+H44</f>
        <v>13733924</v>
      </c>
      <c r="I45" s="267">
        <f>I43+I44</f>
        <v>0</v>
      </c>
      <c r="J45" s="1036"/>
    </row>
    <row r="46" spans="1:10" ht="13.7" customHeight="1">
      <c r="A46" s="1031" t="s">
        <v>200</v>
      </c>
      <c r="B46" s="1034" t="s">
        <v>420</v>
      </c>
      <c r="C46" s="1037">
        <v>2024</v>
      </c>
      <c r="D46" s="266" t="s">
        <v>0</v>
      </c>
      <c r="E46" s="267">
        <v>68500000</v>
      </c>
      <c r="F46" s="1059" t="s">
        <v>408</v>
      </c>
      <c r="G46" s="267">
        <f>H46+I46</f>
        <v>68500000</v>
      </c>
      <c r="H46" s="267">
        <v>68500000</v>
      </c>
      <c r="I46" s="267">
        <v>0</v>
      </c>
      <c r="J46" s="1034" t="s">
        <v>416</v>
      </c>
    </row>
    <row r="47" spans="1:10" ht="13.7" customHeight="1">
      <c r="A47" s="1032"/>
      <c r="B47" s="1035"/>
      <c r="C47" s="1038"/>
      <c r="D47" s="266" t="s">
        <v>1</v>
      </c>
      <c r="E47" s="267">
        <v>8805820</v>
      </c>
      <c r="F47" s="1060"/>
      <c r="G47" s="267">
        <f>H47+I47</f>
        <v>8805820</v>
      </c>
      <c r="H47" s="267">
        <v>8205820</v>
      </c>
      <c r="I47" s="267">
        <v>600000</v>
      </c>
      <c r="J47" s="1035"/>
    </row>
    <row r="48" spans="1:10" ht="13.7" customHeight="1">
      <c r="A48" s="1033"/>
      <c r="B48" s="1036"/>
      <c r="C48" s="1039"/>
      <c r="D48" s="266" t="s">
        <v>2</v>
      </c>
      <c r="E48" s="267">
        <f>E46+E47</f>
        <v>77305820</v>
      </c>
      <c r="F48" s="1061"/>
      <c r="G48" s="267">
        <f>G46+G47</f>
        <v>77305820</v>
      </c>
      <c r="H48" s="267">
        <f>H46+H47</f>
        <v>76705820</v>
      </c>
      <c r="I48" s="267">
        <f>I46+I47</f>
        <v>600000</v>
      </c>
      <c r="J48" s="1036"/>
    </row>
    <row r="49" spans="1:10" ht="13.7" customHeight="1">
      <c r="A49" s="1031" t="s">
        <v>200</v>
      </c>
      <c r="B49" s="1034" t="s">
        <v>421</v>
      </c>
      <c r="C49" s="1037">
        <v>2024</v>
      </c>
      <c r="D49" s="266" t="s">
        <v>0</v>
      </c>
      <c r="E49" s="267">
        <v>5000000</v>
      </c>
      <c r="F49" s="1059" t="s">
        <v>408</v>
      </c>
      <c r="G49" s="267">
        <f>H49+I49</f>
        <v>5000000</v>
      </c>
      <c r="H49" s="267">
        <v>3000000</v>
      </c>
      <c r="I49" s="267">
        <v>2000000</v>
      </c>
      <c r="J49" s="1034" t="s">
        <v>416</v>
      </c>
    </row>
    <row r="50" spans="1:10" ht="13.7" customHeight="1">
      <c r="A50" s="1032"/>
      <c r="B50" s="1035"/>
      <c r="C50" s="1038"/>
      <c r="D50" s="266" t="s">
        <v>1</v>
      </c>
      <c r="E50" s="267">
        <v>550000</v>
      </c>
      <c r="F50" s="1060"/>
      <c r="G50" s="267">
        <f>H50+I50</f>
        <v>550000</v>
      </c>
      <c r="H50" s="267">
        <v>550000</v>
      </c>
      <c r="I50" s="267"/>
      <c r="J50" s="1035"/>
    </row>
    <row r="51" spans="1:10" ht="13.7" customHeight="1">
      <c r="A51" s="1033"/>
      <c r="B51" s="1036"/>
      <c r="C51" s="1039"/>
      <c r="D51" s="266" t="s">
        <v>2</v>
      </c>
      <c r="E51" s="267">
        <f>E49+E50</f>
        <v>5550000</v>
      </c>
      <c r="F51" s="1061"/>
      <c r="G51" s="267">
        <f>G49+G50</f>
        <v>5550000</v>
      </c>
      <c r="H51" s="267">
        <f>H49+H50</f>
        <v>3550000</v>
      </c>
      <c r="I51" s="267">
        <f>I49+I50</f>
        <v>2000000</v>
      </c>
      <c r="J51" s="1036"/>
    </row>
    <row r="52" spans="1:10" ht="13.7" customHeight="1">
      <c r="A52" s="1031" t="s">
        <v>200</v>
      </c>
      <c r="B52" s="1034" t="s">
        <v>422</v>
      </c>
      <c r="C52" s="1037">
        <v>2024</v>
      </c>
      <c r="D52" s="266" t="s">
        <v>0</v>
      </c>
      <c r="E52" s="267">
        <v>2000000</v>
      </c>
      <c r="F52" s="1059" t="s">
        <v>408</v>
      </c>
      <c r="G52" s="267">
        <f>H52+I52</f>
        <v>2000000</v>
      </c>
      <c r="H52" s="267">
        <v>2000000</v>
      </c>
      <c r="I52" s="267">
        <v>0</v>
      </c>
      <c r="J52" s="1034" t="s">
        <v>416</v>
      </c>
    </row>
    <row r="53" spans="1:10" ht="13.7" customHeight="1">
      <c r="A53" s="1032"/>
      <c r="B53" s="1035"/>
      <c r="C53" s="1038"/>
      <c r="D53" s="266" t="s">
        <v>1</v>
      </c>
      <c r="E53" s="267">
        <v>-2000000</v>
      </c>
      <c r="F53" s="1060"/>
      <c r="G53" s="267">
        <f>H53+I53</f>
        <v>-2000000</v>
      </c>
      <c r="H53" s="267">
        <v>-2000000</v>
      </c>
      <c r="I53" s="267"/>
      <c r="J53" s="1035"/>
    </row>
    <row r="54" spans="1:10" ht="13.7" customHeight="1">
      <c r="A54" s="1033"/>
      <c r="B54" s="1036"/>
      <c r="C54" s="1039"/>
      <c r="D54" s="266" t="s">
        <v>2</v>
      </c>
      <c r="E54" s="267">
        <f>E52+E53</f>
        <v>0</v>
      </c>
      <c r="F54" s="1061"/>
      <c r="G54" s="267">
        <f>G52+G53</f>
        <v>0</v>
      </c>
      <c r="H54" s="267">
        <f>H52+H53</f>
        <v>0</v>
      </c>
      <c r="I54" s="267">
        <f>I52+I53</f>
        <v>0</v>
      </c>
      <c r="J54" s="1036"/>
    </row>
    <row r="55" spans="1:10" ht="13.7" customHeight="1">
      <c r="A55" s="1031" t="s">
        <v>200</v>
      </c>
      <c r="B55" s="1034" t="s">
        <v>423</v>
      </c>
      <c r="C55" s="1037">
        <v>2024</v>
      </c>
      <c r="D55" s="266" t="s">
        <v>0</v>
      </c>
      <c r="E55" s="267">
        <v>2000000</v>
      </c>
      <c r="F55" s="1059" t="s">
        <v>408</v>
      </c>
      <c r="G55" s="267">
        <f>H55+I55</f>
        <v>2000000</v>
      </c>
      <c r="H55" s="267">
        <v>2000000</v>
      </c>
      <c r="I55" s="267">
        <v>0</v>
      </c>
      <c r="J55" s="1034" t="s">
        <v>416</v>
      </c>
    </row>
    <row r="56" spans="1:10" ht="13.7" customHeight="1">
      <c r="A56" s="1032"/>
      <c r="B56" s="1035"/>
      <c r="C56" s="1038"/>
      <c r="D56" s="266" t="s">
        <v>1</v>
      </c>
      <c r="E56" s="267">
        <v>-30689</v>
      </c>
      <c r="F56" s="1060"/>
      <c r="G56" s="267">
        <f>H56+I56</f>
        <v>-30689</v>
      </c>
      <c r="H56" s="267">
        <v>-30689</v>
      </c>
      <c r="I56" s="267"/>
      <c r="J56" s="1035"/>
    </row>
    <row r="57" spans="1:10" ht="13.7" customHeight="1">
      <c r="A57" s="1033"/>
      <c r="B57" s="1036"/>
      <c r="C57" s="1039"/>
      <c r="D57" s="266" t="s">
        <v>2</v>
      </c>
      <c r="E57" s="267">
        <f>E55+E56</f>
        <v>1969311</v>
      </c>
      <c r="F57" s="1061"/>
      <c r="G57" s="267">
        <f>G55+G56</f>
        <v>1969311</v>
      </c>
      <c r="H57" s="267">
        <f>H55+H56</f>
        <v>1969311</v>
      </c>
      <c r="I57" s="267">
        <f>I55+I56</f>
        <v>0</v>
      </c>
      <c r="J57" s="1036"/>
    </row>
    <row r="58" spans="1:10" hidden="1">
      <c r="A58" s="1031" t="s">
        <v>200</v>
      </c>
      <c r="B58" s="1034" t="s">
        <v>424</v>
      </c>
      <c r="C58" s="1037">
        <v>2024</v>
      </c>
      <c r="D58" s="266" t="s">
        <v>0</v>
      </c>
      <c r="E58" s="267">
        <v>1000000</v>
      </c>
      <c r="F58" s="1059" t="s">
        <v>408</v>
      </c>
      <c r="G58" s="267">
        <f>H58+I58</f>
        <v>1000000</v>
      </c>
      <c r="H58" s="267">
        <v>1000000</v>
      </c>
      <c r="I58" s="267">
        <v>0</v>
      </c>
      <c r="J58" s="1034" t="s">
        <v>416</v>
      </c>
    </row>
    <row r="59" spans="1:10" hidden="1">
      <c r="A59" s="1032"/>
      <c r="B59" s="1035"/>
      <c r="C59" s="1038"/>
      <c r="D59" s="266" t="s">
        <v>1</v>
      </c>
      <c r="E59" s="267"/>
      <c r="F59" s="1060"/>
      <c r="G59" s="267">
        <f>H59+I59</f>
        <v>0</v>
      </c>
      <c r="H59" s="267"/>
      <c r="I59" s="267"/>
      <c r="J59" s="1035"/>
    </row>
    <row r="60" spans="1:10" hidden="1">
      <c r="A60" s="1033"/>
      <c r="B60" s="1036"/>
      <c r="C60" s="1039"/>
      <c r="D60" s="266" t="s">
        <v>2</v>
      </c>
      <c r="E60" s="267">
        <f>E58+E59</f>
        <v>1000000</v>
      </c>
      <c r="F60" s="1061"/>
      <c r="G60" s="267">
        <f>G58+G59</f>
        <v>1000000</v>
      </c>
      <c r="H60" s="267">
        <f>H58+H59</f>
        <v>1000000</v>
      </c>
      <c r="I60" s="267">
        <f>I58+I59</f>
        <v>0</v>
      </c>
      <c r="J60" s="1036"/>
    </row>
    <row r="61" spans="1:10" hidden="1">
      <c r="A61" s="1031" t="s">
        <v>200</v>
      </c>
      <c r="B61" s="1034" t="s">
        <v>425</v>
      </c>
      <c r="C61" s="1037">
        <v>2024</v>
      </c>
      <c r="D61" s="266" t="s">
        <v>0</v>
      </c>
      <c r="E61" s="267">
        <v>1000000</v>
      </c>
      <c r="F61" s="1059" t="s">
        <v>408</v>
      </c>
      <c r="G61" s="267">
        <f>H61+I61</f>
        <v>1000000</v>
      </c>
      <c r="H61" s="267">
        <v>1000000</v>
      </c>
      <c r="I61" s="267">
        <v>0</v>
      </c>
      <c r="J61" s="1034" t="s">
        <v>416</v>
      </c>
    </row>
    <row r="62" spans="1:10" hidden="1">
      <c r="A62" s="1032"/>
      <c r="B62" s="1035"/>
      <c r="C62" s="1038"/>
      <c r="D62" s="266" t="s">
        <v>1</v>
      </c>
      <c r="E62" s="267"/>
      <c r="F62" s="1060"/>
      <c r="G62" s="267">
        <f>H62+I62</f>
        <v>0</v>
      </c>
      <c r="H62" s="267"/>
      <c r="I62" s="267"/>
      <c r="J62" s="1035"/>
    </row>
    <row r="63" spans="1:10" hidden="1">
      <c r="A63" s="1033"/>
      <c r="B63" s="1036"/>
      <c r="C63" s="1039"/>
      <c r="D63" s="266" t="s">
        <v>2</v>
      </c>
      <c r="E63" s="267">
        <f>E61+E62</f>
        <v>1000000</v>
      </c>
      <c r="F63" s="1061"/>
      <c r="G63" s="267">
        <f>G61+G62</f>
        <v>1000000</v>
      </c>
      <c r="H63" s="267">
        <f>H61+H62</f>
        <v>1000000</v>
      </c>
      <c r="I63" s="267">
        <f>I61+I62</f>
        <v>0</v>
      </c>
      <c r="J63" s="1036"/>
    </row>
    <row r="64" spans="1:10" hidden="1">
      <c r="A64" s="1031" t="s">
        <v>200</v>
      </c>
      <c r="B64" s="1034" t="s">
        <v>426</v>
      </c>
      <c r="C64" s="1037">
        <v>2024</v>
      </c>
      <c r="D64" s="266" t="s">
        <v>0</v>
      </c>
      <c r="E64" s="267">
        <v>1900000</v>
      </c>
      <c r="F64" s="1059" t="s">
        <v>408</v>
      </c>
      <c r="G64" s="267">
        <f>H64+I64</f>
        <v>1900000</v>
      </c>
      <c r="H64" s="267">
        <v>1900000</v>
      </c>
      <c r="I64" s="267">
        <v>0</v>
      </c>
      <c r="J64" s="1034" t="s">
        <v>416</v>
      </c>
    </row>
    <row r="65" spans="1:10" hidden="1">
      <c r="A65" s="1032"/>
      <c r="B65" s="1035"/>
      <c r="C65" s="1038"/>
      <c r="D65" s="266" t="s">
        <v>1</v>
      </c>
      <c r="E65" s="267"/>
      <c r="F65" s="1060"/>
      <c r="G65" s="267">
        <f>H65+I65</f>
        <v>0</v>
      </c>
      <c r="H65" s="267"/>
      <c r="I65" s="267"/>
      <c r="J65" s="1035"/>
    </row>
    <row r="66" spans="1:10" hidden="1">
      <c r="A66" s="1033"/>
      <c r="B66" s="1036"/>
      <c r="C66" s="1039"/>
      <c r="D66" s="266" t="s">
        <v>2</v>
      </c>
      <c r="E66" s="267">
        <f>E64+E65</f>
        <v>1900000</v>
      </c>
      <c r="F66" s="1061"/>
      <c r="G66" s="267">
        <f>G64+G65</f>
        <v>1900000</v>
      </c>
      <c r="H66" s="267">
        <f>H64+H65</f>
        <v>1900000</v>
      </c>
      <c r="I66" s="267">
        <f>I64+I65</f>
        <v>0</v>
      </c>
      <c r="J66" s="1036"/>
    </row>
    <row r="67" spans="1:10" hidden="1">
      <c r="A67" s="1031" t="s">
        <v>200</v>
      </c>
      <c r="B67" s="1034" t="s">
        <v>427</v>
      </c>
      <c r="C67" s="1037">
        <v>2024</v>
      </c>
      <c r="D67" s="266" t="s">
        <v>0</v>
      </c>
      <c r="E67" s="267">
        <v>12000000</v>
      </c>
      <c r="F67" s="1059" t="s">
        <v>408</v>
      </c>
      <c r="G67" s="267">
        <f>H67+I67</f>
        <v>12000000</v>
      </c>
      <c r="H67" s="267">
        <v>12000000</v>
      </c>
      <c r="I67" s="267">
        <v>0</v>
      </c>
      <c r="J67" s="1034" t="s">
        <v>416</v>
      </c>
    </row>
    <row r="68" spans="1:10" hidden="1">
      <c r="A68" s="1032"/>
      <c r="B68" s="1035"/>
      <c r="C68" s="1038"/>
      <c r="D68" s="266" t="s">
        <v>1</v>
      </c>
      <c r="E68" s="267"/>
      <c r="F68" s="1060"/>
      <c r="G68" s="267">
        <f>H68+I68</f>
        <v>0</v>
      </c>
      <c r="H68" s="267"/>
      <c r="I68" s="267"/>
      <c r="J68" s="1035"/>
    </row>
    <row r="69" spans="1:10" hidden="1">
      <c r="A69" s="1033"/>
      <c r="B69" s="1036"/>
      <c r="C69" s="1039"/>
      <c r="D69" s="266" t="s">
        <v>2</v>
      </c>
      <c r="E69" s="267">
        <f>E67+E68</f>
        <v>12000000</v>
      </c>
      <c r="F69" s="1061"/>
      <c r="G69" s="267">
        <f>G67+G68</f>
        <v>12000000</v>
      </c>
      <c r="H69" s="267">
        <f>H67+H68</f>
        <v>12000000</v>
      </c>
      <c r="I69" s="267">
        <f>I67+I68</f>
        <v>0</v>
      </c>
      <c r="J69" s="1036"/>
    </row>
    <row r="70" spans="1:10" hidden="1">
      <c r="A70" s="1031" t="s">
        <v>200</v>
      </c>
      <c r="B70" s="1034" t="s">
        <v>428</v>
      </c>
      <c r="C70" s="1037">
        <v>2024</v>
      </c>
      <c r="D70" s="266" t="s">
        <v>0</v>
      </c>
      <c r="E70" s="267">
        <v>8000000</v>
      </c>
      <c r="F70" s="1059" t="s">
        <v>408</v>
      </c>
      <c r="G70" s="267">
        <f>H70+I70</f>
        <v>8000000</v>
      </c>
      <c r="H70" s="267">
        <v>8000000</v>
      </c>
      <c r="I70" s="267">
        <v>0</v>
      </c>
      <c r="J70" s="1034" t="s">
        <v>416</v>
      </c>
    </row>
    <row r="71" spans="1:10" hidden="1">
      <c r="A71" s="1032"/>
      <c r="B71" s="1035"/>
      <c r="C71" s="1038"/>
      <c r="D71" s="266" t="s">
        <v>1</v>
      </c>
      <c r="E71" s="267"/>
      <c r="F71" s="1060"/>
      <c r="G71" s="267">
        <f>H71+I71</f>
        <v>0</v>
      </c>
      <c r="H71" s="267"/>
      <c r="I71" s="267"/>
      <c r="J71" s="1035"/>
    </row>
    <row r="72" spans="1:10" hidden="1">
      <c r="A72" s="1033"/>
      <c r="B72" s="1036"/>
      <c r="C72" s="1039"/>
      <c r="D72" s="266" t="s">
        <v>2</v>
      </c>
      <c r="E72" s="267">
        <f>E70+E71</f>
        <v>8000000</v>
      </c>
      <c r="F72" s="1061"/>
      <c r="G72" s="267">
        <f>G70+G71</f>
        <v>8000000</v>
      </c>
      <c r="H72" s="267">
        <f>H70+H71</f>
        <v>8000000</v>
      </c>
      <c r="I72" s="267">
        <f>I70+I71</f>
        <v>0</v>
      </c>
      <c r="J72" s="1036"/>
    </row>
    <row r="73" spans="1:10" hidden="1">
      <c r="A73" s="1046" t="s">
        <v>47</v>
      </c>
      <c r="B73" s="1052" t="s">
        <v>48</v>
      </c>
      <c r="C73" s="1028" t="s">
        <v>408</v>
      </c>
      <c r="D73" s="255" t="s">
        <v>0</v>
      </c>
      <c r="E73" s="265">
        <f>E76</f>
        <v>576959</v>
      </c>
      <c r="F73" s="1065" t="s">
        <v>408</v>
      </c>
      <c r="G73" s="265">
        <f t="shared" ref="G73:I74" si="3">G76</f>
        <v>576959</v>
      </c>
      <c r="H73" s="265">
        <f t="shared" si="3"/>
        <v>576959</v>
      </c>
      <c r="I73" s="265">
        <f t="shared" si="3"/>
        <v>0</v>
      </c>
      <c r="J73" s="1028" t="s">
        <v>408</v>
      </c>
    </row>
    <row r="74" spans="1:10" hidden="1">
      <c r="A74" s="1047"/>
      <c r="B74" s="1053"/>
      <c r="C74" s="1029"/>
      <c r="D74" s="255" t="s">
        <v>1</v>
      </c>
      <c r="E74" s="265">
        <f>E77</f>
        <v>0</v>
      </c>
      <c r="F74" s="1066"/>
      <c r="G74" s="265">
        <f>G77</f>
        <v>0</v>
      </c>
      <c r="H74" s="265">
        <f t="shared" si="3"/>
        <v>0</v>
      </c>
      <c r="I74" s="265">
        <f t="shared" si="3"/>
        <v>0</v>
      </c>
      <c r="J74" s="1029"/>
    </row>
    <row r="75" spans="1:10" hidden="1">
      <c r="A75" s="1048"/>
      <c r="B75" s="1054"/>
      <c r="C75" s="1030"/>
      <c r="D75" s="255" t="s">
        <v>2</v>
      </c>
      <c r="E75" s="265">
        <f>E73+E74</f>
        <v>576959</v>
      </c>
      <c r="F75" s="1067"/>
      <c r="G75" s="265">
        <f>G73+G74</f>
        <v>576959</v>
      </c>
      <c r="H75" s="265">
        <f>H73+H74</f>
        <v>576959</v>
      </c>
      <c r="I75" s="265">
        <f>I73+I74</f>
        <v>0</v>
      </c>
      <c r="J75" s="1030"/>
    </row>
    <row r="76" spans="1:10" hidden="1">
      <c r="A76" s="1031" t="s">
        <v>209</v>
      </c>
      <c r="B76" s="1034" t="s">
        <v>429</v>
      </c>
      <c r="C76" s="1037">
        <v>2024</v>
      </c>
      <c r="D76" s="266" t="s">
        <v>0</v>
      </c>
      <c r="E76" s="267">
        <v>576959</v>
      </c>
      <c r="F76" s="1059" t="s">
        <v>408</v>
      </c>
      <c r="G76" s="267">
        <f>H76+I76</f>
        <v>576959</v>
      </c>
      <c r="H76" s="267">
        <v>576959</v>
      </c>
      <c r="I76" s="267">
        <v>0</v>
      </c>
      <c r="J76" s="1034" t="s">
        <v>411</v>
      </c>
    </row>
    <row r="77" spans="1:10" hidden="1">
      <c r="A77" s="1032"/>
      <c r="B77" s="1035"/>
      <c r="C77" s="1038"/>
      <c r="D77" s="266" t="s">
        <v>1</v>
      </c>
      <c r="E77" s="267"/>
      <c r="F77" s="1060"/>
      <c r="G77" s="267">
        <f>H77+I77</f>
        <v>0</v>
      </c>
      <c r="H77" s="267"/>
      <c r="I77" s="267"/>
      <c r="J77" s="1035"/>
    </row>
    <row r="78" spans="1:10" hidden="1">
      <c r="A78" s="1033"/>
      <c r="B78" s="1036"/>
      <c r="C78" s="1039"/>
      <c r="D78" s="266" t="s">
        <v>2</v>
      </c>
      <c r="E78" s="267">
        <f>E76+E77</f>
        <v>576959</v>
      </c>
      <c r="F78" s="1061"/>
      <c r="G78" s="267">
        <f>G76+G77</f>
        <v>576959</v>
      </c>
      <c r="H78" s="267">
        <f>H76+H77</f>
        <v>576959</v>
      </c>
      <c r="I78" s="267">
        <f>I76+I77</f>
        <v>0</v>
      </c>
      <c r="J78" s="1036"/>
    </row>
    <row r="79" spans="1:10" hidden="1">
      <c r="A79" s="1046" t="s">
        <v>49</v>
      </c>
      <c r="B79" s="1052" t="s">
        <v>50</v>
      </c>
      <c r="C79" s="1028" t="s">
        <v>408</v>
      </c>
      <c r="D79" s="255" t="s">
        <v>0</v>
      </c>
      <c r="E79" s="265">
        <f>E82</f>
        <v>35000</v>
      </c>
      <c r="F79" s="1065" t="s">
        <v>408</v>
      </c>
      <c r="G79" s="265">
        <f t="shared" ref="G79:I80" si="4">G82</f>
        <v>35000</v>
      </c>
      <c r="H79" s="265">
        <f t="shared" si="4"/>
        <v>35000</v>
      </c>
      <c r="I79" s="265">
        <f t="shared" si="4"/>
        <v>0</v>
      </c>
      <c r="J79" s="1028" t="s">
        <v>408</v>
      </c>
    </row>
    <row r="80" spans="1:10" hidden="1">
      <c r="A80" s="1047"/>
      <c r="B80" s="1053"/>
      <c r="C80" s="1029"/>
      <c r="D80" s="255" t="s">
        <v>1</v>
      </c>
      <c r="E80" s="265">
        <f>E83</f>
        <v>0</v>
      </c>
      <c r="F80" s="1066"/>
      <c r="G80" s="265">
        <f>G83</f>
        <v>0</v>
      </c>
      <c r="H80" s="265">
        <f t="shared" si="4"/>
        <v>0</v>
      </c>
      <c r="I80" s="265">
        <f t="shared" si="4"/>
        <v>0</v>
      </c>
      <c r="J80" s="1029"/>
    </row>
    <row r="81" spans="1:10" hidden="1">
      <c r="A81" s="1048"/>
      <c r="B81" s="1054"/>
      <c r="C81" s="1030"/>
      <c r="D81" s="255" t="s">
        <v>2</v>
      </c>
      <c r="E81" s="265">
        <f>E79+E80</f>
        <v>35000</v>
      </c>
      <c r="F81" s="1067"/>
      <c r="G81" s="265">
        <f>G79+G80</f>
        <v>35000</v>
      </c>
      <c r="H81" s="265">
        <f>H79+H80</f>
        <v>35000</v>
      </c>
      <c r="I81" s="265">
        <f>I79+I80</f>
        <v>0</v>
      </c>
      <c r="J81" s="1030"/>
    </row>
    <row r="82" spans="1:10" hidden="1">
      <c r="A82" s="1031" t="s">
        <v>213</v>
      </c>
      <c r="B82" s="1034" t="s">
        <v>430</v>
      </c>
      <c r="C82" s="1037">
        <v>2024</v>
      </c>
      <c r="D82" s="266" t="s">
        <v>0</v>
      </c>
      <c r="E82" s="267">
        <v>35000</v>
      </c>
      <c r="F82" s="1059" t="s">
        <v>408</v>
      </c>
      <c r="G82" s="267">
        <f>H82+I82</f>
        <v>35000</v>
      </c>
      <c r="H82" s="267">
        <v>35000</v>
      </c>
      <c r="I82" s="267">
        <v>0</v>
      </c>
      <c r="J82" s="1034" t="s">
        <v>411</v>
      </c>
    </row>
    <row r="83" spans="1:10" hidden="1">
      <c r="A83" s="1032"/>
      <c r="B83" s="1035"/>
      <c r="C83" s="1038"/>
      <c r="D83" s="266" t="s">
        <v>1</v>
      </c>
      <c r="E83" s="267"/>
      <c r="F83" s="1060"/>
      <c r="G83" s="267">
        <f>H83+I83</f>
        <v>0</v>
      </c>
      <c r="H83" s="267"/>
      <c r="I83" s="267"/>
      <c r="J83" s="1035"/>
    </row>
    <row r="84" spans="1:10" hidden="1">
      <c r="A84" s="1033"/>
      <c r="B84" s="1036"/>
      <c r="C84" s="1039"/>
      <c r="D84" s="266" t="s">
        <v>2</v>
      </c>
      <c r="E84" s="267">
        <f>E82+E83</f>
        <v>35000</v>
      </c>
      <c r="F84" s="1061"/>
      <c r="G84" s="267">
        <f>G82+G83</f>
        <v>35000</v>
      </c>
      <c r="H84" s="267">
        <f>H82+H83</f>
        <v>35000</v>
      </c>
      <c r="I84" s="267">
        <f>I82+I83</f>
        <v>0</v>
      </c>
      <c r="J84" s="1036"/>
    </row>
    <row r="85" spans="1:10" ht="13.7" customHeight="1">
      <c r="A85" s="1046" t="s">
        <v>53</v>
      </c>
      <c r="B85" s="1052" t="s">
        <v>54</v>
      </c>
      <c r="C85" s="1028" t="s">
        <v>408</v>
      </c>
      <c r="D85" s="255" t="s">
        <v>0</v>
      </c>
      <c r="E85" s="265">
        <f>E88+E91+E94+E97</f>
        <v>2543000</v>
      </c>
      <c r="F85" s="1065" t="s">
        <v>408</v>
      </c>
      <c r="G85" s="265">
        <f t="shared" ref="G85:I86" si="5">G88+G91+G94+G97</f>
        <v>2543000</v>
      </c>
      <c r="H85" s="265">
        <f t="shared" si="5"/>
        <v>2543000</v>
      </c>
      <c r="I85" s="265">
        <f t="shared" si="5"/>
        <v>0</v>
      </c>
      <c r="J85" s="1028" t="s">
        <v>408</v>
      </c>
    </row>
    <row r="86" spans="1:10" ht="13.7" customHeight="1">
      <c r="A86" s="1047"/>
      <c r="B86" s="1053"/>
      <c r="C86" s="1029"/>
      <c r="D86" s="255" t="s">
        <v>1</v>
      </c>
      <c r="E86" s="265">
        <f>E89+E92+E95+E98</f>
        <v>410689</v>
      </c>
      <c r="F86" s="1066"/>
      <c r="G86" s="265">
        <f t="shared" si="5"/>
        <v>410689</v>
      </c>
      <c r="H86" s="265">
        <f t="shared" si="5"/>
        <v>410689</v>
      </c>
      <c r="I86" s="265">
        <f t="shared" si="5"/>
        <v>0</v>
      </c>
      <c r="J86" s="1029"/>
    </row>
    <row r="87" spans="1:10" ht="13.7" customHeight="1">
      <c r="A87" s="1048"/>
      <c r="B87" s="1054"/>
      <c r="C87" s="1030"/>
      <c r="D87" s="255" t="s">
        <v>2</v>
      </c>
      <c r="E87" s="265">
        <f>E85+E86</f>
        <v>2953689</v>
      </c>
      <c r="F87" s="1067"/>
      <c r="G87" s="265">
        <f>G85+G86</f>
        <v>2953689</v>
      </c>
      <c r="H87" s="265">
        <f>H85+H86</f>
        <v>2953689</v>
      </c>
      <c r="I87" s="265">
        <f>I85+I86</f>
        <v>0</v>
      </c>
      <c r="J87" s="1030"/>
    </row>
    <row r="88" spans="1:10" hidden="1">
      <c r="A88" s="1031" t="s">
        <v>228</v>
      </c>
      <c r="B88" s="1034" t="s">
        <v>423</v>
      </c>
      <c r="C88" s="1037">
        <v>2024</v>
      </c>
      <c r="D88" s="266" t="s">
        <v>0</v>
      </c>
      <c r="E88" s="267">
        <v>920000</v>
      </c>
      <c r="F88" s="1059" t="s">
        <v>408</v>
      </c>
      <c r="G88" s="267">
        <f>H88+I88</f>
        <v>920000</v>
      </c>
      <c r="H88" s="267">
        <v>920000</v>
      </c>
      <c r="I88" s="267">
        <v>0</v>
      </c>
      <c r="J88" s="1034" t="s">
        <v>411</v>
      </c>
    </row>
    <row r="89" spans="1:10" hidden="1">
      <c r="A89" s="1032"/>
      <c r="B89" s="1035"/>
      <c r="C89" s="1038"/>
      <c r="D89" s="266" t="s">
        <v>1</v>
      </c>
      <c r="E89" s="267"/>
      <c r="F89" s="1060"/>
      <c r="G89" s="267">
        <f>H89+I89</f>
        <v>0</v>
      </c>
      <c r="H89" s="267"/>
      <c r="I89" s="267"/>
      <c r="J89" s="1035"/>
    </row>
    <row r="90" spans="1:10" hidden="1">
      <c r="A90" s="1033"/>
      <c r="B90" s="1036"/>
      <c r="C90" s="1039"/>
      <c r="D90" s="266" t="s">
        <v>2</v>
      </c>
      <c r="E90" s="267">
        <f>E88+E89</f>
        <v>920000</v>
      </c>
      <c r="F90" s="1061"/>
      <c r="G90" s="267">
        <f>G88+G89</f>
        <v>920000</v>
      </c>
      <c r="H90" s="267">
        <f>H88+H89</f>
        <v>920000</v>
      </c>
      <c r="I90" s="267">
        <f>I88+I89</f>
        <v>0</v>
      </c>
      <c r="J90" s="1036"/>
    </row>
    <row r="91" spans="1:10" hidden="1">
      <c r="A91" s="1031" t="s">
        <v>228</v>
      </c>
      <c r="B91" s="1034" t="s">
        <v>431</v>
      </c>
      <c r="C91" s="1037">
        <v>2024</v>
      </c>
      <c r="D91" s="266" t="s">
        <v>0</v>
      </c>
      <c r="E91" s="267">
        <v>623000</v>
      </c>
      <c r="F91" s="1059" t="s">
        <v>408</v>
      </c>
      <c r="G91" s="267">
        <f>H91+I91</f>
        <v>623000</v>
      </c>
      <c r="H91" s="267">
        <v>623000</v>
      </c>
      <c r="I91" s="267">
        <v>0</v>
      </c>
      <c r="J91" s="1034" t="s">
        <v>411</v>
      </c>
    </row>
    <row r="92" spans="1:10" hidden="1">
      <c r="A92" s="1032"/>
      <c r="B92" s="1035"/>
      <c r="C92" s="1038"/>
      <c r="D92" s="266" t="s">
        <v>1</v>
      </c>
      <c r="E92" s="267"/>
      <c r="F92" s="1060"/>
      <c r="G92" s="267">
        <f>H92+I92</f>
        <v>0</v>
      </c>
      <c r="H92" s="267"/>
      <c r="I92" s="267"/>
      <c r="J92" s="1035"/>
    </row>
    <row r="93" spans="1:10" hidden="1">
      <c r="A93" s="1033"/>
      <c r="B93" s="1036"/>
      <c r="C93" s="1039"/>
      <c r="D93" s="266" t="s">
        <v>2</v>
      </c>
      <c r="E93" s="267">
        <f>E91+E92</f>
        <v>623000</v>
      </c>
      <c r="F93" s="1061"/>
      <c r="G93" s="267">
        <f>G91+G92</f>
        <v>623000</v>
      </c>
      <c r="H93" s="267">
        <f>H91+H92</f>
        <v>623000</v>
      </c>
      <c r="I93" s="267">
        <f>I91+I92</f>
        <v>0</v>
      </c>
      <c r="J93" s="1036"/>
    </row>
    <row r="94" spans="1:10" ht="13.7" customHeight="1">
      <c r="A94" s="1031" t="s">
        <v>228</v>
      </c>
      <c r="B94" s="1034" t="s">
        <v>432</v>
      </c>
      <c r="C94" s="1037">
        <v>2024</v>
      </c>
      <c r="D94" s="266" t="s">
        <v>0</v>
      </c>
      <c r="E94" s="267">
        <v>1000000</v>
      </c>
      <c r="F94" s="1059" t="s">
        <v>408</v>
      </c>
      <c r="G94" s="267">
        <f>H94+I94</f>
        <v>1000000</v>
      </c>
      <c r="H94" s="267">
        <v>1000000</v>
      </c>
      <c r="I94" s="267">
        <v>0</v>
      </c>
      <c r="J94" s="1034" t="s">
        <v>416</v>
      </c>
    </row>
    <row r="95" spans="1:10" ht="13.7" customHeight="1">
      <c r="A95" s="1032"/>
      <c r="B95" s="1035"/>
      <c r="C95" s="1038"/>
      <c r="D95" s="266" t="s">
        <v>1</v>
      </c>
      <c r="E95" s="267">
        <v>380000</v>
      </c>
      <c r="F95" s="1060"/>
      <c r="G95" s="267">
        <f>H95+I95</f>
        <v>380000</v>
      </c>
      <c r="H95" s="267">
        <v>380000</v>
      </c>
      <c r="I95" s="267"/>
      <c r="J95" s="1035"/>
    </row>
    <row r="96" spans="1:10" ht="13.7" customHeight="1">
      <c r="A96" s="1033"/>
      <c r="B96" s="1036"/>
      <c r="C96" s="1039"/>
      <c r="D96" s="266" t="s">
        <v>2</v>
      </c>
      <c r="E96" s="267">
        <f>E94+E95</f>
        <v>1380000</v>
      </c>
      <c r="F96" s="1061"/>
      <c r="G96" s="267">
        <f>G94+G95</f>
        <v>1380000</v>
      </c>
      <c r="H96" s="267">
        <f>H94+H95</f>
        <v>1380000</v>
      </c>
      <c r="I96" s="267">
        <f>I94+I95</f>
        <v>0</v>
      </c>
      <c r="J96" s="1036"/>
    </row>
    <row r="97" spans="1:10" ht="13.7" customHeight="1">
      <c r="A97" s="1031" t="s">
        <v>228</v>
      </c>
      <c r="B97" s="1034" t="s">
        <v>423</v>
      </c>
      <c r="C97" s="1037">
        <v>2024</v>
      </c>
      <c r="D97" s="266" t="s">
        <v>0</v>
      </c>
      <c r="E97" s="267">
        <v>0</v>
      </c>
      <c r="F97" s="1059" t="s">
        <v>408</v>
      </c>
      <c r="G97" s="267">
        <f>H97+I97</f>
        <v>0</v>
      </c>
      <c r="H97" s="267">
        <v>0</v>
      </c>
      <c r="I97" s="267">
        <v>0</v>
      </c>
      <c r="J97" s="1034" t="s">
        <v>416</v>
      </c>
    </row>
    <row r="98" spans="1:10" ht="13.7" customHeight="1">
      <c r="A98" s="1032"/>
      <c r="B98" s="1035"/>
      <c r="C98" s="1038"/>
      <c r="D98" s="266" t="s">
        <v>1</v>
      </c>
      <c r="E98" s="267">
        <v>30689</v>
      </c>
      <c r="F98" s="1060"/>
      <c r="G98" s="267">
        <f>H98+I98</f>
        <v>30689</v>
      </c>
      <c r="H98" s="267">
        <v>30689</v>
      </c>
      <c r="I98" s="267"/>
      <c r="J98" s="1035"/>
    </row>
    <row r="99" spans="1:10" ht="13.7" customHeight="1">
      <c r="A99" s="1033"/>
      <c r="B99" s="1036"/>
      <c r="C99" s="1039"/>
      <c r="D99" s="266" t="s">
        <v>2</v>
      </c>
      <c r="E99" s="267">
        <f>E97+E98</f>
        <v>30689</v>
      </c>
      <c r="F99" s="1061"/>
      <c r="G99" s="267">
        <f>G97+G98</f>
        <v>30689</v>
      </c>
      <c r="H99" s="267">
        <f>H97+H98</f>
        <v>30689</v>
      </c>
      <c r="I99" s="267">
        <f>I97+I98</f>
        <v>0</v>
      </c>
      <c r="J99" s="1036"/>
    </row>
    <row r="100" spans="1:10" ht="14.45" customHeight="1">
      <c r="A100" s="1046" t="s">
        <v>59</v>
      </c>
      <c r="B100" s="1052" t="s">
        <v>60</v>
      </c>
      <c r="C100" s="1028" t="s">
        <v>408</v>
      </c>
      <c r="D100" s="255" t="s">
        <v>0</v>
      </c>
      <c r="E100" s="265">
        <f>E112+E115+E106+E109+E103</f>
        <v>132490</v>
      </c>
      <c r="F100" s="1065" t="s">
        <v>408</v>
      </c>
      <c r="G100" s="265">
        <f t="shared" ref="G100:I101" si="6">G112+G115+G106+G109+G103</f>
        <v>132490</v>
      </c>
      <c r="H100" s="265">
        <f t="shared" si="6"/>
        <v>132490</v>
      </c>
      <c r="I100" s="265">
        <f t="shared" si="6"/>
        <v>0</v>
      </c>
      <c r="J100" s="1028" t="s">
        <v>408</v>
      </c>
    </row>
    <row r="101" spans="1:10" ht="14.45" customHeight="1">
      <c r="A101" s="1047"/>
      <c r="B101" s="1053"/>
      <c r="C101" s="1029"/>
      <c r="D101" s="255" t="s">
        <v>1</v>
      </c>
      <c r="E101" s="265">
        <f>E113+E116+E107+E110+E104</f>
        <v>130000</v>
      </c>
      <c r="F101" s="1066"/>
      <c r="G101" s="265">
        <f t="shared" si="6"/>
        <v>130000</v>
      </c>
      <c r="H101" s="265">
        <f t="shared" si="6"/>
        <v>130000</v>
      </c>
      <c r="I101" s="265">
        <f t="shared" si="6"/>
        <v>0</v>
      </c>
      <c r="J101" s="1029"/>
    </row>
    <row r="102" spans="1:10" ht="14.45" customHeight="1">
      <c r="A102" s="1048"/>
      <c r="B102" s="1054"/>
      <c r="C102" s="1030"/>
      <c r="D102" s="255" t="s">
        <v>2</v>
      </c>
      <c r="E102" s="265">
        <f>E100+E101</f>
        <v>262490</v>
      </c>
      <c r="F102" s="1067"/>
      <c r="G102" s="265">
        <f>G100+G101</f>
        <v>262490</v>
      </c>
      <c r="H102" s="265">
        <f>H100+H101</f>
        <v>262490</v>
      </c>
      <c r="I102" s="265">
        <f>I100+I101</f>
        <v>0</v>
      </c>
      <c r="J102" s="1030"/>
    </row>
    <row r="103" spans="1:10" ht="18.75" customHeight="1">
      <c r="A103" s="1031" t="s">
        <v>265</v>
      </c>
      <c r="B103" s="1034" t="s">
        <v>433</v>
      </c>
      <c r="C103" s="1037">
        <v>2024</v>
      </c>
      <c r="D103" s="266" t="s">
        <v>0</v>
      </c>
      <c r="E103" s="267">
        <v>0</v>
      </c>
      <c r="F103" s="1059" t="s">
        <v>408</v>
      </c>
      <c r="G103" s="267">
        <f>H103+I103</f>
        <v>0</v>
      </c>
      <c r="H103" s="267">
        <v>0</v>
      </c>
      <c r="I103" s="267"/>
      <c r="J103" s="1034" t="s">
        <v>434</v>
      </c>
    </row>
    <row r="104" spans="1:10" ht="18.75" customHeight="1">
      <c r="A104" s="1032"/>
      <c r="B104" s="1035"/>
      <c r="C104" s="1038"/>
      <c r="D104" s="266" t="s">
        <v>1</v>
      </c>
      <c r="E104" s="267">
        <v>105000</v>
      </c>
      <c r="F104" s="1060"/>
      <c r="G104" s="267">
        <f>H104+I104</f>
        <v>105000</v>
      </c>
      <c r="H104" s="267">
        <v>105000</v>
      </c>
      <c r="I104" s="267"/>
      <c r="J104" s="1035"/>
    </row>
    <row r="105" spans="1:10" ht="18.75" customHeight="1">
      <c r="A105" s="1033"/>
      <c r="B105" s="1036"/>
      <c r="C105" s="1039"/>
      <c r="D105" s="266" t="s">
        <v>2</v>
      </c>
      <c r="E105" s="267">
        <f>E103+E104</f>
        <v>105000</v>
      </c>
      <c r="F105" s="1061"/>
      <c r="G105" s="267">
        <f>G103+G104</f>
        <v>105000</v>
      </c>
      <c r="H105" s="267">
        <f>H103+H104</f>
        <v>105000</v>
      </c>
      <c r="I105" s="267">
        <f>I103+I104</f>
        <v>0</v>
      </c>
      <c r="J105" s="1036"/>
    </row>
    <row r="106" spans="1:10" hidden="1">
      <c r="A106" s="1031" t="s">
        <v>267</v>
      </c>
      <c r="B106" s="1034" t="s">
        <v>435</v>
      </c>
      <c r="C106" s="1037">
        <v>2024</v>
      </c>
      <c r="D106" s="266" t="s">
        <v>0</v>
      </c>
      <c r="E106" s="267">
        <v>77490</v>
      </c>
      <c r="F106" s="1059" t="s">
        <v>408</v>
      </c>
      <c r="G106" s="267">
        <f>H106+I106</f>
        <v>77490</v>
      </c>
      <c r="H106" s="267">
        <v>77490</v>
      </c>
      <c r="I106" s="267"/>
      <c r="J106" s="1034" t="s">
        <v>436</v>
      </c>
    </row>
    <row r="107" spans="1:10" hidden="1">
      <c r="A107" s="1032"/>
      <c r="B107" s="1035"/>
      <c r="C107" s="1038"/>
      <c r="D107" s="266" t="s">
        <v>1</v>
      </c>
      <c r="E107" s="267"/>
      <c r="F107" s="1060"/>
      <c r="G107" s="267">
        <f>H107+I107</f>
        <v>0</v>
      </c>
      <c r="H107" s="267"/>
      <c r="I107" s="267"/>
      <c r="J107" s="1035"/>
    </row>
    <row r="108" spans="1:10" hidden="1">
      <c r="A108" s="1033"/>
      <c r="B108" s="1036"/>
      <c r="C108" s="1039"/>
      <c r="D108" s="266" t="s">
        <v>2</v>
      </c>
      <c r="E108" s="267">
        <f>E106+E107</f>
        <v>77490</v>
      </c>
      <c r="F108" s="1061"/>
      <c r="G108" s="267">
        <f>G106+G107</f>
        <v>77490</v>
      </c>
      <c r="H108" s="267">
        <f>H106+H107</f>
        <v>77490</v>
      </c>
      <c r="I108" s="267">
        <f>I106+I107</f>
        <v>0</v>
      </c>
      <c r="J108" s="1036"/>
    </row>
    <row r="109" spans="1:10" ht="14.45" customHeight="1">
      <c r="A109" s="1031" t="s">
        <v>269</v>
      </c>
      <c r="B109" s="1034" t="s">
        <v>437</v>
      </c>
      <c r="C109" s="1037">
        <v>2024</v>
      </c>
      <c r="D109" s="266" t="s">
        <v>0</v>
      </c>
      <c r="E109" s="267">
        <v>0</v>
      </c>
      <c r="F109" s="1059" t="s">
        <v>408</v>
      </c>
      <c r="G109" s="267">
        <f>H109+I109</f>
        <v>0</v>
      </c>
      <c r="H109" s="267">
        <v>0</v>
      </c>
      <c r="I109" s="267"/>
      <c r="J109" s="1034" t="s">
        <v>438</v>
      </c>
    </row>
    <row r="110" spans="1:10" ht="14.45" customHeight="1">
      <c r="A110" s="1032"/>
      <c r="B110" s="1035"/>
      <c r="C110" s="1038"/>
      <c r="D110" s="266" t="s">
        <v>1</v>
      </c>
      <c r="E110" s="267">
        <v>25000</v>
      </c>
      <c r="F110" s="1060"/>
      <c r="G110" s="267">
        <f>H110+I110</f>
        <v>25000</v>
      </c>
      <c r="H110" s="267">
        <v>25000</v>
      </c>
      <c r="I110" s="267"/>
      <c r="J110" s="1035"/>
    </row>
    <row r="111" spans="1:10" ht="14.45" customHeight="1">
      <c r="A111" s="1033"/>
      <c r="B111" s="1036"/>
      <c r="C111" s="1039"/>
      <c r="D111" s="266" t="s">
        <v>2</v>
      </c>
      <c r="E111" s="267">
        <f>E109+E110</f>
        <v>25000</v>
      </c>
      <c r="F111" s="1061"/>
      <c r="G111" s="267">
        <f>G109+G110</f>
        <v>25000</v>
      </c>
      <c r="H111" s="267">
        <f>H109+H110</f>
        <v>25000</v>
      </c>
      <c r="I111" s="267">
        <f>I109+I110</f>
        <v>0</v>
      </c>
      <c r="J111" s="1036"/>
    </row>
    <row r="112" spans="1:10" hidden="1">
      <c r="A112" s="1031" t="s">
        <v>271</v>
      </c>
      <c r="B112" s="1034" t="s">
        <v>439</v>
      </c>
      <c r="C112" s="1037">
        <v>2024</v>
      </c>
      <c r="D112" s="266" t="s">
        <v>0</v>
      </c>
      <c r="E112" s="267">
        <v>43000</v>
      </c>
      <c r="F112" s="1059" t="s">
        <v>408</v>
      </c>
      <c r="G112" s="267">
        <f>H112+I112</f>
        <v>43000</v>
      </c>
      <c r="H112" s="267">
        <v>43000</v>
      </c>
      <c r="I112" s="267"/>
      <c r="J112" s="1034" t="s">
        <v>440</v>
      </c>
    </row>
    <row r="113" spans="1:10" hidden="1">
      <c r="A113" s="1032"/>
      <c r="B113" s="1035"/>
      <c r="C113" s="1038"/>
      <c r="D113" s="266" t="s">
        <v>1</v>
      </c>
      <c r="E113" s="267"/>
      <c r="F113" s="1060"/>
      <c r="G113" s="267">
        <f>H113+I113</f>
        <v>0</v>
      </c>
      <c r="H113" s="267"/>
      <c r="I113" s="267"/>
      <c r="J113" s="1035"/>
    </row>
    <row r="114" spans="1:10" hidden="1">
      <c r="A114" s="1033"/>
      <c r="B114" s="1036"/>
      <c r="C114" s="1039"/>
      <c r="D114" s="266" t="s">
        <v>2</v>
      </c>
      <c r="E114" s="267">
        <f>E112+E113</f>
        <v>43000</v>
      </c>
      <c r="F114" s="1061"/>
      <c r="G114" s="267">
        <f>G112+G113</f>
        <v>43000</v>
      </c>
      <c r="H114" s="267">
        <f>H112+H113</f>
        <v>43000</v>
      </c>
      <c r="I114" s="267">
        <f>I112+I113</f>
        <v>0</v>
      </c>
      <c r="J114" s="1036"/>
    </row>
    <row r="115" spans="1:10" hidden="1">
      <c r="A115" s="1031" t="s">
        <v>273</v>
      </c>
      <c r="B115" s="1034" t="s">
        <v>423</v>
      </c>
      <c r="C115" s="1037">
        <v>2024</v>
      </c>
      <c r="D115" s="266" t="s">
        <v>0</v>
      </c>
      <c r="E115" s="267">
        <v>12000</v>
      </c>
      <c r="F115" s="1059" t="s">
        <v>408</v>
      </c>
      <c r="G115" s="267">
        <f>H115+I115</f>
        <v>12000</v>
      </c>
      <c r="H115" s="267">
        <v>12000</v>
      </c>
      <c r="I115" s="267">
        <v>0</v>
      </c>
      <c r="J115" s="1034" t="s">
        <v>441</v>
      </c>
    </row>
    <row r="116" spans="1:10" hidden="1">
      <c r="A116" s="1032"/>
      <c r="B116" s="1035"/>
      <c r="C116" s="1038"/>
      <c r="D116" s="266" t="s">
        <v>1</v>
      </c>
      <c r="E116" s="267"/>
      <c r="F116" s="1060"/>
      <c r="G116" s="267">
        <f>H116+I116</f>
        <v>0</v>
      </c>
      <c r="H116" s="267"/>
      <c r="I116" s="267"/>
      <c r="J116" s="1035"/>
    </row>
    <row r="117" spans="1:10" hidden="1">
      <c r="A117" s="1033"/>
      <c r="B117" s="1036"/>
      <c r="C117" s="1039"/>
      <c r="D117" s="266" t="s">
        <v>2</v>
      </c>
      <c r="E117" s="267">
        <f>E115+E116</f>
        <v>12000</v>
      </c>
      <c r="F117" s="1061"/>
      <c r="G117" s="267">
        <f>G115+G116</f>
        <v>12000</v>
      </c>
      <c r="H117" s="267">
        <f>H115+H116</f>
        <v>12000</v>
      </c>
      <c r="I117" s="267">
        <f>I115+I116</f>
        <v>0</v>
      </c>
      <c r="J117" s="1036"/>
    </row>
    <row r="118" spans="1:10" ht="14.45" customHeight="1">
      <c r="A118" s="1046" t="s">
        <v>61</v>
      </c>
      <c r="B118" s="1052" t="s">
        <v>62</v>
      </c>
      <c r="C118" s="1028" t="s">
        <v>408</v>
      </c>
      <c r="D118" s="255" t="s">
        <v>0</v>
      </c>
      <c r="E118" s="265">
        <f>E121+E124+E139+E145+E127+E133+E136+E142+E130+E148</f>
        <v>11633909</v>
      </c>
      <c r="F118" s="1065" t="s">
        <v>408</v>
      </c>
      <c r="G118" s="265">
        <f t="shared" ref="G118:I119" si="7">G121+G124+G139+G145+G127+G133+G136+G142+G130+G148</f>
        <v>11633909</v>
      </c>
      <c r="H118" s="265">
        <f t="shared" si="7"/>
        <v>11633909</v>
      </c>
      <c r="I118" s="265">
        <f t="shared" si="7"/>
        <v>0</v>
      </c>
      <c r="J118" s="1028" t="s">
        <v>408</v>
      </c>
    </row>
    <row r="119" spans="1:10" ht="14.45" customHeight="1">
      <c r="A119" s="1047"/>
      <c r="B119" s="1053"/>
      <c r="C119" s="1029"/>
      <c r="D119" s="255" t="s">
        <v>1</v>
      </c>
      <c r="E119" s="265">
        <f>E122+E125+E140+E146+E128+E134+E137+E143+E131+E149</f>
        <v>-2627475</v>
      </c>
      <c r="F119" s="1066"/>
      <c r="G119" s="265">
        <f t="shared" si="7"/>
        <v>-2627475</v>
      </c>
      <c r="H119" s="265">
        <f t="shared" si="7"/>
        <v>-2627475</v>
      </c>
      <c r="I119" s="265">
        <f t="shared" si="7"/>
        <v>0</v>
      </c>
      <c r="J119" s="1029"/>
    </row>
    <row r="120" spans="1:10" ht="14.45" customHeight="1">
      <c r="A120" s="1048"/>
      <c r="B120" s="1054"/>
      <c r="C120" s="1030"/>
      <c r="D120" s="255" t="s">
        <v>2</v>
      </c>
      <c r="E120" s="265">
        <f>E118+E119</f>
        <v>9006434</v>
      </c>
      <c r="F120" s="1067"/>
      <c r="G120" s="265">
        <f>G118+G119</f>
        <v>9006434</v>
      </c>
      <c r="H120" s="265">
        <f>H118+H119</f>
        <v>9006434</v>
      </c>
      <c r="I120" s="265">
        <f>I118+I119</f>
        <v>0</v>
      </c>
      <c r="J120" s="1030"/>
    </row>
    <row r="121" spans="1:10" hidden="1">
      <c r="A121" s="1031" t="s">
        <v>442</v>
      </c>
      <c r="B121" s="1034" t="s">
        <v>443</v>
      </c>
      <c r="C121" s="1037">
        <v>2024</v>
      </c>
      <c r="D121" s="266" t="s">
        <v>0</v>
      </c>
      <c r="E121" s="267">
        <v>600000</v>
      </c>
      <c r="F121" s="1059" t="s">
        <v>408</v>
      </c>
      <c r="G121" s="267">
        <f>H121+I121</f>
        <v>600000</v>
      </c>
      <c r="H121" s="267">
        <v>600000</v>
      </c>
      <c r="I121" s="267">
        <v>0</v>
      </c>
      <c r="J121" s="1034" t="s">
        <v>444</v>
      </c>
    </row>
    <row r="122" spans="1:10" hidden="1">
      <c r="A122" s="1032"/>
      <c r="B122" s="1035"/>
      <c r="C122" s="1038"/>
      <c r="D122" s="266" t="s">
        <v>1</v>
      </c>
      <c r="E122" s="267"/>
      <c r="F122" s="1060"/>
      <c r="G122" s="267">
        <f>H122+I122</f>
        <v>0</v>
      </c>
      <c r="H122" s="267"/>
      <c r="I122" s="267"/>
      <c r="J122" s="1035"/>
    </row>
    <row r="123" spans="1:10" hidden="1">
      <c r="A123" s="1033"/>
      <c r="B123" s="1036"/>
      <c r="C123" s="1039"/>
      <c r="D123" s="266" t="s">
        <v>2</v>
      </c>
      <c r="E123" s="267">
        <f>E121+E122</f>
        <v>600000</v>
      </c>
      <c r="F123" s="1061"/>
      <c r="G123" s="267">
        <f>G121+G122</f>
        <v>600000</v>
      </c>
      <c r="H123" s="267">
        <f>H121+H122</f>
        <v>600000</v>
      </c>
      <c r="I123" s="267">
        <f>I121+I122</f>
        <v>0</v>
      </c>
      <c r="J123" s="1036"/>
    </row>
    <row r="124" spans="1:10" hidden="1">
      <c r="A124" s="1031" t="s">
        <v>442</v>
      </c>
      <c r="B124" s="1034" t="s">
        <v>445</v>
      </c>
      <c r="C124" s="1037">
        <v>2024</v>
      </c>
      <c r="D124" s="266" t="s">
        <v>0</v>
      </c>
      <c r="E124" s="267">
        <v>6000000</v>
      </c>
      <c r="F124" s="1059" t="s">
        <v>408</v>
      </c>
      <c r="G124" s="267">
        <f>H124+I124</f>
        <v>6000000</v>
      </c>
      <c r="H124" s="267">
        <v>6000000</v>
      </c>
      <c r="I124" s="267">
        <v>0</v>
      </c>
      <c r="J124" s="1034" t="s">
        <v>446</v>
      </c>
    </row>
    <row r="125" spans="1:10" hidden="1">
      <c r="A125" s="1032"/>
      <c r="B125" s="1035"/>
      <c r="C125" s="1038"/>
      <c r="D125" s="266" t="s">
        <v>1</v>
      </c>
      <c r="E125" s="267"/>
      <c r="F125" s="1060"/>
      <c r="G125" s="267">
        <f>H125+I125</f>
        <v>0</v>
      </c>
      <c r="H125" s="267"/>
      <c r="I125" s="267"/>
      <c r="J125" s="1035"/>
    </row>
    <row r="126" spans="1:10" hidden="1">
      <c r="A126" s="1033"/>
      <c r="B126" s="1036"/>
      <c r="C126" s="1039"/>
      <c r="D126" s="266" t="s">
        <v>2</v>
      </c>
      <c r="E126" s="267">
        <f>E124+E125</f>
        <v>6000000</v>
      </c>
      <c r="F126" s="1061"/>
      <c r="G126" s="267">
        <f>G124+G125</f>
        <v>6000000</v>
      </c>
      <c r="H126" s="267">
        <f>H124+H125</f>
        <v>6000000</v>
      </c>
      <c r="I126" s="267">
        <f>I124+I125</f>
        <v>0</v>
      </c>
      <c r="J126" s="1036"/>
    </row>
    <row r="127" spans="1:10" hidden="1">
      <c r="A127" s="1031" t="s">
        <v>442</v>
      </c>
      <c r="B127" s="1034" t="s">
        <v>447</v>
      </c>
      <c r="C127" s="1037">
        <v>2024</v>
      </c>
      <c r="D127" s="266" t="s">
        <v>0</v>
      </c>
      <c r="E127" s="267">
        <v>270000</v>
      </c>
      <c r="F127" s="1059" t="s">
        <v>408</v>
      </c>
      <c r="G127" s="267">
        <f>H127+I127</f>
        <v>270000</v>
      </c>
      <c r="H127" s="267">
        <v>270000</v>
      </c>
      <c r="I127" s="267">
        <v>0</v>
      </c>
      <c r="J127" s="1034" t="s">
        <v>448</v>
      </c>
    </row>
    <row r="128" spans="1:10" hidden="1">
      <c r="A128" s="1032"/>
      <c r="B128" s="1035"/>
      <c r="C128" s="1038"/>
      <c r="D128" s="266" t="s">
        <v>1</v>
      </c>
      <c r="E128" s="267"/>
      <c r="F128" s="1060"/>
      <c r="G128" s="267">
        <f>H128+I128</f>
        <v>0</v>
      </c>
      <c r="H128" s="267"/>
      <c r="I128" s="267"/>
      <c r="J128" s="1035"/>
    </row>
    <row r="129" spans="1:10" hidden="1">
      <c r="A129" s="1033"/>
      <c r="B129" s="1036"/>
      <c r="C129" s="1039"/>
      <c r="D129" s="266" t="s">
        <v>2</v>
      </c>
      <c r="E129" s="267">
        <f>E127+E128</f>
        <v>270000</v>
      </c>
      <c r="F129" s="1061"/>
      <c r="G129" s="267">
        <f>G127+G128</f>
        <v>270000</v>
      </c>
      <c r="H129" s="267">
        <f>H127+H128</f>
        <v>270000</v>
      </c>
      <c r="I129" s="267">
        <f>I127+I128</f>
        <v>0</v>
      </c>
      <c r="J129" s="1036"/>
    </row>
    <row r="130" spans="1:10" ht="14.45" customHeight="1">
      <c r="A130" s="1031" t="s">
        <v>442</v>
      </c>
      <c r="B130" s="1034" t="s">
        <v>449</v>
      </c>
      <c r="C130" s="1037">
        <v>2024</v>
      </c>
      <c r="D130" s="266" t="s">
        <v>0</v>
      </c>
      <c r="E130" s="267">
        <v>0</v>
      </c>
      <c r="F130" s="1059" t="s">
        <v>408</v>
      </c>
      <c r="G130" s="267">
        <f>H130+I130</f>
        <v>0</v>
      </c>
      <c r="H130" s="267">
        <v>0</v>
      </c>
      <c r="I130" s="267">
        <v>0</v>
      </c>
      <c r="J130" s="1034" t="s">
        <v>448</v>
      </c>
    </row>
    <row r="131" spans="1:10" ht="14.45" customHeight="1">
      <c r="A131" s="1032"/>
      <c r="B131" s="1035"/>
      <c r="C131" s="1038"/>
      <c r="D131" s="266" t="s">
        <v>1</v>
      </c>
      <c r="E131" s="267">
        <v>451000</v>
      </c>
      <c r="F131" s="1060"/>
      <c r="G131" s="267">
        <f>H131+I131</f>
        <v>451000</v>
      </c>
      <c r="H131" s="267">
        <v>451000</v>
      </c>
      <c r="I131" s="267"/>
      <c r="J131" s="1035"/>
    </row>
    <row r="132" spans="1:10" ht="14.45" customHeight="1">
      <c r="A132" s="1033"/>
      <c r="B132" s="1036"/>
      <c r="C132" s="1039"/>
      <c r="D132" s="266" t="s">
        <v>2</v>
      </c>
      <c r="E132" s="267">
        <f>E130+E131</f>
        <v>451000</v>
      </c>
      <c r="F132" s="1061"/>
      <c r="G132" s="267">
        <f>G130+G131</f>
        <v>451000</v>
      </c>
      <c r="H132" s="267">
        <f>H130+H131</f>
        <v>451000</v>
      </c>
      <c r="I132" s="267">
        <f>I130+I131</f>
        <v>0</v>
      </c>
      <c r="J132" s="1036"/>
    </row>
    <row r="133" spans="1:10" ht="14.1" customHeight="1">
      <c r="A133" s="1031" t="s">
        <v>442</v>
      </c>
      <c r="B133" s="1034" t="s">
        <v>450</v>
      </c>
      <c r="C133" s="1037">
        <v>2024</v>
      </c>
      <c r="D133" s="266" t="s">
        <v>0</v>
      </c>
      <c r="E133" s="267">
        <v>4000000</v>
      </c>
      <c r="F133" s="1059" t="s">
        <v>408</v>
      </c>
      <c r="G133" s="267">
        <f>H133+I133</f>
        <v>4000000</v>
      </c>
      <c r="H133" s="267">
        <v>4000000</v>
      </c>
      <c r="I133" s="267">
        <v>0</v>
      </c>
      <c r="J133" s="1034" t="s">
        <v>411</v>
      </c>
    </row>
    <row r="134" spans="1:10" ht="14.1" customHeight="1">
      <c r="A134" s="1032"/>
      <c r="B134" s="1035"/>
      <c r="C134" s="1038"/>
      <c r="D134" s="266" t="s">
        <v>1</v>
      </c>
      <c r="E134" s="267">
        <v>-4000000</v>
      </c>
      <c r="F134" s="1060"/>
      <c r="G134" s="267">
        <f>H134+I134</f>
        <v>-4000000</v>
      </c>
      <c r="H134" s="267">
        <v>-4000000</v>
      </c>
      <c r="I134" s="267"/>
      <c r="J134" s="1035"/>
    </row>
    <row r="135" spans="1:10" ht="14.1" customHeight="1">
      <c r="A135" s="1033"/>
      <c r="B135" s="1036"/>
      <c r="C135" s="1039"/>
      <c r="D135" s="266" t="s">
        <v>2</v>
      </c>
      <c r="E135" s="267">
        <f>E133+E134</f>
        <v>0</v>
      </c>
      <c r="F135" s="1061"/>
      <c r="G135" s="267">
        <f>G133+G134</f>
        <v>0</v>
      </c>
      <c r="H135" s="267">
        <f>H133+H134</f>
        <v>0</v>
      </c>
      <c r="I135" s="267">
        <f>I133+I134</f>
        <v>0</v>
      </c>
      <c r="J135" s="1036"/>
    </row>
    <row r="136" spans="1:10" ht="14.45" customHeight="1">
      <c r="A136" s="1031" t="s">
        <v>283</v>
      </c>
      <c r="B136" s="1034" t="s">
        <v>451</v>
      </c>
      <c r="C136" s="1037">
        <v>2024</v>
      </c>
      <c r="D136" s="266" t="s">
        <v>0</v>
      </c>
      <c r="E136" s="267">
        <v>0</v>
      </c>
      <c r="F136" s="1059" t="s">
        <v>408</v>
      </c>
      <c r="G136" s="267">
        <f>H136+I136</f>
        <v>0</v>
      </c>
      <c r="H136" s="267">
        <v>0</v>
      </c>
      <c r="I136" s="267">
        <v>0</v>
      </c>
      <c r="J136" s="1034" t="s">
        <v>452</v>
      </c>
    </row>
    <row r="137" spans="1:10" ht="14.45" customHeight="1">
      <c r="A137" s="1032"/>
      <c r="B137" s="1035"/>
      <c r="C137" s="1038"/>
      <c r="D137" s="266" t="s">
        <v>1</v>
      </c>
      <c r="E137" s="267">
        <v>542000</v>
      </c>
      <c r="F137" s="1060"/>
      <c r="G137" s="267">
        <f>H137+I137</f>
        <v>542000</v>
      </c>
      <c r="H137" s="267">
        <v>542000</v>
      </c>
      <c r="I137" s="267"/>
      <c r="J137" s="1035"/>
    </row>
    <row r="138" spans="1:10" ht="14.45" customHeight="1">
      <c r="A138" s="1033"/>
      <c r="B138" s="1036"/>
      <c r="C138" s="1039"/>
      <c r="D138" s="266" t="s">
        <v>2</v>
      </c>
      <c r="E138" s="267">
        <f>E136+E137</f>
        <v>542000</v>
      </c>
      <c r="F138" s="1061"/>
      <c r="G138" s="267">
        <f>G136+G137</f>
        <v>542000</v>
      </c>
      <c r="H138" s="267">
        <f>H136+H137</f>
        <v>542000</v>
      </c>
      <c r="I138" s="267">
        <f>I136+I137</f>
        <v>0</v>
      </c>
      <c r="J138" s="1036"/>
    </row>
    <row r="139" spans="1:10" hidden="1">
      <c r="A139" s="1031" t="s">
        <v>453</v>
      </c>
      <c r="B139" s="1034" t="s">
        <v>454</v>
      </c>
      <c r="C139" s="1037">
        <v>2024</v>
      </c>
      <c r="D139" s="266" t="s">
        <v>0</v>
      </c>
      <c r="E139" s="267">
        <v>145000</v>
      </c>
      <c r="F139" s="1059" t="s">
        <v>408</v>
      </c>
      <c r="G139" s="267">
        <f>H139+I139</f>
        <v>145000</v>
      </c>
      <c r="H139" s="267">
        <v>145000</v>
      </c>
      <c r="I139" s="267">
        <v>0</v>
      </c>
      <c r="J139" s="1034" t="s">
        <v>455</v>
      </c>
    </row>
    <row r="140" spans="1:10" hidden="1">
      <c r="A140" s="1032"/>
      <c r="B140" s="1035"/>
      <c r="C140" s="1038"/>
      <c r="D140" s="266" t="s">
        <v>1</v>
      </c>
      <c r="E140" s="267"/>
      <c r="F140" s="1060"/>
      <c r="G140" s="267">
        <f>H140+I140</f>
        <v>0</v>
      </c>
      <c r="H140" s="267"/>
      <c r="I140" s="267"/>
      <c r="J140" s="1035"/>
    </row>
    <row r="141" spans="1:10" hidden="1">
      <c r="A141" s="1033"/>
      <c r="B141" s="1036"/>
      <c r="C141" s="1039"/>
      <c r="D141" s="266" t="s">
        <v>2</v>
      </c>
      <c r="E141" s="267">
        <f>E139+E140</f>
        <v>145000</v>
      </c>
      <c r="F141" s="1061"/>
      <c r="G141" s="267">
        <f>G139+G140</f>
        <v>145000</v>
      </c>
      <c r="H141" s="267">
        <f>H139+H140</f>
        <v>145000</v>
      </c>
      <c r="I141" s="267">
        <f>I139+I140</f>
        <v>0</v>
      </c>
      <c r="J141" s="1036"/>
    </row>
    <row r="142" spans="1:10" ht="14.45" customHeight="1">
      <c r="A142" s="1031" t="s">
        <v>453</v>
      </c>
      <c r="B142" s="1034" t="s">
        <v>456</v>
      </c>
      <c r="C142" s="1037">
        <v>2024</v>
      </c>
      <c r="D142" s="266" t="s">
        <v>0</v>
      </c>
      <c r="E142" s="267">
        <v>0</v>
      </c>
      <c r="F142" s="1059" t="s">
        <v>408</v>
      </c>
      <c r="G142" s="267">
        <f>H142+I142</f>
        <v>0</v>
      </c>
      <c r="H142" s="267">
        <v>0</v>
      </c>
      <c r="I142" s="267">
        <v>0</v>
      </c>
      <c r="J142" s="1034" t="s">
        <v>455</v>
      </c>
    </row>
    <row r="143" spans="1:10" ht="14.45" customHeight="1">
      <c r="A143" s="1032"/>
      <c r="B143" s="1035"/>
      <c r="C143" s="1038"/>
      <c r="D143" s="266" t="s">
        <v>1</v>
      </c>
      <c r="E143" s="267">
        <v>220000</v>
      </c>
      <c r="F143" s="1060"/>
      <c r="G143" s="267">
        <f>H143+I143</f>
        <v>220000</v>
      </c>
      <c r="H143" s="267">
        <v>220000</v>
      </c>
      <c r="I143" s="267"/>
      <c r="J143" s="1035"/>
    </row>
    <row r="144" spans="1:10" ht="14.45" customHeight="1">
      <c r="A144" s="1033"/>
      <c r="B144" s="1036"/>
      <c r="C144" s="1039"/>
      <c r="D144" s="266" t="s">
        <v>2</v>
      </c>
      <c r="E144" s="267">
        <f>E142+E143</f>
        <v>220000</v>
      </c>
      <c r="F144" s="1061"/>
      <c r="G144" s="267">
        <f>G142+G143</f>
        <v>220000</v>
      </c>
      <c r="H144" s="267">
        <f>H142+H143</f>
        <v>220000</v>
      </c>
      <c r="I144" s="267">
        <f>I142+I143</f>
        <v>0</v>
      </c>
      <c r="J144" s="1036"/>
    </row>
    <row r="145" spans="1:10" hidden="1">
      <c r="A145" s="1031" t="s">
        <v>290</v>
      </c>
      <c r="B145" s="1034" t="s">
        <v>457</v>
      </c>
      <c r="C145" s="1037">
        <v>2024</v>
      </c>
      <c r="D145" s="266" t="s">
        <v>0</v>
      </c>
      <c r="E145" s="267">
        <v>618909</v>
      </c>
      <c r="F145" s="1059" t="s">
        <v>408</v>
      </c>
      <c r="G145" s="267">
        <f>H145+I145</f>
        <v>618909</v>
      </c>
      <c r="H145" s="267">
        <v>618909</v>
      </c>
      <c r="I145" s="267">
        <v>0</v>
      </c>
      <c r="J145" s="1034" t="s">
        <v>411</v>
      </c>
    </row>
    <row r="146" spans="1:10" hidden="1">
      <c r="A146" s="1032"/>
      <c r="B146" s="1035"/>
      <c r="C146" s="1038"/>
      <c r="D146" s="266" t="s">
        <v>1</v>
      </c>
      <c r="E146" s="267"/>
      <c r="F146" s="1060"/>
      <c r="G146" s="267">
        <f>H146+I146</f>
        <v>0</v>
      </c>
      <c r="H146" s="267"/>
      <c r="I146" s="267"/>
      <c r="J146" s="1035"/>
    </row>
    <row r="147" spans="1:10" hidden="1">
      <c r="A147" s="1033"/>
      <c r="B147" s="1036"/>
      <c r="C147" s="1039"/>
      <c r="D147" s="266" t="s">
        <v>2</v>
      </c>
      <c r="E147" s="267">
        <f>E145+E146</f>
        <v>618909</v>
      </c>
      <c r="F147" s="1061"/>
      <c r="G147" s="267">
        <f>G145+G146</f>
        <v>618909</v>
      </c>
      <c r="H147" s="267">
        <f>H145+H146</f>
        <v>618909</v>
      </c>
      <c r="I147" s="267">
        <f>I145+I146</f>
        <v>0</v>
      </c>
      <c r="J147" s="1036"/>
    </row>
    <row r="148" spans="1:10" ht="14.45" customHeight="1">
      <c r="A148" s="1031" t="s">
        <v>458</v>
      </c>
      <c r="B148" s="1034" t="s">
        <v>459</v>
      </c>
      <c r="C148" s="1037">
        <v>2024</v>
      </c>
      <c r="D148" s="266" t="s">
        <v>0</v>
      </c>
      <c r="E148" s="267">
        <v>0</v>
      </c>
      <c r="F148" s="1059" t="s">
        <v>408</v>
      </c>
      <c r="G148" s="267">
        <f>H148+I148</f>
        <v>0</v>
      </c>
      <c r="H148" s="267">
        <v>0</v>
      </c>
      <c r="I148" s="267">
        <v>0</v>
      </c>
      <c r="J148" s="1034" t="s">
        <v>460</v>
      </c>
    </row>
    <row r="149" spans="1:10" ht="14.45" customHeight="1">
      <c r="A149" s="1032"/>
      <c r="B149" s="1035"/>
      <c r="C149" s="1038"/>
      <c r="D149" s="266" t="s">
        <v>1</v>
      </c>
      <c r="E149" s="267">
        <v>159525</v>
      </c>
      <c r="F149" s="1060"/>
      <c r="G149" s="267">
        <f>H149+I149</f>
        <v>159525</v>
      </c>
      <c r="H149" s="267">
        <v>159525</v>
      </c>
      <c r="I149" s="267"/>
      <c r="J149" s="1035"/>
    </row>
    <row r="150" spans="1:10" ht="14.45" customHeight="1">
      <c r="A150" s="1033"/>
      <c r="B150" s="1036"/>
      <c r="C150" s="1039"/>
      <c r="D150" s="266" t="s">
        <v>2</v>
      </c>
      <c r="E150" s="267">
        <f>E148+E149</f>
        <v>159525</v>
      </c>
      <c r="F150" s="1061"/>
      <c r="G150" s="267">
        <f>G148+G149</f>
        <v>159525</v>
      </c>
      <c r="H150" s="267">
        <f>H148+H149</f>
        <v>159525</v>
      </c>
      <c r="I150" s="267">
        <f>I148+I149</f>
        <v>0</v>
      </c>
      <c r="J150" s="1036"/>
    </row>
    <row r="151" spans="1:10" hidden="1">
      <c r="A151" s="1046" t="s">
        <v>25</v>
      </c>
      <c r="B151" s="1052" t="s">
        <v>63</v>
      </c>
      <c r="C151" s="1028" t="s">
        <v>408</v>
      </c>
      <c r="D151" s="255" t="s">
        <v>0</v>
      </c>
      <c r="E151" s="265">
        <f>E154+E157</f>
        <v>921270</v>
      </c>
      <c r="F151" s="268" t="s">
        <v>408</v>
      </c>
      <c r="G151" s="265">
        <f t="shared" ref="G151:I152" si="8">G154+G157</f>
        <v>921270</v>
      </c>
      <c r="H151" s="265">
        <f t="shared" si="8"/>
        <v>921270</v>
      </c>
      <c r="I151" s="265">
        <f t="shared" si="8"/>
        <v>0</v>
      </c>
      <c r="J151" s="1028" t="s">
        <v>408</v>
      </c>
    </row>
    <row r="152" spans="1:10" hidden="1">
      <c r="A152" s="1047"/>
      <c r="B152" s="1053"/>
      <c r="C152" s="1029"/>
      <c r="D152" s="255" t="s">
        <v>1</v>
      </c>
      <c r="E152" s="265">
        <f>E155+E158</f>
        <v>0</v>
      </c>
      <c r="F152" s="268"/>
      <c r="G152" s="265">
        <f t="shared" si="8"/>
        <v>0</v>
      </c>
      <c r="H152" s="265">
        <f t="shared" si="8"/>
        <v>0</v>
      </c>
      <c r="I152" s="265">
        <f t="shared" si="8"/>
        <v>0</v>
      </c>
      <c r="J152" s="1029"/>
    </row>
    <row r="153" spans="1:10" hidden="1">
      <c r="A153" s="1048"/>
      <c r="B153" s="1054"/>
      <c r="C153" s="1030"/>
      <c r="D153" s="255" t="s">
        <v>2</v>
      </c>
      <c r="E153" s="265">
        <f>E151+E152</f>
        <v>921270</v>
      </c>
      <c r="F153" s="268"/>
      <c r="G153" s="265">
        <f>G151+G152</f>
        <v>921270</v>
      </c>
      <c r="H153" s="265">
        <f>H151+H152</f>
        <v>921270</v>
      </c>
      <c r="I153" s="265">
        <f>I151+I152</f>
        <v>0</v>
      </c>
      <c r="J153" s="1030"/>
    </row>
    <row r="154" spans="1:10" hidden="1">
      <c r="A154" s="1031" t="s">
        <v>461</v>
      </c>
      <c r="B154" s="1034" t="s">
        <v>423</v>
      </c>
      <c r="C154" s="1037">
        <v>2024</v>
      </c>
      <c r="D154" s="266" t="s">
        <v>0</v>
      </c>
      <c r="E154" s="267">
        <v>376270</v>
      </c>
      <c r="F154" s="1059" t="s">
        <v>408</v>
      </c>
      <c r="G154" s="267">
        <f>H154+I154</f>
        <v>376270</v>
      </c>
      <c r="H154" s="267">
        <v>376270</v>
      </c>
      <c r="I154" s="267">
        <v>0</v>
      </c>
      <c r="J154" s="1034" t="s">
        <v>460</v>
      </c>
    </row>
    <row r="155" spans="1:10" hidden="1">
      <c r="A155" s="1032"/>
      <c r="B155" s="1035"/>
      <c r="C155" s="1038"/>
      <c r="D155" s="266" t="s">
        <v>1</v>
      </c>
      <c r="E155" s="267"/>
      <c r="F155" s="1060"/>
      <c r="G155" s="267">
        <f>H155+I155</f>
        <v>0</v>
      </c>
      <c r="H155" s="267"/>
      <c r="I155" s="267"/>
      <c r="J155" s="1035"/>
    </row>
    <row r="156" spans="1:10" hidden="1">
      <c r="A156" s="1033"/>
      <c r="B156" s="1036"/>
      <c r="C156" s="1039"/>
      <c r="D156" s="266" t="s">
        <v>2</v>
      </c>
      <c r="E156" s="267">
        <f>E154+E155</f>
        <v>376270</v>
      </c>
      <c r="F156" s="1061"/>
      <c r="G156" s="267">
        <f>G154+G155</f>
        <v>376270</v>
      </c>
      <c r="H156" s="267">
        <f>H154+H155</f>
        <v>376270</v>
      </c>
      <c r="I156" s="267">
        <f>I154+I155</f>
        <v>0</v>
      </c>
      <c r="J156" s="1036"/>
    </row>
    <row r="157" spans="1:10" hidden="1">
      <c r="A157" s="1031" t="s">
        <v>461</v>
      </c>
      <c r="B157" s="1034" t="s">
        <v>462</v>
      </c>
      <c r="C157" s="1037">
        <v>2024</v>
      </c>
      <c r="D157" s="266" t="s">
        <v>0</v>
      </c>
      <c r="E157" s="267">
        <v>545000</v>
      </c>
      <c r="F157" s="1059" t="s">
        <v>408</v>
      </c>
      <c r="G157" s="267">
        <f>H157+I157</f>
        <v>545000</v>
      </c>
      <c r="H157" s="267">
        <v>545000</v>
      </c>
      <c r="I157" s="267">
        <v>0</v>
      </c>
      <c r="J157" s="1034" t="s">
        <v>460</v>
      </c>
    </row>
    <row r="158" spans="1:10" hidden="1">
      <c r="A158" s="1032"/>
      <c r="B158" s="1035"/>
      <c r="C158" s="1038"/>
      <c r="D158" s="266" t="s">
        <v>1</v>
      </c>
      <c r="E158" s="267"/>
      <c r="F158" s="1060"/>
      <c r="G158" s="267">
        <f>H158+I158</f>
        <v>0</v>
      </c>
      <c r="H158" s="267"/>
      <c r="I158" s="267"/>
      <c r="J158" s="1035"/>
    </row>
    <row r="159" spans="1:10" hidden="1">
      <c r="A159" s="1033"/>
      <c r="B159" s="1036"/>
      <c r="C159" s="1039"/>
      <c r="D159" s="266" t="s">
        <v>2</v>
      </c>
      <c r="E159" s="267">
        <f>E157+E158</f>
        <v>545000</v>
      </c>
      <c r="F159" s="1061"/>
      <c r="G159" s="267">
        <f>G157+G158</f>
        <v>545000</v>
      </c>
      <c r="H159" s="267">
        <f>H157+H158</f>
        <v>545000</v>
      </c>
      <c r="I159" s="267">
        <f>I157+I158</f>
        <v>0</v>
      </c>
      <c r="J159" s="1036"/>
    </row>
    <row r="160" spans="1:10" ht="14.45" customHeight="1">
      <c r="A160" s="1046" t="s">
        <v>64</v>
      </c>
      <c r="B160" s="1049" t="s">
        <v>297</v>
      </c>
      <c r="C160" s="1028" t="s">
        <v>408</v>
      </c>
      <c r="D160" s="255" t="s">
        <v>0</v>
      </c>
      <c r="E160" s="265">
        <f>E163+E166+E169+E172</f>
        <v>220000</v>
      </c>
      <c r="F160" s="1065" t="s">
        <v>408</v>
      </c>
      <c r="G160" s="265">
        <f t="shared" ref="G160:I161" si="9">G163+G166+G169+G172</f>
        <v>220000</v>
      </c>
      <c r="H160" s="265">
        <f t="shared" si="9"/>
        <v>220000</v>
      </c>
      <c r="I160" s="265">
        <f t="shared" si="9"/>
        <v>0</v>
      </c>
      <c r="J160" s="1028" t="s">
        <v>408</v>
      </c>
    </row>
    <row r="161" spans="1:10" ht="14.45" customHeight="1">
      <c r="A161" s="1047"/>
      <c r="B161" s="1050"/>
      <c r="C161" s="1029"/>
      <c r="D161" s="255" t="s">
        <v>1</v>
      </c>
      <c r="E161" s="265">
        <f>E164+E167+E170+E173</f>
        <v>1280000</v>
      </c>
      <c r="F161" s="1066"/>
      <c r="G161" s="265">
        <f t="shared" si="9"/>
        <v>1280000</v>
      </c>
      <c r="H161" s="265">
        <f t="shared" si="9"/>
        <v>1280000</v>
      </c>
      <c r="I161" s="265">
        <f t="shared" si="9"/>
        <v>0</v>
      </c>
      <c r="J161" s="1029"/>
    </row>
    <row r="162" spans="1:10" ht="14.45" customHeight="1">
      <c r="A162" s="1048"/>
      <c r="B162" s="1051"/>
      <c r="C162" s="1030"/>
      <c r="D162" s="255" t="s">
        <v>2</v>
      </c>
      <c r="E162" s="265">
        <f>E160+E161</f>
        <v>1500000</v>
      </c>
      <c r="F162" s="1067"/>
      <c r="G162" s="265">
        <f>G160+G161</f>
        <v>1500000</v>
      </c>
      <c r="H162" s="265">
        <f>H160+H161</f>
        <v>1500000</v>
      </c>
      <c r="I162" s="265">
        <f>I160+I161</f>
        <v>0</v>
      </c>
      <c r="J162" s="1030"/>
    </row>
    <row r="163" spans="1:10" hidden="1">
      <c r="A163" s="1031" t="s">
        <v>463</v>
      </c>
      <c r="B163" s="1034" t="s">
        <v>464</v>
      </c>
      <c r="C163" s="1037">
        <v>2024</v>
      </c>
      <c r="D163" s="266" t="s">
        <v>0</v>
      </c>
      <c r="E163" s="267">
        <v>105000</v>
      </c>
      <c r="F163" s="1059" t="s">
        <v>408</v>
      </c>
      <c r="G163" s="267">
        <f>H163+I163</f>
        <v>105000</v>
      </c>
      <c r="H163" s="267">
        <v>105000</v>
      </c>
      <c r="I163" s="267">
        <v>0</v>
      </c>
      <c r="J163" s="1034" t="s">
        <v>465</v>
      </c>
    </row>
    <row r="164" spans="1:10" hidden="1">
      <c r="A164" s="1032"/>
      <c r="B164" s="1035"/>
      <c r="C164" s="1038"/>
      <c r="D164" s="266" t="s">
        <v>1</v>
      </c>
      <c r="E164" s="267"/>
      <c r="F164" s="1060"/>
      <c r="G164" s="267">
        <f>H164+I164</f>
        <v>0</v>
      </c>
      <c r="H164" s="267"/>
      <c r="I164" s="267"/>
      <c r="J164" s="1035"/>
    </row>
    <row r="165" spans="1:10" hidden="1">
      <c r="A165" s="1033"/>
      <c r="B165" s="1036"/>
      <c r="C165" s="1039"/>
      <c r="D165" s="266" t="s">
        <v>2</v>
      </c>
      <c r="E165" s="267">
        <f>E163+E164</f>
        <v>105000</v>
      </c>
      <c r="F165" s="1061"/>
      <c r="G165" s="267">
        <f>G163+G164</f>
        <v>105000</v>
      </c>
      <c r="H165" s="267">
        <f>H163+H164</f>
        <v>105000</v>
      </c>
      <c r="I165" s="267">
        <f>I163+I164</f>
        <v>0</v>
      </c>
      <c r="J165" s="1036"/>
    </row>
    <row r="166" spans="1:10" hidden="1">
      <c r="A166" s="1031" t="s">
        <v>463</v>
      </c>
      <c r="B166" s="1034" t="s">
        <v>466</v>
      </c>
      <c r="C166" s="1037">
        <v>2024</v>
      </c>
      <c r="D166" s="266" t="s">
        <v>0</v>
      </c>
      <c r="E166" s="267">
        <v>115000</v>
      </c>
      <c r="F166" s="1059" t="s">
        <v>408</v>
      </c>
      <c r="G166" s="267">
        <f>H166+I166</f>
        <v>115000</v>
      </c>
      <c r="H166" s="267">
        <v>115000</v>
      </c>
      <c r="I166" s="267">
        <v>0</v>
      </c>
      <c r="J166" s="1034" t="s">
        <v>465</v>
      </c>
    </row>
    <row r="167" spans="1:10" hidden="1">
      <c r="A167" s="1032"/>
      <c r="B167" s="1035"/>
      <c r="C167" s="1038"/>
      <c r="D167" s="266" t="s">
        <v>1</v>
      </c>
      <c r="E167" s="267"/>
      <c r="F167" s="1060"/>
      <c r="G167" s="267">
        <f>H167+I167</f>
        <v>0</v>
      </c>
      <c r="H167" s="267"/>
      <c r="I167" s="267"/>
      <c r="J167" s="1035"/>
    </row>
    <row r="168" spans="1:10" hidden="1">
      <c r="A168" s="1033"/>
      <c r="B168" s="1036"/>
      <c r="C168" s="1039"/>
      <c r="D168" s="266" t="s">
        <v>2</v>
      </c>
      <c r="E168" s="267">
        <f>E166+E167</f>
        <v>115000</v>
      </c>
      <c r="F168" s="1061"/>
      <c r="G168" s="267">
        <f>G166+G167</f>
        <v>115000</v>
      </c>
      <c r="H168" s="267">
        <f>H166+H167</f>
        <v>115000</v>
      </c>
      <c r="I168" s="267">
        <f>I166+I167</f>
        <v>0</v>
      </c>
      <c r="J168" s="1036"/>
    </row>
    <row r="169" spans="1:10" ht="14.1" customHeight="1">
      <c r="A169" s="1031" t="s">
        <v>467</v>
      </c>
      <c r="B169" s="1034" t="s">
        <v>468</v>
      </c>
      <c r="C169" s="1037">
        <v>2024</v>
      </c>
      <c r="D169" s="266" t="s">
        <v>0</v>
      </c>
      <c r="E169" s="267">
        <v>0</v>
      </c>
      <c r="F169" s="1059" t="s">
        <v>408</v>
      </c>
      <c r="G169" s="267">
        <f>H169+I169</f>
        <v>0</v>
      </c>
      <c r="H169" s="267">
        <v>0</v>
      </c>
      <c r="I169" s="267">
        <v>0</v>
      </c>
      <c r="J169" s="1034" t="s">
        <v>460</v>
      </c>
    </row>
    <row r="170" spans="1:10" ht="14.1" customHeight="1">
      <c r="A170" s="1032"/>
      <c r="B170" s="1035"/>
      <c r="C170" s="1038"/>
      <c r="D170" s="266" t="s">
        <v>1</v>
      </c>
      <c r="E170" s="267">
        <v>660000</v>
      </c>
      <c r="F170" s="1060"/>
      <c r="G170" s="267">
        <f>H170+I170</f>
        <v>660000</v>
      </c>
      <c r="H170" s="267">
        <v>660000</v>
      </c>
      <c r="I170" s="267"/>
      <c r="J170" s="1035"/>
    </row>
    <row r="171" spans="1:10" ht="14.1" customHeight="1">
      <c r="A171" s="1033"/>
      <c r="B171" s="1036"/>
      <c r="C171" s="1039"/>
      <c r="D171" s="266" t="s">
        <v>2</v>
      </c>
      <c r="E171" s="267">
        <f>E169+E170</f>
        <v>660000</v>
      </c>
      <c r="F171" s="1061"/>
      <c r="G171" s="267">
        <f>G169+G170</f>
        <v>660000</v>
      </c>
      <c r="H171" s="267">
        <f>H169+H170</f>
        <v>660000</v>
      </c>
      <c r="I171" s="267">
        <f>I169+I170</f>
        <v>0</v>
      </c>
      <c r="J171" s="1036"/>
    </row>
    <row r="172" spans="1:10" ht="14.45" customHeight="1">
      <c r="A172" s="1031" t="s">
        <v>467</v>
      </c>
      <c r="B172" s="1034" t="s">
        <v>469</v>
      </c>
      <c r="C172" s="1037">
        <v>2024</v>
      </c>
      <c r="D172" s="266" t="s">
        <v>0</v>
      </c>
      <c r="E172" s="267">
        <v>0</v>
      </c>
      <c r="F172" s="1059" t="s">
        <v>408</v>
      </c>
      <c r="G172" s="267">
        <f>H172+I172</f>
        <v>0</v>
      </c>
      <c r="H172" s="267">
        <v>0</v>
      </c>
      <c r="I172" s="267">
        <v>0</v>
      </c>
      <c r="J172" s="1034" t="s">
        <v>460</v>
      </c>
    </row>
    <row r="173" spans="1:10" ht="14.45" customHeight="1">
      <c r="A173" s="1032"/>
      <c r="B173" s="1035"/>
      <c r="C173" s="1038"/>
      <c r="D173" s="266" t="s">
        <v>1</v>
      </c>
      <c r="E173" s="267">
        <v>620000</v>
      </c>
      <c r="F173" s="1060"/>
      <c r="G173" s="267">
        <f>H173+I173</f>
        <v>620000</v>
      </c>
      <c r="H173" s="267">
        <v>620000</v>
      </c>
      <c r="I173" s="267"/>
      <c r="J173" s="1035"/>
    </row>
    <row r="174" spans="1:10" ht="14.45" customHeight="1">
      <c r="A174" s="1033"/>
      <c r="B174" s="1036"/>
      <c r="C174" s="1039"/>
      <c r="D174" s="266" t="s">
        <v>2</v>
      </c>
      <c r="E174" s="267">
        <f>E172+E173</f>
        <v>620000</v>
      </c>
      <c r="F174" s="1061"/>
      <c r="G174" s="267">
        <f>G172+G173</f>
        <v>620000</v>
      </c>
      <c r="H174" s="267">
        <f>H172+H173</f>
        <v>620000</v>
      </c>
      <c r="I174" s="267">
        <f>I172+I173</f>
        <v>0</v>
      </c>
      <c r="J174" s="1036"/>
    </row>
    <row r="175" spans="1:10" ht="14.45" customHeight="1">
      <c r="A175" s="1046" t="s">
        <v>26</v>
      </c>
      <c r="B175" s="1052" t="s">
        <v>28</v>
      </c>
      <c r="C175" s="1028" t="s">
        <v>408</v>
      </c>
      <c r="D175" s="255" t="s">
        <v>0</v>
      </c>
      <c r="E175" s="265">
        <f>E178+E187+E181+E184</f>
        <v>5527480</v>
      </c>
      <c r="F175" s="1065" t="s">
        <v>408</v>
      </c>
      <c r="G175" s="265">
        <f t="shared" ref="G175:I176" si="10">G178+G187+G181+G184</f>
        <v>5527480</v>
      </c>
      <c r="H175" s="265">
        <f t="shared" si="10"/>
        <v>5527480</v>
      </c>
      <c r="I175" s="265">
        <f t="shared" si="10"/>
        <v>0</v>
      </c>
      <c r="J175" s="1028" t="s">
        <v>408</v>
      </c>
    </row>
    <row r="176" spans="1:10" ht="14.45" customHeight="1">
      <c r="A176" s="1047"/>
      <c r="B176" s="1053"/>
      <c r="C176" s="1029"/>
      <c r="D176" s="255" t="s">
        <v>1</v>
      </c>
      <c r="E176" s="265">
        <f>E179+E188+E182+E185</f>
        <v>-5387425</v>
      </c>
      <c r="F176" s="1066"/>
      <c r="G176" s="265">
        <f t="shared" si="10"/>
        <v>-5387425</v>
      </c>
      <c r="H176" s="265">
        <f t="shared" si="10"/>
        <v>-5387425</v>
      </c>
      <c r="I176" s="265">
        <f t="shared" si="10"/>
        <v>0</v>
      </c>
      <c r="J176" s="1029"/>
    </row>
    <row r="177" spans="1:10" ht="14.45" customHeight="1">
      <c r="A177" s="1048"/>
      <c r="B177" s="1054"/>
      <c r="C177" s="1030"/>
      <c r="D177" s="255" t="s">
        <v>2</v>
      </c>
      <c r="E177" s="265">
        <f>E175+E176</f>
        <v>140055</v>
      </c>
      <c r="F177" s="1067"/>
      <c r="G177" s="265">
        <f>G175+G176</f>
        <v>140055</v>
      </c>
      <c r="H177" s="265">
        <f>H175+H176</f>
        <v>140055</v>
      </c>
      <c r="I177" s="265">
        <f>I175+I176</f>
        <v>0</v>
      </c>
      <c r="J177" s="1030"/>
    </row>
    <row r="178" spans="1:10" hidden="1">
      <c r="A178" s="1031" t="s">
        <v>470</v>
      </c>
      <c r="B178" s="1034" t="s">
        <v>423</v>
      </c>
      <c r="C178" s="1037">
        <v>2024</v>
      </c>
      <c r="D178" s="266" t="s">
        <v>0</v>
      </c>
      <c r="E178" s="267">
        <v>18500</v>
      </c>
      <c r="F178" s="1059" t="s">
        <v>408</v>
      </c>
      <c r="G178" s="267">
        <f>H178+I178</f>
        <v>18500</v>
      </c>
      <c r="H178" s="267">
        <v>18500</v>
      </c>
      <c r="I178" s="267">
        <v>0</v>
      </c>
      <c r="J178" s="1034" t="s">
        <v>434</v>
      </c>
    </row>
    <row r="179" spans="1:10" hidden="1">
      <c r="A179" s="1032"/>
      <c r="B179" s="1035"/>
      <c r="C179" s="1038"/>
      <c r="D179" s="266" t="s">
        <v>1</v>
      </c>
      <c r="E179" s="267"/>
      <c r="F179" s="1060"/>
      <c r="G179" s="267">
        <f>H179+I179</f>
        <v>0</v>
      </c>
      <c r="H179" s="267"/>
      <c r="I179" s="267"/>
      <c r="J179" s="1035"/>
    </row>
    <row r="180" spans="1:10" hidden="1">
      <c r="A180" s="1033"/>
      <c r="B180" s="1036"/>
      <c r="C180" s="1039"/>
      <c r="D180" s="266" t="s">
        <v>2</v>
      </c>
      <c r="E180" s="267">
        <f>E178+E179</f>
        <v>18500</v>
      </c>
      <c r="F180" s="1061"/>
      <c r="G180" s="267">
        <f>G178+G179</f>
        <v>18500</v>
      </c>
      <c r="H180" s="267">
        <f>H178+H179</f>
        <v>18500</v>
      </c>
      <c r="I180" s="267">
        <f>I178+I179</f>
        <v>0</v>
      </c>
      <c r="J180" s="1036"/>
    </row>
    <row r="181" spans="1:10" ht="14.45" customHeight="1">
      <c r="A181" s="1031" t="s">
        <v>470</v>
      </c>
      <c r="B181" s="1034" t="s">
        <v>471</v>
      </c>
      <c r="C181" s="1037">
        <v>2024</v>
      </c>
      <c r="D181" s="266" t="s">
        <v>0</v>
      </c>
      <c r="E181" s="267">
        <v>5387425</v>
      </c>
      <c r="F181" s="1059" t="s">
        <v>408</v>
      </c>
      <c r="G181" s="267">
        <f>H181+I181</f>
        <v>5387425</v>
      </c>
      <c r="H181" s="267">
        <v>5387425</v>
      </c>
      <c r="I181" s="267">
        <v>0</v>
      </c>
      <c r="J181" s="1034" t="s">
        <v>411</v>
      </c>
    </row>
    <row r="182" spans="1:10" ht="14.45" customHeight="1">
      <c r="A182" s="1032"/>
      <c r="B182" s="1035"/>
      <c r="C182" s="1038"/>
      <c r="D182" s="266" t="s">
        <v>1</v>
      </c>
      <c r="E182" s="267">
        <v>-5387425</v>
      </c>
      <c r="F182" s="1060"/>
      <c r="G182" s="267">
        <f>H182+I182</f>
        <v>-5387425</v>
      </c>
      <c r="H182" s="267">
        <v>-5387425</v>
      </c>
      <c r="I182" s="267"/>
      <c r="J182" s="1035"/>
    </row>
    <row r="183" spans="1:10" ht="14.45" customHeight="1">
      <c r="A183" s="1033"/>
      <c r="B183" s="1036"/>
      <c r="C183" s="1039"/>
      <c r="D183" s="266" t="s">
        <v>2</v>
      </c>
      <c r="E183" s="267">
        <f>E181+E182</f>
        <v>0</v>
      </c>
      <c r="F183" s="1061"/>
      <c r="G183" s="267">
        <f>G181+G182</f>
        <v>0</v>
      </c>
      <c r="H183" s="267">
        <f>H181+H182</f>
        <v>0</v>
      </c>
      <c r="I183" s="267">
        <f>I181+I182</f>
        <v>0</v>
      </c>
      <c r="J183" s="1036"/>
    </row>
    <row r="184" spans="1:10" hidden="1">
      <c r="A184" s="1031" t="s">
        <v>470</v>
      </c>
      <c r="B184" s="1034" t="s">
        <v>472</v>
      </c>
      <c r="C184" s="1037">
        <v>2024</v>
      </c>
      <c r="D184" s="266" t="s">
        <v>0</v>
      </c>
      <c r="E184" s="267">
        <v>121555</v>
      </c>
      <c r="F184" s="1059" t="s">
        <v>408</v>
      </c>
      <c r="G184" s="267">
        <f>H184+I184</f>
        <v>121555</v>
      </c>
      <c r="H184" s="267">
        <v>121555</v>
      </c>
      <c r="I184" s="267">
        <v>0</v>
      </c>
      <c r="J184" s="1034" t="s">
        <v>411</v>
      </c>
    </row>
    <row r="185" spans="1:10" hidden="1">
      <c r="A185" s="1032"/>
      <c r="B185" s="1035"/>
      <c r="C185" s="1038"/>
      <c r="D185" s="266" t="s">
        <v>1</v>
      </c>
      <c r="E185" s="267"/>
      <c r="F185" s="1060"/>
      <c r="G185" s="267">
        <f>H185+I185</f>
        <v>0</v>
      </c>
      <c r="H185" s="267"/>
      <c r="I185" s="267"/>
      <c r="J185" s="1035"/>
    </row>
    <row r="186" spans="1:10" hidden="1">
      <c r="A186" s="1033"/>
      <c r="B186" s="1036"/>
      <c r="C186" s="1039"/>
      <c r="D186" s="266" t="s">
        <v>2</v>
      </c>
      <c r="E186" s="267">
        <f>E184+E185</f>
        <v>121555</v>
      </c>
      <c r="F186" s="1061"/>
      <c r="G186" s="267">
        <f>G184+G185</f>
        <v>121555</v>
      </c>
      <c r="H186" s="267">
        <f>H184+H185</f>
        <v>121555</v>
      </c>
      <c r="I186" s="267">
        <f>I184+I185</f>
        <v>0</v>
      </c>
      <c r="J186" s="1036"/>
    </row>
    <row r="187" spans="1:10" hidden="1">
      <c r="A187" s="1031" t="s">
        <v>473</v>
      </c>
      <c r="B187" s="1034" t="s">
        <v>474</v>
      </c>
      <c r="C187" s="1037">
        <v>2024</v>
      </c>
      <c r="D187" s="266" t="s">
        <v>0</v>
      </c>
      <c r="E187" s="267">
        <v>0</v>
      </c>
      <c r="F187" s="1059" t="s">
        <v>408</v>
      </c>
      <c r="G187" s="267">
        <f>H187+I187</f>
        <v>0</v>
      </c>
      <c r="H187" s="267">
        <v>0</v>
      </c>
      <c r="I187" s="267">
        <v>0</v>
      </c>
      <c r="J187" s="1034" t="s">
        <v>411</v>
      </c>
    </row>
    <row r="188" spans="1:10" hidden="1">
      <c r="A188" s="1032"/>
      <c r="B188" s="1035"/>
      <c r="C188" s="1038"/>
      <c r="D188" s="266" t="s">
        <v>1</v>
      </c>
      <c r="E188" s="267"/>
      <c r="F188" s="1060"/>
      <c r="G188" s="267">
        <f>H188+I188</f>
        <v>0</v>
      </c>
      <c r="H188" s="267"/>
      <c r="I188" s="267"/>
      <c r="J188" s="1035"/>
    </row>
    <row r="189" spans="1:10" hidden="1">
      <c r="A189" s="1033"/>
      <c r="B189" s="1036"/>
      <c r="C189" s="1039"/>
      <c r="D189" s="266" t="s">
        <v>2</v>
      </c>
      <c r="E189" s="267">
        <f>E187+E188</f>
        <v>0</v>
      </c>
      <c r="F189" s="1061"/>
      <c r="G189" s="267">
        <f>G187+G188</f>
        <v>0</v>
      </c>
      <c r="H189" s="267">
        <f>H187+H188</f>
        <v>0</v>
      </c>
      <c r="I189" s="267">
        <f>I187+I188</f>
        <v>0</v>
      </c>
      <c r="J189" s="1036"/>
    </row>
    <row r="190" spans="1:10" ht="14.85" customHeight="1">
      <c r="A190" s="1046" t="s">
        <v>67</v>
      </c>
      <c r="B190" s="1049" t="s">
        <v>68</v>
      </c>
      <c r="C190" s="1028" t="s">
        <v>408</v>
      </c>
      <c r="D190" s="255" t="s">
        <v>0</v>
      </c>
      <c r="E190" s="265">
        <f>E193+E196+E199+E208+E211+E226+E229+E232+E235+E238+E241+E244+E247+E202+E217+E220+E256+E214+E250+E259+E262+E265+E268+E271+E253+E205+E277+E274+E223</f>
        <v>3735081</v>
      </c>
      <c r="F190" s="1065" t="s">
        <v>408</v>
      </c>
      <c r="G190" s="265">
        <f t="shared" ref="G190:I191" si="11">G193+G196+G199+G208+G211+G226+G229+G232+G235+G238+G241+G244+G247+G202+G217+G220+G256+G214+G250+G259+G262+G265+G268+G271+G253+G205+G277+G274+G223</f>
        <v>3735081</v>
      </c>
      <c r="H190" s="265">
        <f t="shared" si="11"/>
        <v>3354147</v>
      </c>
      <c r="I190" s="265">
        <f t="shared" si="11"/>
        <v>380934</v>
      </c>
      <c r="J190" s="1028" t="s">
        <v>408</v>
      </c>
    </row>
    <row r="191" spans="1:10" ht="14.85" customHeight="1">
      <c r="A191" s="1047"/>
      <c r="B191" s="1050"/>
      <c r="C191" s="1029"/>
      <c r="D191" s="255" t="s">
        <v>1</v>
      </c>
      <c r="E191" s="265">
        <f>E194+E197+E200+E209+E212+E227+E230+E233+E236+E239+E242+E245+E248+E203+E218+E221+E257+E215+E251+E260+E263+E266+E269+E272+E254+E206+E278+E275+E224</f>
        <v>1314871</v>
      </c>
      <c r="F191" s="1066"/>
      <c r="G191" s="265">
        <f t="shared" si="11"/>
        <v>1314871</v>
      </c>
      <c r="H191" s="265">
        <f t="shared" si="11"/>
        <v>1314871</v>
      </c>
      <c r="I191" s="265">
        <f t="shared" si="11"/>
        <v>0</v>
      </c>
      <c r="J191" s="1029"/>
    </row>
    <row r="192" spans="1:10" ht="14.85" customHeight="1">
      <c r="A192" s="1048"/>
      <c r="B192" s="1051"/>
      <c r="C192" s="1030"/>
      <c r="D192" s="255" t="s">
        <v>2</v>
      </c>
      <c r="E192" s="265">
        <f>E190+E191</f>
        <v>5049952</v>
      </c>
      <c r="F192" s="1067"/>
      <c r="G192" s="265">
        <f>G190+G191</f>
        <v>5049952</v>
      </c>
      <c r="H192" s="265">
        <f>H190+H191</f>
        <v>4669018</v>
      </c>
      <c r="I192" s="265">
        <f>I190+I191</f>
        <v>380934</v>
      </c>
      <c r="J192" s="1030"/>
    </row>
    <row r="193" spans="1:10" hidden="1">
      <c r="A193" s="1031" t="s">
        <v>475</v>
      </c>
      <c r="B193" s="1034" t="s">
        <v>423</v>
      </c>
      <c r="C193" s="1037">
        <v>2024</v>
      </c>
      <c r="D193" s="266" t="s">
        <v>0</v>
      </c>
      <c r="E193" s="267">
        <v>182295</v>
      </c>
      <c r="F193" s="1059" t="s">
        <v>408</v>
      </c>
      <c r="G193" s="267">
        <f>H193+I193</f>
        <v>182295</v>
      </c>
      <c r="H193" s="267">
        <v>182295</v>
      </c>
      <c r="I193" s="267">
        <v>0</v>
      </c>
      <c r="J193" s="1034" t="s">
        <v>476</v>
      </c>
    </row>
    <row r="194" spans="1:10" hidden="1">
      <c r="A194" s="1032"/>
      <c r="B194" s="1035"/>
      <c r="C194" s="1038"/>
      <c r="D194" s="266" t="s">
        <v>1</v>
      </c>
      <c r="E194" s="267"/>
      <c r="F194" s="1060"/>
      <c r="G194" s="267">
        <f>H194+I194</f>
        <v>0</v>
      </c>
      <c r="H194" s="267"/>
      <c r="I194" s="267"/>
      <c r="J194" s="1035"/>
    </row>
    <row r="195" spans="1:10" hidden="1">
      <c r="A195" s="1033"/>
      <c r="B195" s="1036"/>
      <c r="C195" s="1039"/>
      <c r="D195" s="266" t="s">
        <v>2</v>
      </c>
      <c r="E195" s="267">
        <f>E193+E194</f>
        <v>182295</v>
      </c>
      <c r="F195" s="1061"/>
      <c r="G195" s="267">
        <f>G193+G194</f>
        <v>182295</v>
      </c>
      <c r="H195" s="267">
        <f>H193+H194</f>
        <v>182295</v>
      </c>
      <c r="I195" s="267">
        <f>I193+I194</f>
        <v>0</v>
      </c>
      <c r="J195" s="1036"/>
    </row>
    <row r="196" spans="1:10" hidden="1">
      <c r="A196" s="1031" t="s">
        <v>475</v>
      </c>
      <c r="B196" s="1034" t="s">
        <v>477</v>
      </c>
      <c r="C196" s="1037">
        <v>2024</v>
      </c>
      <c r="D196" s="266" t="s">
        <v>0</v>
      </c>
      <c r="E196" s="267">
        <v>280000</v>
      </c>
      <c r="F196" s="1059" t="s">
        <v>408</v>
      </c>
      <c r="G196" s="267">
        <f>H196+I196</f>
        <v>280000</v>
      </c>
      <c r="H196" s="267">
        <v>280000</v>
      </c>
      <c r="I196" s="267">
        <v>0</v>
      </c>
      <c r="J196" s="1034" t="s">
        <v>478</v>
      </c>
    </row>
    <row r="197" spans="1:10" hidden="1">
      <c r="A197" s="1032"/>
      <c r="B197" s="1035"/>
      <c r="C197" s="1038"/>
      <c r="D197" s="266" t="s">
        <v>1</v>
      </c>
      <c r="E197" s="267"/>
      <c r="F197" s="1060"/>
      <c r="G197" s="267">
        <f>H197+I197</f>
        <v>0</v>
      </c>
      <c r="H197" s="267"/>
      <c r="I197" s="267"/>
      <c r="J197" s="1035"/>
    </row>
    <row r="198" spans="1:10" hidden="1">
      <c r="A198" s="1033"/>
      <c r="B198" s="1036"/>
      <c r="C198" s="1039"/>
      <c r="D198" s="266" t="s">
        <v>2</v>
      </c>
      <c r="E198" s="267">
        <f>E196+E197</f>
        <v>280000</v>
      </c>
      <c r="F198" s="1061"/>
      <c r="G198" s="267">
        <f>G196+G197</f>
        <v>280000</v>
      </c>
      <c r="H198" s="267">
        <f>H196+H197</f>
        <v>280000</v>
      </c>
      <c r="I198" s="267">
        <f>I196+I197</f>
        <v>0</v>
      </c>
      <c r="J198" s="1036"/>
    </row>
    <row r="199" spans="1:10" hidden="1">
      <c r="A199" s="1031" t="s">
        <v>475</v>
      </c>
      <c r="B199" s="1034" t="s">
        <v>479</v>
      </c>
      <c r="C199" s="1037">
        <v>2024</v>
      </c>
      <c r="D199" s="266" t="s">
        <v>0</v>
      </c>
      <c r="E199" s="267">
        <v>250000</v>
      </c>
      <c r="F199" s="1059" t="s">
        <v>408</v>
      </c>
      <c r="G199" s="267">
        <f>H199+I199</f>
        <v>250000</v>
      </c>
      <c r="H199" s="267">
        <v>250000</v>
      </c>
      <c r="I199" s="267">
        <v>0</v>
      </c>
      <c r="J199" s="1034" t="s">
        <v>480</v>
      </c>
    </row>
    <row r="200" spans="1:10" hidden="1">
      <c r="A200" s="1032"/>
      <c r="B200" s="1035"/>
      <c r="C200" s="1038"/>
      <c r="D200" s="266" t="s">
        <v>1</v>
      </c>
      <c r="E200" s="267"/>
      <c r="F200" s="1060"/>
      <c r="G200" s="267">
        <f>H200+I200</f>
        <v>0</v>
      </c>
      <c r="H200" s="267"/>
      <c r="I200" s="267"/>
      <c r="J200" s="1035"/>
    </row>
    <row r="201" spans="1:10" hidden="1">
      <c r="A201" s="1033"/>
      <c r="B201" s="1036"/>
      <c r="C201" s="1039"/>
      <c r="D201" s="266" t="s">
        <v>2</v>
      </c>
      <c r="E201" s="267">
        <f>E199+E200</f>
        <v>250000</v>
      </c>
      <c r="F201" s="1061"/>
      <c r="G201" s="267">
        <f>G199+G200</f>
        <v>250000</v>
      </c>
      <c r="H201" s="267">
        <f>H199+H200</f>
        <v>250000</v>
      </c>
      <c r="I201" s="267">
        <f>I199+I200</f>
        <v>0</v>
      </c>
      <c r="J201" s="1036"/>
    </row>
    <row r="202" spans="1:10" hidden="1">
      <c r="A202" s="1031" t="s">
        <v>475</v>
      </c>
      <c r="B202" s="1034" t="s">
        <v>423</v>
      </c>
      <c r="C202" s="1037">
        <v>2024</v>
      </c>
      <c r="D202" s="266" t="s">
        <v>0</v>
      </c>
      <c r="E202" s="267">
        <v>10200</v>
      </c>
      <c r="F202" s="1059" t="s">
        <v>408</v>
      </c>
      <c r="G202" s="267">
        <f>H202+I202</f>
        <v>10200</v>
      </c>
      <c r="H202" s="267">
        <v>10200</v>
      </c>
      <c r="I202" s="267">
        <v>0</v>
      </c>
      <c r="J202" s="1034" t="s">
        <v>481</v>
      </c>
    </row>
    <row r="203" spans="1:10" hidden="1">
      <c r="A203" s="1032"/>
      <c r="B203" s="1035"/>
      <c r="C203" s="1038"/>
      <c r="D203" s="266" t="s">
        <v>1</v>
      </c>
      <c r="E203" s="267"/>
      <c r="F203" s="1060"/>
      <c r="G203" s="267">
        <f>H203+I203</f>
        <v>0</v>
      </c>
      <c r="H203" s="267"/>
      <c r="I203" s="267"/>
      <c r="J203" s="1035"/>
    </row>
    <row r="204" spans="1:10" hidden="1">
      <c r="A204" s="1033"/>
      <c r="B204" s="1036"/>
      <c r="C204" s="1039"/>
      <c r="D204" s="266" t="s">
        <v>2</v>
      </c>
      <c r="E204" s="267">
        <f>E202+E203</f>
        <v>10200</v>
      </c>
      <c r="F204" s="1061"/>
      <c r="G204" s="267">
        <f>G202+G203</f>
        <v>10200</v>
      </c>
      <c r="H204" s="267">
        <f>H202+H203</f>
        <v>10200</v>
      </c>
      <c r="I204" s="267">
        <f>I202+I203</f>
        <v>0</v>
      </c>
      <c r="J204" s="1036"/>
    </row>
    <row r="205" spans="1:10" ht="14.85" customHeight="1">
      <c r="A205" s="1031" t="s">
        <v>475</v>
      </c>
      <c r="B205" s="1034" t="s">
        <v>482</v>
      </c>
      <c r="C205" s="1037">
        <v>2024</v>
      </c>
      <c r="D205" s="266" t="s">
        <v>0</v>
      </c>
      <c r="E205" s="267">
        <v>0</v>
      </c>
      <c r="F205" s="1059" t="s">
        <v>408</v>
      </c>
      <c r="G205" s="267">
        <f>H205+I205</f>
        <v>0</v>
      </c>
      <c r="H205" s="267">
        <v>0</v>
      </c>
      <c r="I205" s="267">
        <v>0</v>
      </c>
      <c r="J205" s="1034" t="s">
        <v>481</v>
      </c>
    </row>
    <row r="206" spans="1:10" ht="14.85" customHeight="1">
      <c r="A206" s="1032"/>
      <c r="B206" s="1035"/>
      <c r="C206" s="1038"/>
      <c r="D206" s="266" t="s">
        <v>1</v>
      </c>
      <c r="E206" s="267">
        <v>109000</v>
      </c>
      <c r="F206" s="1060"/>
      <c r="G206" s="267">
        <f>H206+I206</f>
        <v>109000</v>
      </c>
      <c r="H206" s="267">
        <v>109000</v>
      </c>
      <c r="I206" s="267"/>
      <c r="J206" s="1035"/>
    </row>
    <row r="207" spans="1:10" ht="14.85" customHeight="1">
      <c r="A207" s="1033"/>
      <c r="B207" s="1036"/>
      <c r="C207" s="1039"/>
      <c r="D207" s="266" t="s">
        <v>2</v>
      </c>
      <c r="E207" s="267">
        <f>E205+E206</f>
        <v>109000</v>
      </c>
      <c r="F207" s="1061"/>
      <c r="G207" s="267">
        <f>G205+G206</f>
        <v>109000</v>
      </c>
      <c r="H207" s="267">
        <f>H205+H206</f>
        <v>109000</v>
      </c>
      <c r="I207" s="267">
        <f>I205+I206</f>
        <v>0</v>
      </c>
      <c r="J207" s="1036"/>
    </row>
    <row r="208" spans="1:10" hidden="1">
      <c r="A208" s="1031" t="s">
        <v>483</v>
      </c>
      <c r="B208" s="1034" t="s">
        <v>484</v>
      </c>
      <c r="C208" s="1037">
        <v>2024</v>
      </c>
      <c r="D208" s="266" t="s">
        <v>0</v>
      </c>
      <c r="E208" s="267">
        <v>12000</v>
      </c>
      <c r="F208" s="1059" t="s">
        <v>408</v>
      </c>
      <c r="G208" s="267">
        <f>H208+I208</f>
        <v>12000</v>
      </c>
      <c r="H208" s="267">
        <v>12000</v>
      </c>
      <c r="I208" s="267">
        <v>0</v>
      </c>
      <c r="J208" s="1034" t="s">
        <v>485</v>
      </c>
    </row>
    <row r="209" spans="1:10" hidden="1">
      <c r="A209" s="1032"/>
      <c r="B209" s="1035"/>
      <c r="C209" s="1038"/>
      <c r="D209" s="266" t="s">
        <v>1</v>
      </c>
      <c r="E209" s="267"/>
      <c r="F209" s="1060"/>
      <c r="G209" s="267">
        <f>H209+I209</f>
        <v>0</v>
      </c>
      <c r="H209" s="267"/>
      <c r="I209" s="267"/>
      <c r="J209" s="1035"/>
    </row>
    <row r="210" spans="1:10" hidden="1">
      <c r="A210" s="1033"/>
      <c r="B210" s="1036"/>
      <c r="C210" s="1039"/>
      <c r="D210" s="266" t="s">
        <v>2</v>
      </c>
      <c r="E210" s="267">
        <f>E208+E209</f>
        <v>12000</v>
      </c>
      <c r="F210" s="1061"/>
      <c r="G210" s="267">
        <f>G208+G209</f>
        <v>12000</v>
      </c>
      <c r="H210" s="267">
        <f>H208+H209</f>
        <v>12000</v>
      </c>
      <c r="I210" s="267">
        <f>I208+I209</f>
        <v>0</v>
      </c>
      <c r="J210" s="1036"/>
    </row>
    <row r="211" spans="1:10" hidden="1">
      <c r="A211" s="1031" t="s">
        <v>483</v>
      </c>
      <c r="B211" s="1034" t="s">
        <v>423</v>
      </c>
      <c r="C211" s="1037">
        <v>2024</v>
      </c>
      <c r="D211" s="266" t="s">
        <v>0</v>
      </c>
      <c r="E211" s="267">
        <v>20000</v>
      </c>
      <c r="F211" s="1059" t="s">
        <v>408</v>
      </c>
      <c r="G211" s="267">
        <f>H211+I211</f>
        <v>20000</v>
      </c>
      <c r="H211" s="267">
        <v>20000</v>
      </c>
      <c r="I211" s="267">
        <v>0</v>
      </c>
      <c r="J211" s="1034" t="s">
        <v>486</v>
      </c>
    </row>
    <row r="212" spans="1:10" hidden="1">
      <c r="A212" s="1032"/>
      <c r="B212" s="1035"/>
      <c r="C212" s="1038"/>
      <c r="D212" s="266" t="s">
        <v>1</v>
      </c>
      <c r="E212" s="267"/>
      <c r="F212" s="1060"/>
      <c r="G212" s="267">
        <f>H212+I212</f>
        <v>0</v>
      </c>
      <c r="H212" s="267"/>
      <c r="I212" s="267"/>
      <c r="J212" s="1035"/>
    </row>
    <row r="213" spans="1:10" hidden="1">
      <c r="A213" s="1033"/>
      <c r="B213" s="1036"/>
      <c r="C213" s="1039"/>
      <c r="D213" s="266" t="s">
        <v>2</v>
      </c>
      <c r="E213" s="267">
        <f>E211+E212</f>
        <v>20000</v>
      </c>
      <c r="F213" s="1061"/>
      <c r="G213" s="267">
        <f>G211+G212</f>
        <v>20000</v>
      </c>
      <c r="H213" s="267">
        <f>H211+H212</f>
        <v>20000</v>
      </c>
      <c r="I213" s="267">
        <f>I211+I212</f>
        <v>0</v>
      </c>
      <c r="J213" s="1036"/>
    </row>
    <row r="214" spans="1:10" hidden="1">
      <c r="A214" s="1031" t="s">
        <v>483</v>
      </c>
      <c r="B214" s="1034" t="s">
        <v>487</v>
      </c>
      <c r="C214" s="1037">
        <v>2024</v>
      </c>
      <c r="D214" s="266" t="s">
        <v>0</v>
      </c>
      <c r="E214" s="267">
        <v>8092</v>
      </c>
      <c r="F214" s="1059" t="s">
        <v>408</v>
      </c>
      <c r="G214" s="267">
        <f>H214+I214</f>
        <v>8092</v>
      </c>
      <c r="H214" s="267">
        <v>8092</v>
      </c>
      <c r="I214" s="267">
        <v>0</v>
      </c>
      <c r="J214" s="1034" t="s">
        <v>486</v>
      </c>
    </row>
    <row r="215" spans="1:10" hidden="1">
      <c r="A215" s="1032"/>
      <c r="B215" s="1035"/>
      <c r="C215" s="1038"/>
      <c r="D215" s="266" t="s">
        <v>1</v>
      </c>
      <c r="E215" s="267"/>
      <c r="F215" s="1060"/>
      <c r="G215" s="267">
        <f>H215+I215</f>
        <v>0</v>
      </c>
      <c r="H215" s="267"/>
      <c r="I215" s="267"/>
      <c r="J215" s="1035"/>
    </row>
    <row r="216" spans="1:10" hidden="1">
      <c r="A216" s="1033"/>
      <c r="B216" s="1036"/>
      <c r="C216" s="1039"/>
      <c r="D216" s="266" t="s">
        <v>2</v>
      </c>
      <c r="E216" s="267">
        <f>E214+E215</f>
        <v>8092</v>
      </c>
      <c r="F216" s="1061"/>
      <c r="G216" s="267">
        <f>G214+G215</f>
        <v>8092</v>
      </c>
      <c r="H216" s="267">
        <f>H214+H215</f>
        <v>8092</v>
      </c>
      <c r="I216" s="267">
        <f>I214+I215</f>
        <v>0</v>
      </c>
      <c r="J216" s="1036"/>
    </row>
    <row r="217" spans="1:10" hidden="1">
      <c r="A217" s="1031" t="s">
        <v>483</v>
      </c>
      <c r="B217" s="1034" t="s">
        <v>488</v>
      </c>
      <c r="C217" s="1037">
        <v>2024</v>
      </c>
      <c r="D217" s="266" t="s">
        <v>0</v>
      </c>
      <c r="E217" s="267">
        <v>294050</v>
      </c>
      <c r="F217" s="1059" t="s">
        <v>408</v>
      </c>
      <c r="G217" s="267">
        <f>H217+I217</f>
        <v>294050</v>
      </c>
      <c r="H217" s="267">
        <v>294050</v>
      </c>
      <c r="I217" s="267">
        <v>0</v>
      </c>
      <c r="J217" s="1034" t="s">
        <v>489</v>
      </c>
    </row>
    <row r="218" spans="1:10" hidden="1">
      <c r="A218" s="1032"/>
      <c r="B218" s="1035"/>
      <c r="C218" s="1038"/>
      <c r="D218" s="266" t="s">
        <v>1</v>
      </c>
      <c r="E218" s="267"/>
      <c r="F218" s="1060"/>
      <c r="G218" s="267">
        <f>H218+I218</f>
        <v>0</v>
      </c>
      <c r="H218" s="267"/>
      <c r="I218" s="267"/>
      <c r="J218" s="1035"/>
    </row>
    <row r="219" spans="1:10" hidden="1">
      <c r="A219" s="1033"/>
      <c r="B219" s="1036"/>
      <c r="C219" s="1039"/>
      <c r="D219" s="266" t="s">
        <v>2</v>
      </c>
      <c r="E219" s="267">
        <f>E217+E218</f>
        <v>294050</v>
      </c>
      <c r="F219" s="1061"/>
      <c r="G219" s="267">
        <f>G217+G218</f>
        <v>294050</v>
      </c>
      <c r="H219" s="267">
        <f>H217+H218</f>
        <v>294050</v>
      </c>
      <c r="I219" s="267">
        <f>I217+I218</f>
        <v>0</v>
      </c>
      <c r="J219" s="1036"/>
    </row>
    <row r="220" spans="1:10" hidden="1">
      <c r="A220" s="1031" t="s">
        <v>483</v>
      </c>
      <c r="B220" s="1034" t="s">
        <v>490</v>
      </c>
      <c r="C220" s="1037">
        <v>2024</v>
      </c>
      <c r="D220" s="266" t="s">
        <v>0</v>
      </c>
      <c r="E220" s="267">
        <v>500000</v>
      </c>
      <c r="F220" s="1059" t="s">
        <v>408</v>
      </c>
      <c r="G220" s="267">
        <f>H220+I220</f>
        <v>500000</v>
      </c>
      <c r="H220" s="267">
        <v>500000</v>
      </c>
      <c r="I220" s="267">
        <v>0</v>
      </c>
      <c r="J220" s="1034" t="s">
        <v>491</v>
      </c>
    </row>
    <row r="221" spans="1:10" hidden="1">
      <c r="A221" s="1032"/>
      <c r="B221" s="1035"/>
      <c r="C221" s="1038"/>
      <c r="D221" s="266" t="s">
        <v>1</v>
      </c>
      <c r="E221" s="267"/>
      <c r="F221" s="1060"/>
      <c r="G221" s="267">
        <f>H221+I221</f>
        <v>0</v>
      </c>
      <c r="H221" s="267"/>
      <c r="I221" s="267"/>
      <c r="J221" s="1035"/>
    </row>
    <row r="222" spans="1:10" hidden="1">
      <c r="A222" s="1033"/>
      <c r="B222" s="1036"/>
      <c r="C222" s="1039"/>
      <c r="D222" s="266" t="s">
        <v>2</v>
      </c>
      <c r="E222" s="267">
        <f>E220+E221</f>
        <v>500000</v>
      </c>
      <c r="F222" s="1061"/>
      <c r="G222" s="267">
        <f>G220+G221</f>
        <v>500000</v>
      </c>
      <c r="H222" s="267">
        <f>H220+H221</f>
        <v>500000</v>
      </c>
      <c r="I222" s="267">
        <f>I220+I221</f>
        <v>0</v>
      </c>
      <c r="J222" s="1036"/>
    </row>
    <row r="223" spans="1:10" ht="14.85" customHeight="1">
      <c r="A223" s="1031" t="s">
        <v>483</v>
      </c>
      <c r="B223" s="1034" t="s">
        <v>492</v>
      </c>
      <c r="C223" s="1037">
        <v>2024</v>
      </c>
      <c r="D223" s="266" t="s">
        <v>0</v>
      </c>
      <c r="E223" s="267">
        <v>0</v>
      </c>
      <c r="F223" s="1059" t="s">
        <v>408</v>
      </c>
      <c r="G223" s="267">
        <f>H223+I223</f>
        <v>0</v>
      </c>
      <c r="H223" s="267">
        <v>0</v>
      </c>
      <c r="I223" s="267">
        <v>0</v>
      </c>
      <c r="J223" s="1034" t="s">
        <v>493</v>
      </c>
    </row>
    <row r="224" spans="1:10" ht="14.85" customHeight="1">
      <c r="A224" s="1032"/>
      <c r="B224" s="1035"/>
      <c r="C224" s="1038"/>
      <c r="D224" s="266" t="s">
        <v>1</v>
      </c>
      <c r="E224" s="267">
        <v>100000</v>
      </c>
      <c r="F224" s="1060"/>
      <c r="G224" s="267">
        <f>H224+I224</f>
        <v>100000</v>
      </c>
      <c r="H224" s="267">
        <v>100000</v>
      </c>
      <c r="I224" s="267"/>
      <c r="J224" s="1035"/>
    </row>
    <row r="225" spans="1:10" ht="14.85" customHeight="1">
      <c r="A225" s="1033"/>
      <c r="B225" s="1036"/>
      <c r="C225" s="1039"/>
      <c r="D225" s="266" t="s">
        <v>2</v>
      </c>
      <c r="E225" s="267">
        <f>E223+E224</f>
        <v>100000</v>
      </c>
      <c r="F225" s="1061"/>
      <c r="G225" s="267">
        <f>G223+G224</f>
        <v>100000</v>
      </c>
      <c r="H225" s="267">
        <f>H223+H224</f>
        <v>100000</v>
      </c>
      <c r="I225" s="267">
        <f>I223+I224</f>
        <v>0</v>
      </c>
      <c r="J225" s="1036"/>
    </row>
    <row r="226" spans="1:10" hidden="1">
      <c r="A226" s="1031" t="s">
        <v>494</v>
      </c>
      <c r="B226" s="1034" t="s">
        <v>495</v>
      </c>
      <c r="C226" s="1037">
        <v>2024</v>
      </c>
      <c r="D226" s="266" t="s">
        <v>0</v>
      </c>
      <c r="E226" s="267">
        <v>223000</v>
      </c>
      <c r="F226" s="1059" t="s">
        <v>408</v>
      </c>
      <c r="G226" s="267">
        <f>H226+I226</f>
        <v>223000</v>
      </c>
      <c r="H226" s="267">
        <v>223000</v>
      </c>
      <c r="I226" s="267">
        <v>0</v>
      </c>
      <c r="J226" s="1034" t="s">
        <v>496</v>
      </c>
    </row>
    <row r="227" spans="1:10" hidden="1">
      <c r="A227" s="1032"/>
      <c r="B227" s="1035"/>
      <c r="C227" s="1038"/>
      <c r="D227" s="266" t="s">
        <v>1</v>
      </c>
      <c r="E227" s="267"/>
      <c r="F227" s="1060"/>
      <c r="G227" s="267">
        <f>H227+I227</f>
        <v>0</v>
      </c>
      <c r="H227" s="267"/>
      <c r="I227" s="267"/>
      <c r="J227" s="1035"/>
    </row>
    <row r="228" spans="1:10" hidden="1">
      <c r="A228" s="1033"/>
      <c r="B228" s="1036"/>
      <c r="C228" s="1039"/>
      <c r="D228" s="266" t="s">
        <v>2</v>
      </c>
      <c r="E228" s="267">
        <f>E226+E227</f>
        <v>223000</v>
      </c>
      <c r="F228" s="1061"/>
      <c r="G228" s="267">
        <f>G226+G227</f>
        <v>223000</v>
      </c>
      <c r="H228" s="267">
        <f>H226+H227</f>
        <v>223000</v>
      </c>
      <c r="I228" s="267">
        <f>I226+I227</f>
        <v>0</v>
      </c>
      <c r="J228" s="1036"/>
    </row>
    <row r="229" spans="1:10" ht="14.85" customHeight="1">
      <c r="A229" s="1031" t="s">
        <v>494</v>
      </c>
      <c r="B229" s="1034" t="s">
        <v>423</v>
      </c>
      <c r="C229" s="1037">
        <v>2024</v>
      </c>
      <c r="D229" s="266" t="s">
        <v>0</v>
      </c>
      <c r="E229" s="267">
        <v>19300</v>
      </c>
      <c r="F229" s="1059" t="s">
        <v>408</v>
      </c>
      <c r="G229" s="267">
        <f>H229+I229</f>
        <v>19300</v>
      </c>
      <c r="H229" s="267">
        <v>19300</v>
      </c>
      <c r="I229" s="267">
        <v>0</v>
      </c>
      <c r="J229" s="1034" t="s">
        <v>496</v>
      </c>
    </row>
    <row r="230" spans="1:10" ht="14.85" customHeight="1">
      <c r="A230" s="1032"/>
      <c r="B230" s="1035"/>
      <c r="C230" s="1038"/>
      <c r="D230" s="266" t="s">
        <v>1</v>
      </c>
      <c r="E230" s="267">
        <v>23830</v>
      </c>
      <c r="F230" s="1060"/>
      <c r="G230" s="267">
        <f>H230+I230</f>
        <v>23830</v>
      </c>
      <c r="H230" s="267">
        <v>23830</v>
      </c>
      <c r="I230" s="267"/>
      <c r="J230" s="1035"/>
    </row>
    <row r="231" spans="1:10" ht="14.85" customHeight="1">
      <c r="A231" s="1033"/>
      <c r="B231" s="1036"/>
      <c r="C231" s="1039"/>
      <c r="D231" s="266" t="s">
        <v>2</v>
      </c>
      <c r="E231" s="267">
        <f>E229+E230</f>
        <v>43130</v>
      </c>
      <c r="F231" s="1061"/>
      <c r="G231" s="267">
        <f>G229+G230</f>
        <v>43130</v>
      </c>
      <c r="H231" s="267">
        <f>H229+H230</f>
        <v>43130</v>
      </c>
      <c r="I231" s="267">
        <f>I229+I230</f>
        <v>0</v>
      </c>
      <c r="J231" s="1036"/>
    </row>
    <row r="232" spans="1:10" hidden="1">
      <c r="A232" s="1031" t="s">
        <v>494</v>
      </c>
      <c r="B232" s="1034" t="s">
        <v>497</v>
      </c>
      <c r="C232" s="1037">
        <v>2024</v>
      </c>
      <c r="D232" s="266" t="s">
        <v>0</v>
      </c>
      <c r="E232" s="267">
        <v>183653</v>
      </c>
      <c r="F232" s="1059" t="s">
        <v>408</v>
      </c>
      <c r="G232" s="267">
        <f>H232+I232</f>
        <v>183653</v>
      </c>
      <c r="H232" s="267">
        <v>183653</v>
      </c>
      <c r="I232" s="267">
        <v>0</v>
      </c>
      <c r="J232" s="1034" t="s">
        <v>498</v>
      </c>
    </row>
    <row r="233" spans="1:10" hidden="1">
      <c r="A233" s="1032"/>
      <c r="B233" s="1035"/>
      <c r="C233" s="1038"/>
      <c r="D233" s="266" t="s">
        <v>1</v>
      </c>
      <c r="E233" s="267"/>
      <c r="F233" s="1060"/>
      <c r="G233" s="267">
        <f>H233+I233</f>
        <v>0</v>
      </c>
      <c r="H233" s="267"/>
      <c r="I233" s="267"/>
      <c r="J233" s="1035"/>
    </row>
    <row r="234" spans="1:10" hidden="1">
      <c r="A234" s="1033"/>
      <c r="B234" s="1036"/>
      <c r="C234" s="1039"/>
      <c r="D234" s="266" t="s">
        <v>2</v>
      </c>
      <c r="E234" s="267">
        <f>E232+E233</f>
        <v>183653</v>
      </c>
      <c r="F234" s="1061"/>
      <c r="G234" s="267">
        <f>G232+G233</f>
        <v>183653</v>
      </c>
      <c r="H234" s="267">
        <f>H232+H233</f>
        <v>183653</v>
      </c>
      <c r="I234" s="267">
        <f>I232+I233</f>
        <v>0</v>
      </c>
      <c r="J234" s="1036"/>
    </row>
    <row r="235" spans="1:10" hidden="1">
      <c r="A235" s="1031" t="s">
        <v>499</v>
      </c>
      <c r="B235" s="1034" t="s">
        <v>423</v>
      </c>
      <c r="C235" s="1037">
        <v>2024</v>
      </c>
      <c r="D235" s="266" t="s">
        <v>0</v>
      </c>
      <c r="E235" s="267">
        <v>120614</v>
      </c>
      <c r="F235" s="1059" t="s">
        <v>408</v>
      </c>
      <c r="G235" s="267">
        <f>H235+I235</f>
        <v>120614</v>
      </c>
      <c r="H235" s="267">
        <v>120614</v>
      </c>
      <c r="I235" s="267">
        <v>0</v>
      </c>
      <c r="J235" s="1034" t="s">
        <v>500</v>
      </c>
    </row>
    <row r="236" spans="1:10" hidden="1">
      <c r="A236" s="1032"/>
      <c r="B236" s="1035"/>
      <c r="C236" s="1038"/>
      <c r="D236" s="266" t="s">
        <v>1</v>
      </c>
      <c r="E236" s="267"/>
      <c r="F236" s="1060"/>
      <c r="G236" s="267">
        <f>H236+I236</f>
        <v>0</v>
      </c>
      <c r="H236" s="267"/>
      <c r="I236" s="267"/>
      <c r="J236" s="1035"/>
    </row>
    <row r="237" spans="1:10" hidden="1">
      <c r="A237" s="1033"/>
      <c r="B237" s="1036"/>
      <c r="C237" s="1039"/>
      <c r="D237" s="266" t="s">
        <v>2</v>
      </c>
      <c r="E237" s="267">
        <f>E235+E236</f>
        <v>120614</v>
      </c>
      <c r="F237" s="1061"/>
      <c r="G237" s="267">
        <f>G235+G236</f>
        <v>120614</v>
      </c>
      <c r="H237" s="267">
        <f>H235+H236</f>
        <v>120614</v>
      </c>
      <c r="I237" s="267">
        <f>I235+I236</f>
        <v>0</v>
      </c>
      <c r="J237" s="1036"/>
    </row>
    <row r="238" spans="1:10" hidden="1">
      <c r="A238" s="1031" t="s">
        <v>499</v>
      </c>
      <c r="B238" s="1034" t="s">
        <v>501</v>
      </c>
      <c r="C238" s="1037">
        <v>2024</v>
      </c>
      <c r="D238" s="266" t="s">
        <v>0</v>
      </c>
      <c r="E238" s="267">
        <v>50743</v>
      </c>
      <c r="F238" s="1059" t="s">
        <v>408</v>
      </c>
      <c r="G238" s="267">
        <f>H238+I238</f>
        <v>50743</v>
      </c>
      <c r="H238" s="267">
        <v>50743</v>
      </c>
      <c r="I238" s="267">
        <v>0</v>
      </c>
      <c r="J238" s="1034" t="s">
        <v>502</v>
      </c>
    </row>
    <row r="239" spans="1:10" hidden="1">
      <c r="A239" s="1032"/>
      <c r="B239" s="1035"/>
      <c r="C239" s="1038"/>
      <c r="D239" s="266" t="s">
        <v>1</v>
      </c>
      <c r="E239" s="267"/>
      <c r="F239" s="1060"/>
      <c r="G239" s="267">
        <f>H239+I239</f>
        <v>0</v>
      </c>
      <c r="H239" s="267"/>
      <c r="I239" s="267"/>
      <c r="J239" s="1035"/>
    </row>
    <row r="240" spans="1:10" hidden="1">
      <c r="A240" s="1033"/>
      <c r="B240" s="1036"/>
      <c r="C240" s="1039"/>
      <c r="D240" s="266" t="s">
        <v>2</v>
      </c>
      <c r="E240" s="267">
        <f>E238+E239</f>
        <v>50743</v>
      </c>
      <c r="F240" s="1061"/>
      <c r="G240" s="267">
        <f>G238+G239</f>
        <v>50743</v>
      </c>
      <c r="H240" s="267">
        <f>H238+H239</f>
        <v>50743</v>
      </c>
      <c r="I240" s="267">
        <f>I238+I239</f>
        <v>0</v>
      </c>
      <c r="J240" s="1036"/>
    </row>
    <row r="241" spans="1:10" hidden="1">
      <c r="A241" s="1031" t="s">
        <v>503</v>
      </c>
      <c r="B241" s="1034" t="s">
        <v>423</v>
      </c>
      <c r="C241" s="1037">
        <v>2024</v>
      </c>
      <c r="D241" s="266" t="s">
        <v>0</v>
      </c>
      <c r="E241" s="267">
        <v>67500</v>
      </c>
      <c r="F241" s="1059" t="s">
        <v>408</v>
      </c>
      <c r="G241" s="267">
        <f>H241+I241</f>
        <v>67500</v>
      </c>
      <c r="H241" s="267">
        <v>67500</v>
      </c>
      <c r="I241" s="267">
        <v>0</v>
      </c>
      <c r="J241" s="1034" t="s">
        <v>504</v>
      </c>
    </row>
    <row r="242" spans="1:10" hidden="1">
      <c r="A242" s="1032"/>
      <c r="B242" s="1035"/>
      <c r="C242" s="1038"/>
      <c r="D242" s="266" t="s">
        <v>1</v>
      </c>
      <c r="E242" s="267"/>
      <c r="F242" s="1060"/>
      <c r="G242" s="267">
        <f>H242+I242</f>
        <v>0</v>
      </c>
      <c r="H242" s="267"/>
      <c r="I242" s="267"/>
      <c r="J242" s="1035"/>
    </row>
    <row r="243" spans="1:10" hidden="1">
      <c r="A243" s="1033"/>
      <c r="B243" s="1036"/>
      <c r="C243" s="1039"/>
      <c r="D243" s="266" t="s">
        <v>2</v>
      </c>
      <c r="E243" s="267">
        <f>E241+E242</f>
        <v>67500</v>
      </c>
      <c r="F243" s="1061"/>
      <c r="G243" s="267">
        <f>G241+G242</f>
        <v>67500</v>
      </c>
      <c r="H243" s="267">
        <f>H241+H242</f>
        <v>67500</v>
      </c>
      <c r="I243" s="267">
        <f>I241+I242</f>
        <v>0</v>
      </c>
      <c r="J243" s="1036"/>
    </row>
    <row r="244" spans="1:10" hidden="1">
      <c r="A244" s="1031" t="s">
        <v>503</v>
      </c>
      <c r="B244" s="1034" t="s">
        <v>505</v>
      </c>
      <c r="C244" s="1037">
        <v>2024</v>
      </c>
      <c r="D244" s="266" t="s">
        <v>0</v>
      </c>
      <c r="E244" s="267">
        <v>150000</v>
      </c>
      <c r="F244" s="1059" t="s">
        <v>408</v>
      </c>
      <c r="G244" s="267">
        <f>H244+I244</f>
        <v>150000</v>
      </c>
      <c r="H244" s="267">
        <v>150000</v>
      </c>
      <c r="I244" s="267">
        <v>0</v>
      </c>
      <c r="J244" s="1034" t="s">
        <v>504</v>
      </c>
    </row>
    <row r="245" spans="1:10" hidden="1">
      <c r="A245" s="1032"/>
      <c r="B245" s="1035"/>
      <c r="C245" s="1038"/>
      <c r="D245" s="266" t="s">
        <v>1</v>
      </c>
      <c r="E245" s="267"/>
      <c r="F245" s="1060"/>
      <c r="G245" s="267">
        <f>H245+I245</f>
        <v>0</v>
      </c>
      <c r="H245" s="267"/>
      <c r="I245" s="267"/>
      <c r="J245" s="1035"/>
    </row>
    <row r="246" spans="1:10" hidden="1">
      <c r="A246" s="1033"/>
      <c r="B246" s="1036"/>
      <c r="C246" s="1039"/>
      <c r="D246" s="266" t="s">
        <v>2</v>
      </c>
      <c r="E246" s="267">
        <f>E244+E245</f>
        <v>150000</v>
      </c>
      <c r="F246" s="1061"/>
      <c r="G246" s="267">
        <f>G244+G245</f>
        <v>150000</v>
      </c>
      <c r="H246" s="267">
        <f>H244+H245</f>
        <v>150000</v>
      </c>
      <c r="I246" s="267">
        <f>I244+I245</f>
        <v>0</v>
      </c>
      <c r="J246" s="1036"/>
    </row>
    <row r="247" spans="1:10" hidden="1">
      <c r="A247" s="1031" t="s">
        <v>503</v>
      </c>
      <c r="B247" s="1034" t="s">
        <v>506</v>
      </c>
      <c r="C247" s="1037">
        <v>2024</v>
      </c>
      <c r="D247" s="266" t="s">
        <v>0</v>
      </c>
      <c r="E247" s="267">
        <v>55000</v>
      </c>
      <c r="F247" s="1059" t="s">
        <v>408</v>
      </c>
      <c r="G247" s="267">
        <f>H247+I247</f>
        <v>55000</v>
      </c>
      <c r="H247" s="267">
        <v>55000</v>
      </c>
      <c r="I247" s="267">
        <v>0</v>
      </c>
      <c r="J247" s="1034" t="s">
        <v>504</v>
      </c>
    </row>
    <row r="248" spans="1:10" hidden="1">
      <c r="A248" s="1032"/>
      <c r="B248" s="1035"/>
      <c r="C248" s="1038"/>
      <c r="D248" s="266" t="s">
        <v>1</v>
      </c>
      <c r="E248" s="267"/>
      <c r="F248" s="1060"/>
      <c r="G248" s="267">
        <f>H248+I248</f>
        <v>0</v>
      </c>
      <c r="H248" s="267"/>
      <c r="I248" s="267"/>
      <c r="J248" s="1035"/>
    </row>
    <row r="249" spans="1:10" hidden="1">
      <c r="A249" s="1033"/>
      <c r="B249" s="1036"/>
      <c r="C249" s="1039"/>
      <c r="D249" s="266" t="s">
        <v>2</v>
      </c>
      <c r="E249" s="267">
        <f>E247+E248</f>
        <v>55000</v>
      </c>
      <c r="F249" s="1061"/>
      <c r="G249" s="267">
        <f>G247+G248</f>
        <v>55000</v>
      </c>
      <c r="H249" s="267">
        <f>H247+H248</f>
        <v>55000</v>
      </c>
      <c r="I249" s="267">
        <f>I247+I248</f>
        <v>0</v>
      </c>
      <c r="J249" s="1036"/>
    </row>
    <row r="250" spans="1:10" hidden="1">
      <c r="A250" s="1031" t="s">
        <v>503</v>
      </c>
      <c r="B250" s="1034" t="s">
        <v>507</v>
      </c>
      <c r="C250" s="1037">
        <v>2024</v>
      </c>
      <c r="D250" s="266" t="s">
        <v>0</v>
      </c>
      <c r="E250" s="267">
        <v>68700</v>
      </c>
      <c r="F250" s="1059" t="s">
        <v>408</v>
      </c>
      <c r="G250" s="267">
        <f>H250+I250</f>
        <v>68700</v>
      </c>
      <c r="H250" s="267">
        <v>68700</v>
      </c>
      <c r="I250" s="267">
        <v>0</v>
      </c>
      <c r="J250" s="1034" t="s">
        <v>508</v>
      </c>
    </row>
    <row r="251" spans="1:10" hidden="1">
      <c r="A251" s="1032"/>
      <c r="B251" s="1035"/>
      <c r="C251" s="1038"/>
      <c r="D251" s="266" t="s">
        <v>1</v>
      </c>
      <c r="E251" s="267"/>
      <c r="F251" s="1060"/>
      <c r="G251" s="267">
        <f>H251+I251</f>
        <v>0</v>
      </c>
      <c r="H251" s="267"/>
      <c r="I251" s="267"/>
      <c r="J251" s="1035"/>
    </row>
    <row r="252" spans="1:10" hidden="1">
      <c r="A252" s="1033"/>
      <c r="B252" s="1036"/>
      <c r="C252" s="1039"/>
      <c r="D252" s="266" t="s">
        <v>2</v>
      </c>
      <c r="E252" s="267">
        <f>E250+E251</f>
        <v>68700</v>
      </c>
      <c r="F252" s="1061"/>
      <c r="G252" s="267">
        <f>G250+G251</f>
        <v>68700</v>
      </c>
      <c r="H252" s="267">
        <f>H250+H251</f>
        <v>68700</v>
      </c>
      <c r="I252" s="267">
        <f>I250+I251</f>
        <v>0</v>
      </c>
      <c r="J252" s="1036"/>
    </row>
    <row r="253" spans="1:10" ht="14.85" customHeight="1">
      <c r="A253" s="1031" t="s">
        <v>503</v>
      </c>
      <c r="B253" s="1034" t="s">
        <v>509</v>
      </c>
      <c r="C253" s="1037">
        <v>2024</v>
      </c>
      <c r="D253" s="266" t="s">
        <v>0</v>
      </c>
      <c r="E253" s="267">
        <v>0</v>
      </c>
      <c r="F253" s="1059" t="s">
        <v>408</v>
      </c>
      <c r="G253" s="267">
        <f>H253+I253</f>
        <v>0</v>
      </c>
      <c r="H253" s="267">
        <v>0</v>
      </c>
      <c r="I253" s="267">
        <v>0</v>
      </c>
      <c r="J253" s="1034" t="s">
        <v>508</v>
      </c>
    </row>
    <row r="254" spans="1:10" ht="14.85" customHeight="1">
      <c r="A254" s="1032"/>
      <c r="B254" s="1035"/>
      <c r="C254" s="1038"/>
      <c r="D254" s="266" t="s">
        <v>1</v>
      </c>
      <c r="E254" s="267">
        <v>46330</v>
      </c>
      <c r="F254" s="1060"/>
      <c r="G254" s="267">
        <f>H254+I254</f>
        <v>46330</v>
      </c>
      <c r="H254" s="267">
        <v>46330</v>
      </c>
      <c r="I254" s="267"/>
      <c r="J254" s="1035"/>
    </row>
    <row r="255" spans="1:10" ht="14.85" customHeight="1">
      <c r="A255" s="1033"/>
      <c r="B255" s="1036"/>
      <c r="C255" s="1039"/>
      <c r="D255" s="266" t="s">
        <v>2</v>
      </c>
      <c r="E255" s="267">
        <f>E253+E254</f>
        <v>46330</v>
      </c>
      <c r="F255" s="1061"/>
      <c r="G255" s="267">
        <f>G253+G254</f>
        <v>46330</v>
      </c>
      <c r="H255" s="267">
        <f>H253+H254</f>
        <v>46330</v>
      </c>
      <c r="I255" s="267">
        <f>I253+I254</f>
        <v>0</v>
      </c>
      <c r="J255" s="1036"/>
    </row>
    <row r="256" spans="1:10" hidden="1">
      <c r="A256" s="1031" t="s">
        <v>510</v>
      </c>
      <c r="B256" s="1034" t="s">
        <v>511</v>
      </c>
      <c r="C256" s="1037">
        <v>2024</v>
      </c>
      <c r="D256" s="266" t="s">
        <v>0</v>
      </c>
      <c r="E256" s="267">
        <v>480000</v>
      </c>
      <c r="F256" s="1059" t="s">
        <v>408</v>
      </c>
      <c r="G256" s="267">
        <f>H256+I256</f>
        <v>480000</v>
      </c>
      <c r="H256" s="267">
        <v>480000</v>
      </c>
      <c r="I256" s="267">
        <v>0</v>
      </c>
      <c r="J256" s="1034" t="s">
        <v>411</v>
      </c>
    </row>
    <row r="257" spans="1:10" hidden="1">
      <c r="A257" s="1032"/>
      <c r="B257" s="1035"/>
      <c r="C257" s="1038"/>
      <c r="D257" s="266" t="s">
        <v>1</v>
      </c>
      <c r="E257" s="267"/>
      <c r="F257" s="1060"/>
      <c r="G257" s="267">
        <f>H257+I257</f>
        <v>0</v>
      </c>
      <c r="H257" s="267"/>
      <c r="I257" s="267"/>
      <c r="J257" s="1035"/>
    </row>
    <row r="258" spans="1:10" hidden="1">
      <c r="A258" s="1033"/>
      <c r="B258" s="1036"/>
      <c r="C258" s="1039"/>
      <c r="D258" s="266" t="s">
        <v>2</v>
      </c>
      <c r="E258" s="267">
        <f>E256+E257</f>
        <v>480000</v>
      </c>
      <c r="F258" s="1061"/>
      <c r="G258" s="267">
        <f>G256+G257</f>
        <v>480000</v>
      </c>
      <c r="H258" s="267">
        <f>H256+H257</f>
        <v>480000</v>
      </c>
      <c r="I258" s="267">
        <f>I256+I257</f>
        <v>0</v>
      </c>
      <c r="J258" s="1036"/>
    </row>
    <row r="259" spans="1:10" hidden="1">
      <c r="A259" s="1031" t="s">
        <v>510</v>
      </c>
      <c r="B259" s="1034" t="s">
        <v>512</v>
      </c>
      <c r="C259" s="1037">
        <v>2024</v>
      </c>
      <c r="D259" s="266" t="s">
        <v>0</v>
      </c>
      <c r="E259" s="267">
        <v>180000</v>
      </c>
      <c r="F259" s="1059" t="s">
        <v>408</v>
      </c>
      <c r="G259" s="267">
        <f>H259+I259</f>
        <v>180000</v>
      </c>
      <c r="H259" s="267">
        <v>180000</v>
      </c>
      <c r="I259" s="267">
        <v>0</v>
      </c>
      <c r="J259" s="1034" t="s">
        <v>411</v>
      </c>
    </row>
    <row r="260" spans="1:10" hidden="1">
      <c r="A260" s="1032"/>
      <c r="B260" s="1035"/>
      <c r="C260" s="1038"/>
      <c r="D260" s="266" t="s">
        <v>1</v>
      </c>
      <c r="E260" s="267"/>
      <c r="F260" s="1060"/>
      <c r="G260" s="267">
        <f>H260+I260</f>
        <v>0</v>
      </c>
      <c r="H260" s="267"/>
      <c r="I260" s="267"/>
      <c r="J260" s="1035"/>
    </row>
    <row r="261" spans="1:10" hidden="1">
      <c r="A261" s="1033"/>
      <c r="B261" s="1036"/>
      <c r="C261" s="1039"/>
      <c r="D261" s="266" t="s">
        <v>2</v>
      </c>
      <c r="E261" s="267">
        <f>E259+E260</f>
        <v>180000</v>
      </c>
      <c r="F261" s="1061"/>
      <c r="G261" s="267">
        <f>G259+G260</f>
        <v>180000</v>
      </c>
      <c r="H261" s="267">
        <f>H259+H260</f>
        <v>180000</v>
      </c>
      <c r="I261" s="267">
        <f>I259+I260</f>
        <v>0</v>
      </c>
      <c r="J261" s="1036"/>
    </row>
    <row r="262" spans="1:10" hidden="1">
      <c r="A262" s="1031" t="s">
        <v>510</v>
      </c>
      <c r="B262" s="1034" t="s">
        <v>513</v>
      </c>
      <c r="C262" s="1037">
        <v>2024</v>
      </c>
      <c r="D262" s="266" t="s">
        <v>0</v>
      </c>
      <c r="E262" s="267">
        <v>199000</v>
      </c>
      <c r="F262" s="1059" t="s">
        <v>408</v>
      </c>
      <c r="G262" s="267">
        <f>H262+I262</f>
        <v>199000</v>
      </c>
      <c r="H262" s="267">
        <v>199000</v>
      </c>
      <c r="I262" s="267">
        <v>0</v>
      </c>
      <c r="J262" s="1034" t="s">
        <v>411</v>
      </c>
    </row>
    <row r="263" spans="1:10" hidden="1">
      <c r="A263" s="1032"/>
      <c r="B263" s="1035"/>
      <c r="C263" s="1038"/>
      <c r="D263" s="266" t="s">
        <v>1</v>
      </c>
      <c r="E263" s="267"/>
      <c r="F263" s="1060"/>
      <c r="G263" s="267">
        <f>H263+I263</f>
        <v>0</v>
      </c>
      <c r="H263" s="267"/>
      <c r="I263" s="267"/>
      <c r="J263" s="1035"/>
    </row>
    <row r="264" spans="1:10" hidden="1">
      <c r="A264" s="1033"/>
      <c r="B264" s="1036"/>
      <c r="C264" s="1039"/>
      <c r="D264" s="266" t="s">
        <v>2</v>
      </c>
      <c r="E264" s="267">
        <f>E262+E263</f>
        <v>199000</v>
      </c>
      <c r="F264" s="1061"/>
      <c r="G264" s="267">
        <f>G262+G263</f>
        <v>199000</v>
      </c>
      <c r="H264" s="267">
        <f>H262+H263</f>
        <v>199000</v>
      </c>
      <c r="I264" s="267">
        <f>I262+I263</f>
        <v>0</v>
      </c>
      <c r="J264" s="1036"/>
    </row>
    <row r="265" spans="1:10" hidden="1">
      <c r="A265" s="1031" t="s">
        <v>510</v>
      </c>
      <c r="B265" s="1034" t="s">
        <v>514</v>
      </c>
      <c r="C265" s="1037">
        <v>2024</v>
      </c>
      <c r="D265" s="266" t="s">
        <v>0</v>
      </c>
      <c r="E265" s="267">
        <v>380934</v>
      </c>
      <c r="F265" s="1059" t="s">
        <v>408</v>
      </c>
      <c r="G265" s="267">
        <f>H265+I265</f>
        <v>380934</v>
      </c>
      <c r="H265" s="267">
        <v>0</v>
      </c>
      <c r="I265" s="267">
        <v>380934</v>
      </c>
      <c r="J265" s="1034" t="s">
        <v>515</v>
      </c>
    </row>
    <row r="266" spans="1:10" hidden="1">
      <c r="A266" s="1032"/>
      <c r="B266" s="1035"/>
      <c r="C266" s="1038"/>
      <c r="D266" s="266" t="s">
        <v>1</v>
      </c>
      <c r="E266" s="267"/>
      <c r="F266" s="1060"/>
      <c r="G266" s="267">
        <f>H266+I266</f>
        <v>0</v>
      </c>
      <c r="H266" s="267"/>
      <c r="I266" s="267"/>
      <c r="J266" s="1035"/>
    </row>
    <row r="267" spans="1:10" hidden="1">
      <c r="A267" s="1033"/>
      <c r="B267" s="1036"/>
      <c r="C267" s="1039"/>
      <c r="D267" s="266" t="s">
        <v>2</v>
      </c>
      <c r="E267" s="267">
        <f>E265+E266</f>
        <v>380934</v>
      </c>
      <c r="F267" s="1061"/>
      <c r="G267" s="267">
        <f>G265+G266</f>
        <v>380934</v>
      </c>
      <c r="H267" s="267">
        <f>H265+H266</f>
        <v>0</v>
      </c>
      <c r="I267" s="267">
        <f>I265+I266</f>
        <v>380934</v>
      </c>
      <c r="J267" s="1036"/>
    </row>
    <row r="268" spans="1:10" ht="14.85" customHeight="1">
      <c r="A268" s="1031" t="s">
        <v>510</v>
      </c>
      <c r="B268" s="1034" t="s">
        <v>516</v>
      </c>
      <c r="C268" s="1037">
        <v>2024</v>
      </c>
      <c r="D268" s="266" t="s">
        <v>0</v>
      </c>
      <c r="E268" s="267">
        <v>0</v>
      </c>
      <c r="F268" s="1059" t="s">
        <v>408</v>
      </c>
      <c r="G268" s="267">
        <f>H268+I268</f>
        <v>0</v>
      </c>
      <c r="H268" s="267">
        <v>0</v>
      </c>
      <c r="I268" s="267">
        <v>0</v>
      </c>
      <c r="J268" s="1034" t="s">
        <v>489</v>
      </c>
    </row>
    <row r="269" spans="1:10" ht="14.85" customHeight="1">
      <c r="A269" s="1032"/>
      <c r="B269" s="1035"/>
      <c r="C269" s="1038"/>
      <c r="D269" s="266" t="s">
        <v>1</v>
      </c>
      <c r="E269" s="267">
        <v>30600</v>
      </c>
      <c r="F269" s="1060"/>
      <c r="G269" s="267">
        <f>H269+I269</f>
        <v>30600</v>
      </c>
      <c r="H269" s="267">
        <v>30600</v>
      </c>
      <c r="I269" s="267"/>
      <c r="J269" s="1035"/>
    </row>
    <row r="270" spans="1:10" ht="14.85" customHeight="1">
      <c r="A270" s="1033"/>
      <c r="B270" s="1036"/>
      <c r="C270" s="1039"/>
      <c r="D270" s="266" t="s">
        <v>2</v>
      </c>
      <c r="E270" s="267">
        <f>E268+E269</f>
        <v>30600</v>
      </c>
      <c r="F270" s="1061"/>
      <c r="G270" s="267">
        <f>G268+G269</f>
        <v>30600</v>
      </c>
      <c r="H270" s="267">
        <f>H268+H269</f>
        <v>30600</v>
      </c>
      <c r="I270" s="267">
        <f>I268+I269</f>
        <v>0</v>
      </c>
      <c r="J270" s="1036"/>
    </row>
    <row r="271" spans="1:10">
      <c r="A271" s="1031" t="s">
        <v>510</v>
      </c>
      <c r="B271" s="1034" t="s">
        <v>517</v>
      </c>
      <c r="C271" s="1037">
        <v>2024</v>
      </c>
      <c r="D271" s="266" t="s">
        <v>0</v>
      </c>
      <c r="E271" s="267">
        <v>0</v>
      </c>
      <c r="F271" s="1059" t="s">
        <v>408</v>
      </c>
      <c r="G271" s="267">
        <f>H271+I271</f>
        <v>0</v>
      </c>
      <c r="H271" s="267">
        <v>0</v>
      </c>
      <c r="I271" s="267">
        <v>0</v>
      </c>
      <c r="J271" s="1034" t="s">
        <v>518</v>
      </c>
    </row>
    <row r="272" spans="1:10">
      <c r="A272" s="1032"/>
      <c r="B272" s="1035"/>
      <c r="C272" s="1038"/>
      <c r="D272" s="266" t="s">
        <v>1</v>
      </c>
      <c r="E272" s="267">
        <v>20000</v>
      </c>
      <c r="F272" s="1060"/>
      <c r="G272" s="267">
        <f>H272+I272</f>
        <v>20000</v>
      </c>
      <c r="H272" s="267">
        <v>20000</v>
      </c>
      <c r="I272" s="267"/>
      <c r="J272" s="1035"/>
    </row>
    <row r="273" spans="1:10">
      <c r="A273" s="1033"/>
      <c r="B273" s="1036"/>
      <c r="C273" s="1039"/>
      <c r="D273" s="266" t="s">
        <v>2</v>
      </c>
      <c r="E273" s="267">
        <f>E271+E272</f>
        <v>20000</v>
      </c>
      <c r="F273" s="1061"/>
      <c r="G273" s="267">
        <f>G271+G272</f>
        <v>20000</v>
      </c>
      <c r="H273" s="267">
        <f>H271+H272</f>
        <v>20000</v>
      </c>
      <c r="I273" s="267">
        <f>I271+I272</f>
        <v>0</v>
      </c>
      <c r="J273" s="1036"/>
    </row>
    <row r="274" spans="1:10">
      <c r="A274" s="1031" t="s">
        <v>510</v>
      </c>
      <c r="B274" s="1034" t="s">
        <v>519</v>
      </c>
      <c r="C274" s="1037">
        <v>2024</v>
      </c>
      <c r="D274" s="266" t="s">
        <v>0</v>
      </c>
      <c r="E274" s="267">
        <v>0</v>
      </c>
      <c r="F274" s="1059" t="s">
        <v>408</v>
      </c>
      <c r="G274" s="267">
        <f>H274+I274</f>
        <v>0</v>
      </c>
      <c r="H274" s="267">
        <v>0</v>
      </c>
      <c r="I274" s="267">
        <v>0</v>
      </c>
      <c r="J274" s="1034" t="s">
        <v>485</v>
      </c>
    </row>
    <row r="275" spans="1:10">
      <c r="A275" s="1032"/>
      <c r="B275" s="1035"/>
      <c r="C275" s="1038"/>
      <c r="D275" s="266" t="s">
        <v>1</v>
      </c>
      <c r="E275" s="267">
        <v>285111</v>
      </c>
      <c r="F275" s="1060"/>
      <c r="G275" s="267">
        <f>H275+I275</f>
        <v>285111</v>
      </c>
      <c r="H275" s="267">
        <v>285111</v>
      </c>
      <c r="I275" s="267"/>
      <c r="J275" s="1035"/>
    </row>
    <row r="276" spans="1:10">
      <c r="A276" s="1033"/>
      <c r="B276" s="1036"/>
      <c r="C276" s="1039"/>
      <c r="D276" s="266" t="s">
        <v>2</v>
      </c>
      <c r="E276" s="267">
        <f>E274+E275</f>
        <v>285111</v>
      </c>
      <c r="F276" s="1061"/>
      <c r="G276" s="267">
        <f>G274+G275</f>
        <v>285111</v>
      </c>
      <c r="H276" s="267">
        <f>H274+H275</f>
        <v>285111</v>
      </c>
      <c r="I276" s="267">
        <f>I274+I275</f>
        <v>0</v>
      </c>
      <c r="J276" s="1036"/>
    </row>
    <row r="277" spans="1:10" ht="14.85" customHeight="1">
      <c r="A277" s="1031" t="s">
        <v>510</v>
      </c>
      <c r="B277" s="1034" t="s">
        <v>520</v>
      </c>
      <c r="C277" s="1037">
        <v>2024</v>
      </c>
      <c r="D277" s="266" t="s">
        <v>0</v>
      </c>
      <c r="E277" s="267">
        <v>0</v>
      </c>
      <c r="F277" s="1059" t="s">
        <v>408</v>
      </c>
      <c r="G277" s="267">
        <f>H277+I277</f>
        <v>0</v>
      </c>
      <c r="H277" s="267">
        <v>0</v>
      </c>
      <c r="I277" s="267">
        <v>0</v>
      </c>
      <c r="J277" s="1034" t="s">
        <v>411</v>
      </c>
    </row>
    <row r="278" spans="1:10" ht="14.85" customHeight="1">
      <c r="A278" s="1032"/>
      <c r="B278" s="1035"/>
      <c r="C278" s="1038"/>
      <c r="D278" s="266" t="s">
        <v>1</v>
      </c>
      <c r="E278" s="267">
        <v>700000</v>
      </c>
      <c r="F278" s="1060"/>
      <c r="G278" s="267">
        <f>H278+I278</f>
        <v>700000</v>
      </c>
      <c r="H278" s="267">
        <v>700000</v>
      </c>
      <c r="I278" s="267"/>
      <c r="J278" s="1035"/>
    </row>
    <row r="279" spans="1:10" ht="14.85" customHeight="1">
      <c r="A279" s="1033"/>
      <c r="B279" s="1036"/>
      <c r="C279" s="1039"/>
      <c r="D279" s="266" t="s">
        <v>2</v>
      </c>
      <c r="E279" s="267">
        <f>E277+E278</f>
        <v>700000</v>
      </c>
      <c r="F279" s="1061"/>
      <c r="G279" s="267">
        <f>G277+G278</f>
        <v>700000</v>
      </c>
      <c r="H279" s="267">
        <f>H277+H278</f>
        <v>700000</v>
      </c>
      <c r="I279" s="267">
        <f>I277+I278</f>
        <v>0</v>
      </c>
      <c r="J279" s="1036"/>
    </row>
    <row r="280" spans="1:10" ht="14.85" customHeight="1">
      <c r="A280" s="1046" t="s">
        <v>27</v>
      </c>
      <c r="B280" s="1049" t="s">
        <v>69</v>
      </c>
      <c r="C280" s="1028" t="s">
        <v>408</v>
      </c>
      <c r="D280" s="255" t="s">
        <v>0</v>
      </c>
      <c r="E280" s="265">
        <f>E283+E286+E292+E289+E295</f>
        <v>299522</v>
      </c>
      <c r="F280" s="1065" t="s">
        <v>408</v>
      </c>
      <c r="G280" s="265">
        <f t="shared" ref="G280:I281" si="12">G283+G286+G292+G289+G295</f>
        <v>299522</v>
      </c>
      <c r="H280" s="265">
        <f t="shared" si="12"/>
        <v>264522</v>
      </c>
      <c r="I280" s="265">
        <f t="shared" si="12"/>
        <v>35000</v>
      </c>
      <c r="J280" s="1028" t="s">
        <v>408</v>
      </c>
    </row>
    <row r="281" spans="1:10" ht="14.85" customHeight="1">
      <c r="A281" s="1047"/>
      <c r="B281" s="1050"/>
      <c r="C281" s="1029"/>
      <c r="D281" s="255" t="s">
        <v>1</v>
      </c>
      <c r="E281" s="265">
        <f>E284+E287+E293+E290+E296</f>
        <v>13979</v>
      </c>
      <c r="F281" s="1066"/>
      <c r="G281" s="265">
        <f>G284+G287+G293+G290+G296</f>
        <v>13979</v>
      </c>
      <c r="H281" s="265">
        <f t="shared" si="12"/>
        <v>13979</v>
      </c>
      <c r="I281" s="265">
        <f t="shared" si="12"/>
        <v>0</v>
      </c>
      <c r="J281" s="1029"/>
    </row>
    <row r="282" spans="1:10" ht="14.85" customHeight="1">
      <c r="A282" s="1048"/>
      <c r="B282" s="1051"/>
      <c r="C282" s="1030"/>
      <c r="D282" s="255" t="s">
        <v>2</v>
      </c>
      <c r="E282" s="265">
        <f>E280+E281</f>
        <v>313501</v>
      </c>
      <c r="F282" s="1067"/>
      <c r="G282" s="265">
        <f>G280+G281</f>
        <v>313501</v>
      </c>
      <c r="H282" s="265">
        <f>H280+H281</f>
        <v>278501</v>
      </c>
      <c r="I282" s="265">
        <f>I280+I281</f>
        <v>35000</v>
      </c>
      <c r="J282" s="1030"/>
    </row>
    <row r="283" spans="1:10" hidden="1">
      <c r="A283" s="1031" t="s">
        <v>521</v>
      </c>
      <c r="B283" s="1034" t="s">
        <v>522</v>
      </c>
      <c r="C283" s="1037">
        <v>2024</v>
      </c>
      <c r="D283" s="266" t="s">
        <v>0</v>
      </c>
      <c r="E283" s="267">
        <v>15252</v>
      </c>
      <c r="F283" s="1059" t="s">
        <v>408</v>
      </c>
      <c r="G283" s="267">
        <f>H283+I283</f>
        <v>15252</v>
      </c>
      <c r="H283" s="267">
        <v>15252</v>
      </c>
      <c r="I283" s="267">
        <v>0</v>
      </c>
      <c r="J283" s="1034" t="s">
        <v>523</v>
      </c>
    </row>
    <row r="284" spans="1:10" hidden="1">
      <c r="A284" s="1032"/>
      <c r="B284" s="1035"/>
      <c r="C284" s="1038"/>
      <c r="D284" s="266" t="s">
        <v>1</v>
      </c>
      <c r="E284" s="267"/>
      <c r="F284" s="1060"/>
      <c r="G284" s="267">
        <f>H284+I284</f>
        <v>0</v>
      </c>
      <c r="H284" s="267"/>
      <c r="I284" s="267"/>
      <c r="J284" s="1035"/>
    </row>
    <row r="285" spans="1:10" hidden="1">
      <c r="A285" s="1033"/>
      <c r="B285" s="1036"/>
      <c r="C285" s="1039"/>
      <c r="D285" s="266" t="s">
        <v>2</v>
      </c>
      <c r="E285" s="267">
        <f>E283+E284</f>
        <v>15252</v>
      </c>
      <c r="F285" s="1061"/>
      <c r="G285" s="267">
        <f>G283+G284</f>
        <v>15252</v>
      </c>
      <c r="H285" s="267">
        <f>H283+H284</f>
        <v>15252</v>
      </c>
      <c r="I285" s="267">
        <f>I283+I284</f>
        <v>0</v>
      </c>
      <c r="J285" s="1036"/>
    </row>
    <row r="286" spans="1:10" ht="14.85" customHeight="1">
      <c r="A286" s="1031" t="s">
        <v>521</v>
      </c>
      <c r="B286" s="1034" t="s">
        <v>524</v>
      </c>
      <c r="C286" s="1037">
        <v>2024</v>
      </c>
      <c r="D286" s="266" t="s">
        <v>0</v>
      </c>
      <c r="E286" s="267">
        <v>77761</v>
      </c>
      <c r="F286" s="1059" t="s">
        <v>408</v>
      </c>
      <c r="G286" s="267">
        <f>H286+I286</f>
        <v>77761</v>
      </c>
      <c r="H286" s="267">
        <v>77761</v>
      </c>
      <c r="I286" s="267">
        <v>0</v>
      </c>
      <c r="J286" s="1034" t="s">
        <v>525</v>
      </c>
    </row>
    <row r="287" spans="1:10" ht="14.85" customHeight="1">
      <c r="A287" s="1032"/>
      <c r="B287" s="1035"/>
      <c r="C287" s="1038"/>
      <c r="D287" s="266" t="s">
        <v>1</v>
      </c>
      <c r="E287" s="267">
        <v>13979</v>
      </c>
      <c r="F287" s="1060"/>
      <c r="G287" s="267">
        <f>H287+I287</f>
        <v>13979</v>
      </c>
      <c r="H287" s="267">
        <v>13979</v>
      </c>
      <c r="I287" s="267"/>
      <c r="J287" s="1035"/>
    </row>
    <row r="288" spans="1:10" ht="14.85" customHeight="1">
      <c r="A288" s="1033"/>
      <c r="B288" s="1036"/>
      <c r="C288" s="1039"/>
      <c r="D288" s="266" t="s">
        <v>2</v>
      </c>
      <c r="E288" s="267">
        <f>E286+E287</f>
        <v>91740</v>
      </c>
      <c r="F288" s="1061"/>
      <c r="G288" s="267">
        <f>G286+G287</f>
        <v>91740</v>
      </c>
      <c r="H288" s="267">
        <f>H286+H287</f>
        <v>91740</v>
      </c>
      <c r="I288" s="267">
        <f>I286+I287</f>
        <v>0</v>
      </c>
      <c r="J288" s="1036"/>
    </row>
    <row r="289" spans="1:10" hidden="1">
      <c r="A289" s="1031" t="s">
        <v>521</v>
      </c>
      <c r="B289" s="1034" t="s">
        <v>526</v>
      </c>
      <c r="C289" s="1037">
        <v>2024</v>
      </c>
      <c r="D289" s="266" t="s">
        <v>0</v>
      </c>
      <c r="E289" s="267">
        <v>12509</v>
      </c>
      <c r="F289" s="1059" t="s">
        <v>408</v>
      </c>
      <c r="G289" s="267">
        <f>H289+I289</f>
        <v>12509</v>
      </c>
      <c r="H289" s="267">
        <v>12509</v>
      </c>
      <c r="I289" s="267">
        <v>0</v>
      </c>
      <c r="J289" s="1034" t="s">
        <v>525</v>
      </c>
    </row>
    <row r="290" spans="1:10" hidden="1">
      <c r="A290" s="1032"/>
      <c r="B290" s="1035"/>
      <c r="C290" s="1038"/>
      <c r="D290" s="266" t="s">
        <v>1</v>
      </c>
      <c r="E290" s="267"/>
      <c r="F290" s="1060"/>
      <c r="G290" s="267">
        <f>H290+I290</f>
        <v>0</v>
      </c>
      <c r="H290" s="267"/>
      <c r="I290" s="267"/>
      <c r="J290" s="1035"/>
    </row>
    <row r="291" spans="1:10" hidden="1">
      <c r="A291" s="1033"/>
      <c r="B291" s="1036"/>
      <c r="C291" s="1039"/>
      <c r="D291" s="266" t="s">
        <v>2</v>
      </c>
      <c r="E291" s="267">
        <f>E289+E290</f>
        <v>12509</v>
      </c>
      <c r="F291" s="1061"/>
      <c r="G291" s="267">
        <f>G289+G290</f>
        <v>12509</v>
      </c>
      <c r="H291" s="267">
        <f>H289+H290</f>
        <v>12509</v>
      </c>
      <c r="I291" s="267">
        <f>I289+I290</f>
        <v>0</v>
      </c>
      <c r="J291" s="1036"/>
    </row>
    <row r="292" spans="1:10" hidden="1">
      <c r="A292" s="1031" t="s">
        <v>521</v>
      </c>
      <c r="B292" s="1034" t="s">
        <v>527</v>
      </c>
      <c r="C292" s="1037">
        <v>2024</v>
      </c>
      <c r="D292" s="266" t="s">
        <v>0</v>
      </c>
      <c r="E292" s="267">
        <v>35000</v>
      </c>
      <c r="F292" s="1059" t="s">
        <v>408</v>
      </c>
      <c r="G292" s="267">
        <f>H292+I292</f>
        <v>35000</v>
      </c>
      <c r="H292" s="267">
        <v>0</v>
      </c>
      <c r="I292" s="267">
        <v>35000</v>
      </c>
      <c r="J292" s="1034" t="s">
        <v>528</v>
      </c>
    </row>
    <row r="293" spans="1:10" hidden="1">
      <c r="A293" s="1032"/>
      <c r="B293" s="1035"/>
      <c r="C293" s="1038"/>
      <c r="D293" s="266" t="s">
        <v>1</v>
      </c>
      <c r="E293" s="267"/>
      <c r="F293" s="1060"/>
      <c r="G293" s="267">
        <f>H293+I293</f>
        <v>0</v>
      </c>
      <c r="H293" s="267"/>
      <c r="I293" s="267"/>
      <c r="J293" s="1035"/>
    </row>
    <row r="294" spans="1:10" hidden="1">
      <c r="A294" s="1033"/>
      <c r="B294" s="1036"/>
      <c r="C294" s="1039"/>
      <c r="D294" s="266" t="s">
        <v>2</v>
      </c>
      <c r="E294" s="267">
        <f>E292+E293</f>
        <v>35000</v>
      </c>
      <c r="F294" s="1061"/>
      <c r="G294" s="267">
        <f>G292+G293</f>
        <v>35000</v>
      </c>
      <c r="H294" s="267">
        <f>H292+H293</f>
        <v>0</v>
      </c>
      <c r="I294" s="267">
        <f>I292+I293</f>
        <v>35000</v>
      </c>
      <c r="J294" s="1036"/>
    </row>
    <row r="295" spans="1:10" hidden="1">
      <c r="A295" s="1031" t="s">
        <v>521</v>
      </c>
      <c r="B295" s="1034" t="s">
        <v>529</v>
      </c>
      <c r="C295" s="1037">
        <v>2024</v>
      </c>
      <c r="D295" s="266" t="s">
        <v>0</v>
      </c>
      <c r="E295" s="267">
        <v>159000</v>
      </c>
      <c r="F295" s="1059" t="s">
        <v>408</v>
      </c>
      <c r="G295" s="267">
        <f>H295+I295</f>
        <v>159000</v>
      </c>
      <c r="H295" s="267">
        <v>159000</v>
      </c>
      <c r="I295" s="267">
        <v>0</v>
      </c>
      <c r="J295" s="1034" t="s">
        <v>528</v>
      </c>
    </row>
    <row r="296" spans="1:10" hidden="1">
      <c r="A296" s="1032"/>
      <c r="B296" s="1035"/>
      <c r="C296" s="1038"/>
      <c r="D296" s="266" t="s">
        <v>1</v>
      </c>
      <c r="E296" s="267"/>
      <c r="F296" s="1060"/>
      <c r="G296" s="267">
        <f>H296+I296</f>
        <v>0</v>
      </c>
      <c r="H296" s="267"/>
      <c r="I296" s="267"/>
      <c r="J296" s="1035"/>
    </row>
    <row r="297" spans="1:10" hidden="1">
      <c r="A297" s="1033"/>
      <c r="B297" s="1036"/>
      <c r="C297" s="1039"/>
      <c r="D297" s="266" t="s">
        <v>2</v>
      </c>
      <c r="E297" s="267">
        <f>E295+E296</f>
        <v>159000</v>
      </c>
      <c r="F297" s="1061"/>
      <c r="G297" s="267">
        <f>G295+G296</f>
        <v>159000</v>
      </c>
      <c r="H297" s="267">
        <f>H295+H296</f>
        <v>159000</v>
      </c>
      <c r="I297" s="267">
        <f>I295+I296</f>
        <v>0</v>
      </c>
      <c r="J297" s="1036"/>
    </row>
    <row r="298" spans="1:10" ht="14.85" customHeight="1">
      <c r="A298" s="1046" t="s">
        <v>390</v>
      </c>
      <c r="B298" s="1049" t="s">
        <v>391</v>
      </c>
      <c r="C298" s="1028" t="s">
        <v>408</v>
      </c>
      <c r="D298" s="255" t="s">
        <v>0</v>
      </c>
      <c r="E298" s="265">
        <f>E301+E304+E307+E310</f>
        <v>10500000</v>
      </c>
      <c r="F298" s="1065" t="s">
        <v>408</v>
      </c>
      <c r="G298" s="265">
        <f t="shared" ref="G298:I299" si="13">G301+G304+G307+G310</f>
        <v>10500000</v>
      </c>
      <c r="H298" s="265">
        <f t="shared" si="13"/>
        <v>10500000</v>
      </c>
      <c r="I298" s="265">
        <f t="shared" si="13"/>
        <v>0</v>
      </c>
      <c r="J298" s="1028" t="s">
        <v>408</v>
      </c>
    </row>
    <row r="299" spans="1:10" ht="14.85" customHeight="1">
      <c r="A299" s="1047"/>
      <c r="B299" s="1050"/>
      <c r="C299" s="1029"/>
      <c r="D299" s="255" t="s">
        <v>1</v>
      </c>
      <c r="E299" s="265">
        <f>E302+E305+E308+E311</f>
        <v>14000000</v>
      </c>
      <c r="F299" s="1066"/>
      <c r="G299" s="265">
        <f t="shared" si="13"/>
        <v>14000000</v>
      </c>
      <c r="H299" s="265">
        <f t="shared" si="13"/>
        <v>14000000</v>
      </c>
      <c r="I299" s="265">
        <f t="shared" si="13"/>
        <v>0</v>
      </c>
      <c r="J299" s="1029"/>
    </row>
    <row r="300" spans="1:10" ht="14.85" customHeight="1">
      <c r="A300" s="1048"/>
      <c r="B300" s="1051"/>
      <c r="C300" s="1030"/>
      <c r="D300" s="255" t="s">
        <v>2</v>
      </c>
      <c r="E300" s="265">
        <f>E298+E299</f>
        <v>24500000</v>
      </c>
      <c r="F300" s="1067"/>
      <c r="G300" s="265">
        <f>G298+G299</f>
        <v>24500000</v>
      </c>
      <c r="H300" s="265">
        <f>H298+H299</f>
        <v>24500000</v>
      </c>
      <c r="I300" s="265">
        <f>I298+I299</f>
        <v>0</v>
      </c>
      <c r="J300" s="1030"/>
    </row>
    <row r="301" spans="1:10" hidden="1">
      <c r="A301" s="1031" t="s">
        <v>530</v>
      </c>
      <c r="B301" s="1034" t="s">
        <v>531</v>
      </c>
      <c r="C301" s="1037">
        <v>2024</v>
      </c>
      <c r="D301" s="266" t="s">
        <v>0</v>
      </c>
      <c r="E301" s="267">
        <v>4700000</v>
      </c>
      <c r="F301" s="1059" t="s">
        <v>408</v>
      </c>
      <c r="G301" s="267">
        <f>H301+I301</f>
        <v>4700000</v>
      </c>
      <c r="H301" s="267">
        <v>4700000</v>
      </c>
      <c r="I301" s="267">
        <v>0</v>
      </c>
      <c r="J301" s="1034" t="s">
        <v>411</v>
      </c>
    </row>
    <row r="302" spans="1:10" hidden="1">
      <c r="A302" s="1032"/>
      <c r="B302" s="1035"/>
      <c r="C302" s="1038"/>
      <c r="D302" s="266" t="s">
        <v>1</v>
      </c>
      <c r="E302" s="267"/>
      <c r="F302" s="1060"/>
      <c r="G302" s="267">
        <f>H302+I302</f>
        <v>0</v>
      </c>
      <c r="H302" s="267"/>
      <c r="I302" s="267"/>
      <c r="J302" s="1035"/>
    </row>
    <row r="303" spans="1:10" hidden="1">
      <c r="A303" s="1033"/>
      <c r="B303" s="1036"/>
      <c r="C303" s="1039"/>
      <c r="D303" s="266" t="s">
        <v>2</v>
      </c>
      <c r="E303" s="267">
        <f>E301+E302</f>
        <v>4700000</v>
      </c>
      <c r="F303" s="1061"/>
      <c r="G303" s="267">
        <f>G301+G302</f>
        <v>4700000</v>
      </c>
      <c r="H303" s="267">
        <f>H301+H302</f>
        <v>4700000</v>
      </c>
      <c r="I303" s="267">
        <f>I301+I302</f>
        <v>0</v>
      </c>
      <c r="J303" s="1036"/>
    </row>
    <row r="304" spans="1:10" hidden="1">
      <c r="A304" s="1031" t="s">
        <v>530</v>
      </c>
      <c r="B304" s="1034" t="s">
        <v>532</v>
      </c>
      <c r="C304" s="1037">
        <v>2024</v>
      </c>
      <c r="D304" s="266" t="s">
        <v>0</v>
      </c>
      <c r="E304" s="267">
        <v>300000</v>
      </c>
      <c r="F304" s="1059" t="s">
        <v>408</v>
      </c>
      <c r="G304" s="267">
        <f>H304+I304</f>
        <v>300000</v>
      </c>
      <c r="H304" s="267">
        <v>300000</v>
      </c>
      <c r="I304" s="267">
        <v>0</v>
      </c>
      <c r="J304" s="1034" t="s">
        <v>411</v>
      </c>
    </row>
    <row r="305" spans="1:10" hidden="1">
      <c r="A305" s="1032"/>
      <c r="B305" s="1035"/>
      <c r="C305" s="1038"/>
      <c r="D305" s="266" t="s">
        <v>1</v>
      </c>
      <c r="E305" s="267"/>
      <c r="F305" s="1060"/>
      <c r="G305" s="267">
        <f>H305+I305</f>
        <v>0</v>
      </c>
      <c r="H305" s="267"/>
      <c r="I305" s="267"/>
      <c r="J305" s="1035"/>
    </row>
    <row r="306" spans="1:10" hidden="1">
      <c r="A306" s="1033"/>
      <c r="B306" s="1036"/>
      <c r="C306" s="1039"/>
      <c r="D306" s="266" t="s">
        <v>2</v>
      </c>
      <c r="E306" s="267">
        <f>E304+E305</f>
        <v>300000</v>
      </c>
      <c r="F306" s="1061"/>
      <c r="G306" s="267">
        <f>G304+G305</f>
        <v>300000</v>
      </c>
      <c r="H306" s="267">
        <f>H304+H305</f>
        <v>300000</v>
      </c>
      <c r="I306" s="267">
        <f>I304+I305</f>
        <v>0</v>
      </c>
      <c r="J306" s="1036"/>
    </row>
    <row r="307" spans="1:10" ht="14.85" customHeight="1">
      <c r="A307" s="1031" t="s">
        <v>530</v>
      </c>
      <c r="B307" s="1034" t="s">
        <v>533</v>
      </c>
      <c r="C307" s="1037">
        <v>2024</v>
      </c>
      <c r="D307" s="266" t="s">
        <v>0</v>
      </c>
      <c r="E307" s="267">
        <v>1000000</v>
      </c>
      <c r="F307" s="1059" t="s">
        <v>408</v>
      </c>
      <c r="G307" s="267">
        <f>H307+I307</f>
        <v>1000000</v>
      </c>
      <c r="H307" s="267">
        <v>1000000</v>
      </c>
      <c r="I307" s="267">
        <v>0</v>
      </c>
      <c r="J307" s="1034" t="s">
        <v>411</v>
      </c>
    </row>
    <row r="308" spans="1:10" ht="14.85" customHeight="1">
      <c r="A308" s="1032"/>
      <c r="B308" s="1035"/>
      <c r="C308" s="1038"/>
      <c r="D308" s="266" t="s">
        <v>1</v>
      </c>
      <c r="E308" s="267">
        <v>14000000</v>
      </c>
      <c r="F308" s="1060"/>
      <c r="G308" s="267">
        <f>H308+I308</f>
        <v>14000000</v>
      </c>
      <c r="H308" s="267">
        <v>14000000</v>
      </c>
      <c r="I308" s="267"/>
      <c r="J308" s="1035"/>
    </row>
    <row r="309" spans="1:10" ht="14.85" customHeight="1">
      <c r="A309" s="1033"/>
      <c r="B309" s="1036"/>
      <c r="C309" s="1039"/>
      <c r="D309" s="266" t="s">
        <v>2</v>
      </c>
      <c r="E309" s="267">
        <f>E307+E308</f>
        <v>15000000</v>
      </c>
      <c r="F309" s="1061"/>
      <c r="G309" s="267">
        <f>G307+G308</f>
        <v>15000000</v>
      </c>
      <c r="H309" s="267">
        <f>H307+H308</f>
        <v>15000000</v>
      </c>
      <c r="I309" s="267">
        <f>I307+I308</f>
        <v>0</v>
      </c>
      <c r="J309" s="1036"/>
    </row>
    <row r="310" spans="1:10" hidden="1">
      <c r="A310" s="1031" t="s">
        <v>530</v>
      </c>
      <c r="B310" s="1034" t="s">
        <v>534</v>
      </c>
      <c r="C310" s="1037">
        <v>2024</v>
      </c>
      <c r="D310" s="266" t="s">
        <v>0</v>
      </c>
      <c r="E310" s="267">
        <v>4500000</v>
      </c>
      <c r="F310" s="1059" t="s">
        <v>408</v>
      </c>
      <c r="G310" s="267">
        <f>H310+I310</f>
        <v>4500000</v>
      </c>
      <c r="H310" s="267">
        <v>4500000</v>
      </c>
      <c r="I310" s="267">
        <v>0</v>
      </c>
      <c r="J310" s="1034" t="s">
        <v>411</v>
      </c>
    </row>
    <row r="311" spans="1:10" hidden="1">
      <c r="A311" s="1032"/>
      <c r="B311" s="1035"/>
      <c r="C311" s="1038"/>
      <c r="D311" s="266" t="s">
        <v>1</v>
      </c>
      <c r="E311" s="267"/>
      <c r="F311" s="1060"/>
      <c r="G311" s="267">
        <f>H311+I311</f>
        <v>0</v>
      </c>
      <c r="H311" s="267"/>
      <c r="I311" s="267"/>
      <c r="J311" s="1035"/>
    </row>
    <row r="312" spans="1:10" hidden="1">
      <c r="A312" s="1033"/>
      <c r="B312" s="1036"/>
      <c r="C312" s="1039"/>
      <c r="D312" s="266" t="s">
        <v>2</v>
      </c>
      <c r="E312" s="267">
        <f>E310+E311</f>
        <v>4500000</v>
      </c>
      <c r="F312" s="1061"/>
      <c r="G312" s="267">
        <f>G310+G311</f>
        <v>4500000</v>
      </c>
      <c r="H312" s="267">
        <f>H310+H311</f>
        <v>4500000</v>
      </c>
      <c r="I312" s="267">
        <f>I310+I311</f>
        <v>0</v>
      </c>
      <c r="J312" s="1036"/>
    </row>
    <row r="313" spans="1:10" hidden="1">
      <c r="A313" s="269"/>
      <c r="B313" s="270"/>
      <c r="C313" s="266"/>
      <c r="D313" s="266"/>
      <c r="E313" s="267"/>
      <c r="F313" s="271"/>
      <c r="G313" s="267"/>
      <c r="H313" s="267"/>
      <c r="I313" s="267"/>
      <c r="J313" s="272"/>
    </row>
    <row r="314" spans="1:10" ht="15.75">
      <c r="A314" s="1040" t="s">
        <v>535</v>
      </c>
      <c r="B314" s="1041"/>
      <c r="C314" s="1017" t="s">
        <v>408</v>
      </c>
      <c r="D314" s="259" t="s">
        <v>0</v>
      </c>
      <c r="E314" s="273">
        <f>E19+E25+E85+E100+E118+E151+E160+E175+E190+E280+E298+E73+E79</f>
        <v>214181607</v>
      </c>
      <c r="F314" s="1062" t="s">
        <v>408</v>
      </c>
      <c r="G314" s="273">
        <f t="shared" ref="G314:I315" si="14">G19+G25+G85+G100+G118+G151+G160+G175+G190+G280+G298+G73+G79</f>
        <v>214181607</v>
      </c>
      <c r="H314" s="273">
        <f t="shared" si="14"/>
        <v>203744254</v>
      </c>
      <c r="I314" s="273">
        <f t="shared" si="14"/>
        <v>10437353</v>
      </c>
      <c r="J314" s="1020" t="s">
        <v>408</v>
      </c>
    </row>
    <row r="315" spans="1:10" ht="15.75">
      <c r="A315" s="1042"/>
      <c r="B315" s="1043"/>
      <c r="C315" s="1018"/>
      <c r="D315" s="259" t="s">
        <v>1</v>
      </c>
      <c r="E315" s="273">
        <f>E20+E26+E86+E101+E119+E152+E161+E176+E191+E281+E299+E74+E80</f>
        <v>25566555</v>
      </c>
      <c r="F315" s="1063"/>
      <c r="G315" s="273">
        <f t="shared" si="14"/>
        <v>25566555</v>
      </c>
      <c r="H315" s="273">
        <f t="shared" si="14"/>
        <v>24736042</v>
      </c>
      <c r="I315" s="273">
        <f t="shared" si="14"/>
        <v>830513</v>
      </c>
      <c r="J315" s="1021"/>
    </row>
    <row r="316" spans="1:10" ht="15.75">
      <c r="A316" s="1044"/>
      <c r="B316" s="1045"/>
      <c r="C316" s="1019"/>
      <c r="D316" s="259" t="s">
        <v>2</v>
      </c>
      <c r="E316" s="273">
        <f>E314+E315</f>
        <v>239748162</v>
      </c>
      <c r="F316" s="1064"/>
      <c r="G316" s="273">
        <f>G314+G315</f>
        <v>239748162</v>
      </c>
      <c r="H316" s="273">
        <f>H314+H315</f>
        <v>228480296</v>
      </c>
      <c r="I316" s="273">
        <f>I314+I315</f>
        <v>11267866</v>
      </c>
      <c r="J316" s="1022"/>
    </row>
    <row r="317" spans="1:10" ht="5.0999999999999996" customHeight="1">
      <c r="A317" s="1058"/>
      <c r="B317" s="1058"/>
      <c r="C317" s="1058"/>
      <c r="D317" s="1058"/>
      <c r="E317" s="1058"/>
      <c r="F317" s="1058"/>
      <c r="G317" s="1058"/>
      <c r="H317" s="1058"/>
      <c r="I317" s="1058"/>
      <c r="J317" s="1058"/>
    </row>
    <row r="318" spans="1:10" ht="15.75">
      <c r="A318" s="1024" t="s">
        <v>536</v>
      </c>
      <c r="B318" s="1025"/>
      <c r="C318" s="1025"/>
      <c r="D318" s="1025"/>
      <c r="E318" s="1025"/>
      <c r="F318" s="1025"/>
      <c r="G318" s="1025"/>
      <c r="H318" s="1025"/>
      <c r="I318" s="1025"/>
      <c r="J318" s="1026"/>
    </row>
    <row r="319" spans="1:10" ht="5.0999999999999996" customHeight="1">
      <c r="A319" s="269"/>
      <c r="B319" s="270"/>
      <c r="C319" s="266"/>
      <c r="D319" s="266"/>
      <c r="E319" s="267"/>
      <c r="F319" s="271"/>
      <c r="G319" s="267"/>
      <c r="H319" s="267"/>
      <c r="I319" s="267"/>
      <c r="J319" s="272"/>
    </row>
    <row r="320" spans="1:10" ht="14.85" customHeight="1">
      <c r="A320" s="1046" t="s">
        <v>45</v>
      </c>
      <c r="B320" s="1052" t="s">
        <v>46</v>
      </c>
      <c r="C320" s="1028" t="s">
        <v>408</v>
      </c>
      <c r="D320" s="255" t="s">
        <v>0</v>
      </c>
      <c r="E320" s="265">
        <f t="shared" ref="E320:I321" si="15">E323+E326+E329+E332+E335+E338+E341+E344+E347+E350+E353+E356+E359+E362+E365+E368+E371+E374+E377+E380+E383+E386+E389+E419+E422+E425+E428+E413+E407+E410+E404+E392+E395+E398+E401+E416</f>
        <v>767900055</v>
      </c>
      <c r="F320" s="265">
        <f t="shared" si="15"/>
        <v>41019798</v>
      </c>
      <c r="G320" s="265">
        <f t="shared" si="15"/>
        <v>191858782</v>
      </c>
      <c r="H320" s="265">
        <f t="shared" si="15"/>
        <v>158749569</v>
      </c>
      <c r="I320" s="265">
        <f t="shared" si="15"/>
        <v>33109213</v>
      </c>
      <c r="J320" s="1028" t="s">
        <v>408</v>
      </c>
    </row>
    <row r="321" spans="1:10" ht="14.85" customHeight="1">
      <c r="A321" s="1047"/>
      <c r="B321" s="1053"/>
      <c r="C321" s="1029"/>
      <c r="D321" s="255" t="s">
        <v>1</v>
      </c>
      <c r="E321" s="265">
        <f t="shared" si="15"/>
        <v>35693008</v>
      </c>
      <c r="F321" s="265">
        <f t="shared" si="15"/>
        <v>-2529845</v>
      </c>
      <c r="G321" s="265">
        <f t="shared" si="15"/>
        <v>-18406502</v>
      </c>
      <c r="H321" s="265">
        <f t="shared" si="15"/>
        <v>-24887290</v>
      </c>
      <c r="I321" s="265">
        <f t="shared" si="15"/>
        <v>6480788</v>
      </c>
      <c r="J321" s="1029"/>
    </row>
    <row r="322" spans="1:10" ht="14.85" customHeight="1">
      <c r="A322" s="1048"/>
      <c r="B322" s="1054"/>
      <c r="C322" s="1030"/>
      <c r="D322" s="255" t="s">
        <v>2</v>
      </c>
      <c r="E322" s="265">
        <f>E320+E321</f>
        <v>803593063</v>
      </c>
      <c r="F322" s="265">
        <f>F320+F321</f>
        <v>38489953</v>
      </c>
      <c r="G322" s="265">
        <f>G320+G321</f>
        <v>173452280</v>
      </c>
      <c r="H322" s="265">
        <f>H320+H321</f>
        <v>133862279</v>
      </c>
      <c r="I322" s="265">
        <f>I320+I321</f>
        <v>39590001</v>
      </c>
      <c r="J322" s="1030"/>
    </row>
    <row r="323" spans="1:10" hidden="1">
      <c r="A323" s="1031" t="s">
        <v>200</v>
      </c>
      <c r="B323" s="1034" t="s">
        <v>537</v>
      </c>
      <c r="C323" s="1037" t="s">
        <v>538</v>
      </c>
      <c r="D323" s="266" t="s">
        <v>0</v>
      </c>
      <c r="E323" s="267">
        <v>207802038</v>
      </c>
      <c r="F323" s="274">
        <v>3668250</v>
      </c>
      <c r="G323" s="267">
        <f>H323+I323</f>
        <v>6127788</v>
      </c>
      <c r="H323" s="267">
        <v>0</v>
      </c>
      <c r="I323" s="267">
        <v>6127788</v>
      </c>
      <c r="J323" s="1034" t="s">
        <v>539</v>
      </c>
    </row>
    <row r="324" spans="1:10" hidden="1">
      <c r="A324" s="1032"/>
      <c r="B324" s="1035"/>
      <c r="C324" s="1038"/>
      <c r="D324" s="266" t="s">
        <v>1</v>
      </c>
      <c r="E324" s="267"/>
      <c r="F324" s="274"/>
      <c r="G324" s="267">
        <f>H324+I324</f>
        <v>0</v>
      </c>
      <c r="H324" s="267"/>
      <c r="I324" s="267"/>
      <c r="J324" s="1035"/>
    </row>
    <row r="325" spans="1:10" hidden="1">
      <c r="A325" s="1033"/>
      <c r="B325" s="1036"/>
      <c r="C325" s="1039"/>
      <c r="D325" s="266" t="s">
        <v>2</v>
      </c>
      <c r="E325" s="267">
        <f>E323+E324</f>
        <v>207802038</v>
      </c>
      <c r="F325" s="267">
        <f>F323+F324</f>
        <v>3668250</v>
      </c>
      <c r="G325" s="267">
        <f>G323+G324</f>
        <v>6127788</v>
      </c>
      <c r="H325" s="267">
        <f>H323+H324</f>
        <v>0</v>
      </c>
      <c r="I325" s="267">
        <f>I323+I324</f>
        <v>6127788</v>
      </c>
      <c r="J325" s="1036"/>
    </row>
    <row r="326" spans="1:10" ht="14.85" customHeight="1">
      <c r="A326" s="1031" t="s">
        <v>200</v>
      </c>
      <c r="B326" s="1034" t="s">
        <v>540</v>
      </c>
      <c r="C326" s="1037" t="s">
        <v>541</v>
      </c>
      <c r="D326" s="266" t="s">
        <v>0</v>
      </c>
      <c r="E326" s="267">
        <v>9200000</v>
      </c>
      <c r="F326" s="274">
        <v>0</v>
      </c>
      <c r="G326" s="267">
        <f>H326+I326</f>
        <v>9200000</v>
      </c>
      <c r="H326" s="267">
        <v>9200000</v>
      </c>
      <c r="I326" s="267">
        <v>0</v>
      </c>
      <c r="J326" s="1034" t="s">
        <v>539</v>
      </c>
    </row>
    <row r="327" spans="1:10" ht="14.85" customHeight="1">
      <c r="A327" s="1032"/>
      <c r="B327" s="1035"/>
      <c r="C327" s="1038"/>
      <c r="D327" s="266" t="s">
        <v>1</v>
      </c>
      <c r="E327" s="267">
        <v>800000</v>
      </c>
      <c r="F327" s="274"/>
      <c r="G327" s="267">
        <f>H327+I327</f>
        <v>800000</v>
      </c>
      <c r="H327" s="267">
        <v>800000</v>
      </c>
      <c r="I327" s="267"/>
      <c r="J327" s="1035"/>
    </row>
    <row r="328" spans="1:10" ht="14.85" customHeight="1">
      <c r="A328" s="1033"/>
      <c r="B328" s="1036"/>
      <c r="C328" s="1039"/>
      <c r="D328" s="266" t="s">
        <v>2</v>
      </c>
      <c r="E328" s="267">
        <f>E326+E327</f>
        <v>10000000</v>
      </c>
      <c r="F328" s="267">
        <f>F326+F327</f>
        <v>0</v>
      </c>
      <c r="G328" s="267">
        <f>G326+G327</f>
        <v>10000000</v>
      </c>
      <c r="H328" s="267">
        <f>H326+H327</f>
        <v>10000000</v>
      </c>
      <c r="I328" s="267">
        <f>I326+I327</f>
        <v>0</v>
      </c>
      <c r="J328" s="1036"/>
    </row>
    <row r="329" spans="1:10" ht="18.75" hidden="1" customHeight="1">
      <c r="A329" s="1031" t="s">
        <v>200</v>
      </c>
      <c r="B329" s="1034" t="s">
        <v>542</v>
      </c>
      <c r="C329" s="1037" t="s">
        <v>543</v>
      </c>
      <c r="D329" s="266" t="s">
        <v>0</v>
      </c>
      <c r="E329" s="267">
        <v>57718038</v>
      </c>
      <c r="F329" s="274">
        <v>71402</v>
      </c>
      <c r="G329" s="267">
        <f>H329+I329</f>
        <v>41238836</v>
      </c>
      <c r="H329" s="267">
        <v>28413836</v>
      </c>
      <c r="I329" s="267">
        <v>12825000</v>
      </c>
      <c r="J329" s="1034" t="s">
        <v>539</v>
      </c>
    </row>
    <row r="330" spans="1:10" ht="18.75" hidden="1" customHeight="1">
      <c r="A330" s="1032"/>
      <c r="B330" s="1035"/>
      <c r="C330" s="1038"/>
      <c r="D330" s="266" t="s">
        <v>1</v>
      </c>
      <c r="E330" s="267"/>
      <c r="F330" s="274"/>
      <c r="G330" s="267">
        <f>H330+I330</f>
        <v>0</v>
      </c>
      <c r="H330" s="267"/>
      <c r="I330" s="267"/>
      <c r="J330" s="1035"/>
    </row>
    <row r="331" spans="1:10" ht="18.75" hidden="1" customHeight="1">
      <c r="A331" s="1033"/>
      <c r="B331" s="1036"/>
      <c r="C331" s="1039"/>
      <c r="D331" s="266" t="s">
        <v>2</v>
      </c>
      <c r="E331" s="267">
        <f>E329+E330</f>
        <v>57718038</v>
      </c>
      <c r="F331" s="267">
        <f>F329+F330</f>
        <v>71402</v>
      </c>
      <c r="G331" s="267">
        <f>G329+G330</f>
        <v>41238836</v>
      </c>
      <c r="H331" s="267">
        <f>H329+H330</f>
        <v>28413836</v>
      </c>
      <c r="I331" s="267">
        <f>I329+I330</f>
        <v>12825000</v>
      </c>
      <c r="J331" s="1036"/>
    </row>
    <row r="332" spans="1:10" ht="17.25" customHeight="1">
      <c r="A332" s="1031" t="s">
        <v>200</v>
      </c>
      <c r="B332" s="1034" t="s">
        <v>544</v>
      </c>
      <c r="C332" s="1037" t="s">
        <v>545</v>
      </c>
      <c r="D332" s="266" t="s">
        <v>0</v>
      </c>
      <c r="E332" s="267">
        <v>37000000</v>
      </c>
      <c r="F332" s="274">
        <v>2500000</v>
      </c>
      <c r="G332" s="267">
        <f>H332+I332</f>
        <v>34500000</v>
      </c>
      <c r="H332" s="267">
        <v>34500000</v>
      </c>
      <c r="I332" s="267">
        <v>0</v>
      </c>
      <c r="J332" s="1034" t="s">
        <v>539</v>
      </c>
    </row>
    <row r="333" spans="1:10" ht="17.25" customHeight="1">
      <c r="A333" s="1032"/>
      <c r="B333" s="1035"/>
      <c r="C333" s="1038"/>
      <c r="D333" s="266" t="s">
        <v>1</v>
      </c>
      <c r="E333" s="267"/>
      <c r="F333" s="274">
        <v>-1458192</v>
      </c>
      <c r="G333" s="267">
        <f>H333+I333</f>
        <v>-11041808</v>
      </c>
      <c r="H333" s="267">
        <v>-11041808</v>
      </c>
      <c r="I333" s="267"/>
      <c r="J333" s="1035"/>
    </row>
    <row r="334" spans="1:10" ht="17.25" customHeight="1">
      <c r="A334" s="1033"/>
      <c r="B334" s="1036"/>
      <c r="C334" s="1039"/>
      <c r="D334" s="266" t="s">
        <v>2</v>
      </c>
      <c r="E334" s="267">
        <f>E332+E333</f>
        <v>37000000</v>
      </c>
      <c r="F334" s="267">
        <f>F332+F333</f>
        <v>1041808</v>
      </c>
      <c r="G334" s="267">
        <f>G332+G333</f>
        <v>23458192</v>
      </c>
      <c r="H334" s="267">
        <f>H332+H333</f>
        <v>23458192</v>
      </c>
      <c r="I334" s="267">
        <f>I332+I333</f>
        <v>0</v>
      </c>
      <c r="J334" s="1036"/>
    </row>
    <row r="335" spans="1:10" hidden="1">
      <c r="A335" s="1031" t="s">
        <v>200</v>
      </c>
      <c r="B335" s="1034" t="s">
        <v>546</v>
      </c>
      <c r="C335" s="1037" t="s">
        <v>547</v>
      </c>
      <c r="D335" s="266" t="s">
        <v>0</v>
      </c>
      <c r="E335" s="267">
        <v>9943765</v>
      </c>
      <c r="F335" s="274">
        <v>4843765</v>
      </c>
      <c r="G335" s="267">
        <f>H335+I335</f>
        <v>5100000</v>
      </c>
      <c r="H335" s="267">
        <v>5100000</v>
      </c>
      <c r="I335" s="267">
        <v>0</v>
      </c>
      <c r="J335" s="1034" t="s">
        <v>539</v>
      </c>
    </row>
    <row r="336" spans="1:10" hidden="1">
      <c r="A336" s="1032"/>
      <c r="B336" s="1035"/>
      <c r="C336" s="1038"/>
      <c r="D336" s="266" t="s">
        <v>1</v>
      </c>
      <c r="E336" s="267"/>
      <c r="F336" s="274"/>
      <c r="G336" s="267">
        <f>H336+I336</f>
        <v>0</v>
      </c>
      <c r="H336" s="267"/>
      <c r="I336" s="267"/>
      <c r="J336" s="1035"/>
    </row>
    <row r="337" spans="1:10" hidden="1">
      <c r="A337" s="1033"/>
      <c r="B337" s="1036"/>
      <c r="C337" s="1039"/>
      <c r="D337" s="266" t="s">
        <v>2</v>
      </c>
      <c r="E337" s="267">
        <f>E335+E336</f>
        <v>9943765</v>
      </c>
      <c r="F337" s="267">
        <f>F335+F336</f>
        <v>4843765</v>
      </c>
      <c r="G337" s="267">
        <f>G335+G336</f>
        <v>5100000</v>
      </c>
      <c r="H337" s="267">
        <f>H335+H336</f>
        <v>5100000</v>
      </c>
      <c r="I337" s="267">
        <f>I335+I336</f>
        <v>0</v>
      </c>
      <c r="J337" s="1036"/>
    </row>
    <row r="338" spans="1:10" hidden="1">
      <c r="A338" s="1031" t="s">
        <v>200</v>
      </c>
      <c r="B338" s="1034" t="s">
        <v>548</v>
      </c>
      <c r="C338" s="1037" t="s">
        <v>549</v>
      </c>
      <c r="D338" s="266" t="s">
        <v>0</v>
      </c>
      <c r="E338" s="267">
        <v>16400000</v>
      </c>
      <c r="F338" s="274">
        <f>500000+13900000</f>
        <v>14400000</v>
      </c>
      <c r="G338" s="267">
        <f>H338+I338</f>
        <v>2000000</v>
      </c>
      <c r="H338" s="267">
        <v>2000000</v>
      </c>
      <c r="I338" s="267">
        <v>0</v>
      </c>
      <c r="J338" s="1034" t="s">
        <v>539</v>
      </c>
    </row>
    <row r="339" spans="1:10" hidden="1">
      <c r="A339" s="1032"/>
      <c r="B339" s="1035"/>
      <c r="C339" s="1038"/>
      <c r="D339" s="266" t="s">
        <v>1</v>
      </c>
      <c r="E339" s="267"/>
      <c r="F339" s="274"/>
      <c r="G339" s="267">
        <f>H339+I339</f>
        <v>0</v>
      </c>
      <c r="H339" s="267"/>
      <c r="I339" s="267"/>
      <c r="J339" s="1035"/>
    </row>
    <row r="340" spans="1:10" hidden="1">
      <c r="A340" s="1033"/>
      <c r="B340" s="1036"/>
      <c r="C340" s="1039"/>
      <c r="D340" s="266" t="s">
        <v>2</v>
      </c>
      <c r="E340" s="267">
        <f>E338+E339</f>
        <v>16400000</v>
      </c>
      <c r="F340" s="267">
        <f>F338+F339</f>
        <v>14400000</v>
      </c>
      <c r="G340" s="267">
        <f>G338+G339</f>
        <v>2000000</v>
      </c>
      <c r="H340" s="267">
        <f>H338+H339</f>
        <v>2000000</v>
      </c>
      <c r="I340" s="267">
        <f>I338+I339</f>
        <v>0</v>
      </c>
      <c r="J340" s="1036"/>
    </row>
    <row r="341" spans="1:10" hidden="1">
      <c r="A341" s="1031" t="s">
        <v>200</v>
      </c>
      <c r="B341" s="1034" t="s">
        <v>550</v>
      </c>
      <c r="C341" s="1037" t="s">
        <v>551</v>
      </c>
      <c r="D341" s="266" t="s">
        <v>0</v>
      </c>
      <c r="E341" s="267">
        <v>2540000</v>
      </c>
      <c r="F341" s="274">
        <v>0</v>
      </c>
      <c r="G341" s="267">
        <f>H341+I341</f>
        <v>1940000</v>
      </c>
      <c r="H341" s="267">
        <v>1940000</v>
      </c>
      <c r="I341" s="267">
        <v>0</v>
      </c>
      <c r="J341" s="1034" t="s">
        <v>539</v>
      </c>
    </row>
    <row r="342" spans="1:10" hidden="1">
      <c r="A342" s="1032"/>
      <c r="B342" s="1035"/>
      <c r="C342" s="1038"/>
      <c r="D342" s="266" t="s">
        <v>1</v>
      </c>
      <c r="E342" s="267"/>
      <c r="F342" s="274"/>
      <c r="G342" s="267">
        <f>H342+I342</f>
        <v>0</v>
      </c>
      <c r="H342" s="267"/>
      <c r="I342" s="267"/>
      <c r="J342" s="1035"/>
    </row>
    <row r="343" spans="1:10" hidden="1">
      <c r="A343" s="1033"/>
      <c r="B343" s="1036"/>
      <c r="C343" s="1039"/>
      <c r="D343" s="266" t="s">
        <v>2</v>
      </c>
      <c r="E343" s="267">
        <f>E341+E342</f>
        <v>2540000</v>
      </c>
      <c r="F343" s="267">
        <f>F341+F342</f>
        <v>0</v>
      </c>
      <c r="G343" s="267">
        <f>G341+G342</f>
        <v>1940000</v>
      </c>
      <c r="H343" s="267">
        <f>H341+H342</f>
        <v>1940000</v>
      </c>
      <c r="I343" s="267">
        <f>I341+I342</f>
        <v>0</v>
      </c>
      <c r="J343" s="1036"/>
    </row>
    <row r="344" spans="1:10" ht="15.75" customHeight="1">
      <c r="A344" s="1031" t="s">
        <v>200</v>
      </c>
      <c r="B344" s="1034" t="s">
        <v>552</v>
      </c>
      <c r="C344" s="1037" t="s">
        <v>549</v>
      </c>
      <c r="D344" s="266" t="s">
        <v>0</v>
      </c>
      <c r="E344" s="267">
        <v>13900000</v>
      </c>
      <c r="F344" s="274">
        <f>18450+174065</f>
        <v>192515</v>
      </c>
      <c r="G344" s="267">
        <f>H344+I344</f>
        <v>13707485</v>
      </c>
      <c r="H344" s="267">
        <v>12900000</v>
      </c>
      <c r="I344" s="267">
        <v>807485</v>
      </c>
      <c r="J344" s="1034" t="s">
        <v>539</v>
      </c>
    </row>
    <row r="345" spans="1:10" ht="15.75" customHeight="1">
      <c r="A345" s="1032"/>
      <c r="B345" s="1035"/>
      <c r="C345" s="1038"/>
      <c r="D345" s="266" t="s">
        <v>1</v>
      </c>
      <c r="E345" s="267">
        <v>-1700000</v>
      </c>
      <c r="F345" s="274">
        <v>-21545</v>
      </c>
      <c r="G345" s="267">
        <f>H345+I345</f>
        <v>-1678455</v>
      </c>
      <c r="H345" s="267">
        <v>-1700000</v>
      </c>
      <c r="I345" s="267">
        <v>21545</v>
      </c>
      <c r="J345" s="1035"/>
    </row>
    <row r="346" spans="1:10" ht="15.75" customHeight="1">
      <c r="A346" s="1033"/>
      <c r="B346" s="1036"/>
      <c r="C346" s="1039"/>
      <c r="D346" s="266" t="s">
        <v>2</v>
      </c>
      <c r="E346" s="267">
        <f>E344+E345</f>
        <v>12200000</v>
      </c>
      <c r="F346" s="267">
        <f>F344+F345</f>
        <v>170970</v>
      </c>
      <c r="G346" s="267">
        <f>G344+G345</f>
        <v>12029030</v>
      </c>
      <c r="H346" s="267">
        <f>H344+H345</f>
        <v>11200000</v>
      </c>
      <c r="I346" s="267">
        <f>I344+I345</f>
        <v>829030</v>
      </c>
      <c r="J346" s="1036"/>
    </row>
    <row r="347" spans="1:10" ht="14.85" customHeight="1">
      <c r="A347" s="1031" t="s">
        <v>200</v>
      </c>
      <c r="B347" s="1034" t="s">
        <v>553</v>
      </c>
      <c r="C347" s="1037" t="s">
        <v>547</v>
      </c>
      <c r="D347" s="266" t="s">
        <v>0</v>
      </c>
      <c r="E347" s="267">
        <v>3250000</v>
      </c>
      <c r="F347" s="274">
        <v>0</v>
      </c>
      <c r="G347" s="267">
        <f>H347+I347</f>
        <v>3250000</v>
      </c>
      <c r="H347" s="267">
        <v>3250000</v>
      </c>
      <c r="I347" s="267">
        <v>0</v>
      </c>
      <c r="J347" s="1034" t="s">
        <v>539</v>
      </c>
    </row>
    <row r="348" spans="1:10" ht="14.85" customHeight="1">
      <c r="A348" s="1032"/>
      <c r="B348" s="1035"/>
      <c r="C348" s="1038"/>
      <c r="D348" s="266" t="s">
        <v>1</v>
      </c>
      <c r="E348" s="267">
        <v>4368605</v>
      </c>
      <c r="F348" s="274"/>
      <c r="G348" s="267">
        <f>H348+I348</f>
        <v>4368605</v>
      </c>
      <c r="H348" s="267">
        <v>-381395</v>
      </c>
      <c r="I348" s="267">
        <v>4750000</v>
      </c>
      <c r="J348" s="1035"/>
    </row>
    <row r="349" spans="1:10" ht="14.85" customHeight="1">
      <c r="A349" s="1033"/>
      <c r="B349" s="1036"/>
      <c r="C349" s="1039"/>
      <c r="D349" s="266" t="s">
        <v>2</v>
      </c>
      <c r="E349" s="267">
        <f>E347+E348</f>
        <v>7618605</v>
      </c>
      <c r="F349" s="267">
        <f>F347+F348</f>
        <v>0</v>
      </c>
      <c r="G349" s="267">
        <f>G347+G348</f>
        <v>7618605</v>
      </c>
      <c r="H349" s="267">
        <f>H347+H348</f>
        <v>2868605</v>
      </c>
      <c r="I349" s="267">
        <f>I347+I348</f>
        <v>4750000</v>
      </c>
      <c r="J349" s="1036"/>
    </row>
    <row r="350" spans="1:10" ht="14.85" customHeight="1">
      <c r="A350" s="1031" t="s">
        <v>200</v>
      </c>
      <c r="B350" s="1034" t="s">
        <v>554</v>
      </c>
      <c r="C350" s="1037" t="s">
        <v>555</v>
      </c>
      <c r="D350" s="266" t="s">
        <v>0</v>
      </c>
      <c r="E350" s="267">
        <v>11538750</v>
      </c>
      <c r="F350" s="274">
        <v>0</v>
      </c>
      <c r="G350" s="267">
        <f>H350+I350</f>
        <v>11538750</v>
      </c>
      <c r="H350" s="267">
        <v>8720000</v>
      </c>
      <c r="I350" s="267">
        <v>2818750</v>
      </c>
      <c r="J350" s="1034" t="s">
        <v>539</v>
      </c>
    </row>
    <row r="351" spans="1:10" ht="14.85" customHeight="1">
      <c r="A351" s="1032"/>
      <c r="B351" s="1035"/>
      <c r="C351" s="1038"/>
      <c r="D351" s="266" t="s">
        <v>1</v>
      </c>
      <c r="E351" s="267"/>
      <c r="F351" s="274"/>
      <c r="G351" s="267">
        <f>H351+I351</f>
        <v>-8720000</v>
      </c>
      <c r="H351" s="267">
        <v>-8720000</v>
      </c>
      <c r="I351" s="267"/>
      <c r="J351" s="1035"/>
    </row>
    <row r="352" spans="1:10" ht="14.85" customHeight="1">
      <c r="A352" s="1033"/>
      <c r="B352" s="1036"/>
      <c r="C352" s="1039"/>
      <c r="D352" s="266" t="s">
        <v>2</v>
      </c>
      <c r="E352" s="267">
        <f>E350+E351</f>
        <v>11538750</v>
      </c>
      <c r="F352" s="267">
        <f>F350+F351</f>
        <v>0</v>
      </c>
      <c r="G352" s="267">
        <f>G350+G351</f>
        <v>2818750</v>
      </c>
      <c r="H352" s="267">
        <f>H350+H351</f>
        <v>0</v>
      </c>
      <c r="I352" s="267">
        <f>I350+I351</f>
        <v>2818750</v>
      </c>
      <c r="J352" s="1036"/>
    </row>
    <row r="353" spans="1:10" hidden="1">
      <c r="A353" s="1031" t="s">
        <v>200</v>
      </c>
      <c r="B353" s="1034" t="s">
        <v>556</v>
      </c>
      <c r="C353" s="1037" t="s">
        <v>545</v>
      </c>
      <c r="D353" s="266" t="s">
        <v>0</v>
      </c>
      <c r="E353" s="267">
        <v>30000000</v>
      </c>
      <c r="F353" s="274">
        <v>0</v>
      </c>
      <c r="G353" s="267">
        <f>H353+I353</f>
        <v>15000000</v>
      </c>
      <c r="H353" s="267">
        <v>7500000</v>
      </c>
      <c r="I353" s="267">
        <v>7500000</v>
      </c>
      <c r="J353" s="1034" t="s">
        <v>539</v>
      </c>
    </row>
    <row r="354" spans="1:10" hidden="1">
      <c r="A354" s="1032"/>
      <c r="B354" s="1035"/>
      <c r="C354" s="1038"/>
      <c r="D354" s="266" t="s">
        <v>1</v>
      </c>
      <c r="E354" s="267"/>
      <c r="F354" s="274"/>
      <c r="G354" s="267">
        <f>H354+I354</f>
        <v>0</v>
      </c>
      <c r="H354" s="267"/>
      <c r="I354" s="267"/>
      <c r="J354" s="1035"/>
    </row>
    <row r="355" spans="1:10" hidden="1">
      <c r="A355" s="1033"/>
      <c r="B355" s="1036"/>
      <c r="C355" s="1039"/>
      <c r="D355" s="266" t="s">
        <v>2</v>
      </c>
      <c r="E355" s="267">
        <f>E353+E354</f>
        <v>30000000</v>
      </c>
      <c r="F355" s="267">
        <f>F353+F354</f>
        <v>0</v>
      </c>
      <c r="G355" s="267">
        <f>G353+G354</f>
        <v>15000000</v>
      </c>
      <c r="H355" s="267">
        <f>H353+H354</f>
        <v>7500000</v>
      </c>
      <c r="I355" s="267">
        <f>I353+I354</f>
        <v>7500000</v>
      </c>
      <c r="J355" s="1036"/>
    </row>
    <row r="356" spans="1:10" hidden="1">
      <c r="A356" s="1031" t="s">
        <v>200</v>
      </c>
      <c r="B356" s="1034" t="s">
        <v>557</v>
      </c>
      <c r="C356" s="1037" t="s">
        <v>547</v>
      </c>
      <c r="D356" s="266" t="s">
        <v>0</v>
      </c>
      <c r="E356" s="267">
        <v>1500000</v>
      </c>
      <c r="F356" s="274">
        <v>0</v>
      </c>
      <c r="G356" s="267">
        <f>H356+I356</f>
        <v>1500000</v>
      </c>
      <c r="H356" s="267">
        <v>1500000</v>
      </c>
      <c r="I356" s="267">
        <v>0</v>
      </c>
      <c r="J356" s="1034" t="s">
        <v>539</v>
      </c>
    </row>
    <row r="357" spans="1:10" hidden="1">
      <c r="A357" s="1032"/>
      <c r="B357" s="1035"/>
      <c r="C357" s="1038"/>
      <c r="D357" s="266" t="s">
        <v>1</v>
      </c>
      <c r="E357" s="267"/>
      <c r="F357" s="274"/>
      <c r="G357" s="267">
        <f>H357+I357</f>
        <v>0</v>
      </c>
      <c r="H357" s="267"/>
      <c r="I357" s="267"/>
      <c r="J357" s="1035"/>
    </row>
    <row r="358" spans="1:10" hidden="1">
      <c r="A358" s="1033"/>
      <c r="B358" s="1036"/>
      <c r="C358" s="1039"/>
      <c r="D358" s="266" t="s">
        <v>2</v>
      </c>
      <c r="E358" s="267">
        <f>E356+E357</f>
        <v>1500000</v>
      </c>
      <c r="F358" s="267">
        <f>F356+F357</f>
        <v>0</v>
      </c>
      <c r="G358" s="267">
        <f>G356+G357</f>
        <v>1500000</v>
      </c>
      <c r="H358" s="267">
        <f>H356+H357</f>
        <v>1500000</v>
      </c>
      <c r="I358" s="267">
        <f>I356+I357</f>
        <v>0</v>
      </c>
      <c r="J358" s="1036"/>
    </row>
    <row r="359" spans="1:10" ht="14.85" customHeight="1">
      <c r="A359" s="1031" t="s">
        <v>200</v>
      </c>
      <c r="B359" s="1034" t="s">
        <v>558</v>
      </c>
      <c r="C359" s="1037" t="s">
        <v>549</v>
      </c>
      <c r="D359" s="266" t="s">
        <v>0</v>
      </c>
      <c r="E359" s="267">
        <v>5038588</v>
      </c>
      <c r="F359" s="274">
        <f>294142+1136868+3107578</f>
        <v>4538588</v>
      </c>
      <c r="G359" s="267">
        <f>H359+I359</f>
        <v>500000</v>
      </c>
      <c r="H359" s="267">
        <v>500000</v>
      </c>
      <c r="I359" s="267">
        <v>0</v>
      </c>
      <c r="J359" s="1034" t="s">
        <v>539</v>
      </c>
    </row>
    <row r="360" spans="1:10" ht="14.85" customHeight="1">
      <c r="A360" s="1032"/>
      <c r="B360" s="1035"/>
      <c r="C360" s="1038"/>
      <c r="D360" s="266" t="s">
        <v>1</v>
      </c>
      <c r="E360" s="267"/>
      <c r="F360" s="274">
        <v>-1052228</v>
      </c>
      <c r="G360" s="267">
        <f>H360+I360</f>
        <v>1052228</v>
      </c>
      <c r="H360" s="267">
        <v>1052228</v>
      </c>
      <c r="I360" s="267"/>
      <c r="J360" s="1035"/>
    </row>
    <row r="361" spans="1:10" ht="14.85" customHeight="1">
      <c r="A361" s="1033"/>
      <c r="B361" s="1036"/>
      <c r="C361" s="1039"/>
      <c r="D361" s="266" t="s">
        <v>2</v>
      </c>
      <c r="E361" s="267">
        <f>E359+E360</f>
        <v>5038588</v>
      </c>
      <c r="F361" s="267">
        <f>F359+F360</f>
        <v>3486360</v>
      </c>
      <c r="G361" s="267">
        <f>G359+G360</f>
        <v>1552228</v>
      </c>
      <c r="H361" s="267">
        <f>H359+H360</f>
        <v>1552228</v>
      </c>
      <c r="I361" s="267">
        <f>I359+I360</f>
        <v>0</v>
      </c>
      <c r="J361" s="1036"/>
    </row>
    <row r="362" spans="1:10" ht="14.85" customHeight="1">
      <c r="A362" s="1031" t="s">
        <v>200</v>
      </c>
      <c r="B362" s="1034" t="s">
        <v>559</v>
      </c>
      <c r="C362" s="1037" t="s">
        <v>551</v>
      </c>
      <c r="D362" s="266" t="s">
        <v>0</v>
      </c>
      <c r="E362" s="267">
        <v>500000</v>
      </c>
      <c r="F362" s="274">
        <v>0</v>
      </c>
      <c r="G362" s="267">
        <f>H362+I362</f>
        <v>250000</v>
      </c>
      <c r="H362" s="267">
        <v>250000</v>
      </c>
      <c r="I362" s="267">
        <v>0</v>
      </c>
      <c r="J362" s="1034" t="s">
        <v>539</v>
      </c>
    </row>
    <row r="363" spans="1:10" ht="14.85" customHeight="1">
      <c r="A363" s="1032"/>
      <c r="B363" s="1035"/>
      <c r="C363" s="1038"/>
      <c r="D363" s="266" t="s">
        <v>1</v>
      </c>
      <c r="E363" s="267"/>
      <c r="F363" s="274"/>
      <c r="G363" s="267">
        <f>H363+I363</f>
        <v>-250000</v>
      </c>
      <c r="H363" s="267">
        <v>-250000</v>
      </c>
      <c r="I363" s="267"/>
      <c r="J363" s="1035"/>
    </row>
    <row r="364" spans="1:10" ht="14.85" customHeight="1">
      <c r="A364" s="1033"/>
      <c r="B364" s="1036"/>
      <c r="C364" s="1039"/>
      <c r="D364" s="266" t="s">
        <v>2</v>
      </c>
      <c r="E364" s="267">
        <f>E362+E363</f>
        <v>500000</v>
      </c>
      <c r="F364" s="267">
        <f>F362+F363</f>
        <v>0</v>
      </c>
      <c r="G364" s="267">
        <f>G362+G363</f>
        <v>0</v>
      </c>
      <c r="H364" s="267">
        <f>H362+H363</f>
        <v>0</v>
      </c>
      <c r="I364" s="267">
        <f>I362+I363</f>
        <v>0</v>
      </c>
      <c r="J364" s="1036"/>
    </row>
    <row r="365" spans="1:10" hidden="1">
      <c r="A365" s="1031" t="s">
        <v>200</v>
      </c>
      <c r="B365" s="1034" t="s">
        <v>560</v>
      </c>
      <c r="C365" s="1037" t="s">
        <v>561</v>
      </c>
      <c r="D365" s="266" t="s">
        <v>0</v>
      </c>
      <c r="E365" s="267">
        <v>7200000</v>
      </c>
      <c r="F365" s="274">
        <v>0</v>
      </c>
      <c r="G365" s="267">
        <f>H365+I365</f>
        <v>2600000</v>
      </c>
      <c r="H365" s="267">
        <v>2600000</v>
      </c>
      <c r="I365" s="267">
        <v>0</v>
      </c>
      <c r="J365" s="1034" t="s">
        <v>539</v>
      </c>
    </row>
    <row r="366" spans="1:10" hidden="1">
      <c r="A366" s="1032"/>
      <c r="B366" s="1035"/>
      <c r="C366" s="1038"/>
      <c r="D366" s="266" t="s">
        <v>1</v>
      </c>
      <c r="E366" s="267"/>
      <c r="F366" s="274"/>
      <c r="G366" s="267">
        <f>H366+I366</f>
        <v>0</v>
      </c>
      <c r="H366" s="267"/>
      <c r="I366" s="267"/>
      <c r="J366" s="1035"/>
    </row>
    <row r="367" spans="1:10" hidden="1">
      <c r="A367" s="1033"/>
      <c r="B367" s="1036"/>
      <c r="C367" s="1039"/>
      <c r="D367" s="266" t="s">
        <v>2</v>
      </c>
      <c r="E367" s="267">
        <f>E365+E366</f>
        <v>7200000</v>
      </c>
      <c r="F367" s="267">
        <f>F365+F366</f>
        <v>0</v>
      </c>
      <c r="G367" s="267">
        <f>G365+G366</f>
        <v>2600000</v>
      </c>
      <c r="H367" s="267">
        <f>H365+H366</f>
        <v>2600000</v>
      </c>
      <c r="I367" s="267">
        <f>I365+I366</f>
        <v>0</v>
      </c>
      <c r="J367" s="1036"/>
    </row>
    <row r="368" spans="1:10" ht="14.85" customHeight="1">
      <c r="A368" s="1031" t="s">
        <v>200</v>
      </c>
      <c r="B368" s="1034" t="s">
        <v>562</v>
      </c>
      <c r="C368" s="1037" t="s">
        <v>563</v>
      </c>
      <c r="D368" s="266" t="s">
        <v>0</v>
      </c>
      <c r="E368" s="267">
        <v>5128928</v>
      </c>
      <c r="F368" s="274">
        <v>278534</v>
      </c>
      <c r="G368" s="267">
        <f>H368+I368</f>
        <v>3807050</v>
      </c>
      <c r="H368" s="267">
        <v>3082170</v>
      </c>
      <c r="I368" s="267">
        <v>724880</v>
      </c>
      <c r="J368" s="1034" t="s">
        <v>539</v>
      </c>
    </row>
    <row r="369" spans="1:10" ht="14.85" customHeight="1">
      <c r="A369" s="1032"/>
      <c r="B369" s="1035"/>
      <c r="C369" s="1038"/>
      <c r="D369" s="266" t="s">
        <v>1</v>
      </c>
      <c r="E369" s="267">
        <v>-2055936</v>
      </c>
      <c r="F369" s="274">
        <v>-10991</v>
      </c>
      <c r="G369" s="267">
        <f>H369+I369</f>
        <v>-2823785</v>
      </c>
      <c r="H369" s="267">
        <v>-2215140</v>
      </c>
      <c r="I369" s="267">
        <v>-608645</v>
      </c>
      <c r="J369" s="1035"/>
    </row>
    <row r="370" spans="1:10" ht="14.85" customHeight="1">
      <c r="A370" s="1033"/>
      <c r="B370" s="1036"/>
      <c r="C370" s="1039"/>
      <c r="D370" s="266" t="s">
        <v>2</v>
      </c>
      <c r="E370" s="267">
        <f>E368+E369</f>
        <v>3072992</v>
      </c>
      <c r="F370" s="267">
        <f>F368+F369</f>
        <v>267543</v>
      </c>
      <c r="G370" s="267">
        <f>G368+G369</f>
        <v>983265</v>
      </c>
      <c r="H370" s="267">
        <f>H368+H369</f>
        <v>867030</v>
      </c>
      <c r="I370" s="267">
        <f>I368+I369</f>
        <v>116235</v>
      </c>
      <c r="J370" s="1036"/>
    </row>
    <row r="371" spans="1:10" ht="14.85" customHeight="1">
      <c r="A371" s="1031" t="s">
        <v>200</v>
      </c>
      <c r="B371" s="1034" t="s">
        <v>564</v>
      </c>
      <c r="C371" s="1037" t="s">
        <v>543</v>
      </c>
      <c r="D371" s="266" t="s">
        <v>0</v>
      </c>
      <c r="E371" s="267">
        <v>553483</v>
      </c>
      <c r="F371" s="274">
        <f>24600+49200</f>
        <v>73800</v>
      </c>
      <c r="G371" s="267">
        <f>H371+I371</f>
        <v>479683</v>
      </c>
      <c r="H371" s="267">
        <v>479683</v>
      </c>
      <c r="I371" s="267">
        <v>0</v>
      </c>
      <c r="J371" s="1034" t="s">
        <v>539</v>
      </c>
    </row>
    <row r="372" spans="1:10" ht="14.85" customHeight="1">
      <c r="A372" s="1032"/>
      <c r="B372" s="1035"/>
      <c r="C372" s="1038"/>
      <c r="D372" s="266" t="s">
        <v>1</v>
      </c>
      <c r="E372" s="267"/>
      <c r="F372" s="274"/>
      <c r="G372" s="267">
        <f>H372+I372</f>
        <v>-479683</v>
      </c>
      <c r="H372" s="267">
        <v>-479683</v>
      </c>
      <c r="I372" s="267"/>
      <c r="J372" s="1035"/>
    </row>
    <row r="373" spans="1:10" ht="14.85" customHeight="1">
      <c r="A373" s="1033"/>
      <c r="B373" s="1036"/>
      <c r="C373" s="1039"/>
      <c r="D373" s="266" t="s">
        <v>2</v>
      </c>
      <c r="E373" s="267">
        <f>E371+E372</f>
        <v>553483</v>
      </c>
      <c r="F373" s="267">
        <f>F371+F372</f>
        <v>73800</v>
      </c>
      <c r="G373" s="267">
        <f>G371+G372</f>
        <v>0</v>
      </c>
      <c r="H373" s="267">
        <f>H371+H372</f>
        <v>0</v>
      </c>
      <c r="I373" s="267">
        <f>I371+I372</f>
        <v>0</v>
      </c>
      <c r="J373" s="1036"/>
    </row>
    <row r="374" spans="1:10" ht="18" customHeight="1">
      <c r="A374" s="1031" t="s">
        <v>200</v>
      </c>
      <c r="B374" s="1034" t="s">
        <v>565</v>
      </c>
      <c r="C374" s="1037" t="s">
        <v>566</v>
      </c>
      <c r="D374" s="266" t="s">
        <v>0</v>
      </c>
      <c r="E374" s="267">
        <v>100710940</v>
      </c>
      <c r="F374" s="274">
        <v>289051</v>
      </c>
      <c r="G374" s="267">
        <f>H374+I374</f>
        <v>421889</v>
      </c>
      <c r="H374" s="267">
        <v>105472</v>
      </c>
      <c r="I374" s="267">
        <v>316417</v>
      </c>
      <c r="J374" s="1034" t="s">
        <v>539</v>
      </c>
    </row>
    <row r="375" spans="1:10" ht="18" customHeight="1">
      <c r="A375" s="1032"/>
      <c r="B375" s="1035"/>
      <c r="C375" s="1038"/>
      <c r="D375" s="266" t="s">
        <v>1</v>
      </c>
      <c r="E375" s="267"/>
      <c r="F375" s="274">
        <v>-289051</v>
      </c>
      <c r="G375" s="267">
        <f>H375+I375</f>
        <v>111316</v>
      </c>
      <c r="H375" s="267">
        <v>-105472</v>
      </c>
      <c r="I375" s="267">
        <v>216788</v>
      </c>
      <c r="J375" s="1035"/>
    </row>
    <row r="376" spans="1:10" ht="18" customHeight="1">
      <c r="A376" s="1033"/>
      <c r="B376" s="1036"/>
      <c r="C376" s="1039"/>
      <c r="D376" s="266" t="s">
        <v>2</v>
      </c>
      <c r="E376" s="267">
        <f>E374+E375</f>
        <v>100710940</v>
      </c>
      <c r="F376" s="267">
        <f>F374+F375</f>
        <v>0</v>
      </c>
      <c r="G376" s="267">
        <f>G374+G375</f>
        <v>533205</v>
      </c>
      <c r="H376" s="267">
        <f>H374+H375</f>
        <v>0</v>
      </c>
      <c r="I376" s="267">
        <f>I374+I375</f>
        <v>533205</v>
      </c>
      <c r="J376" s="1036"/>
    </row>
    <row r="377" spans="1:10" hidden="1">
      <c r="A377" s="1031" t="s">
        <v>200</v>
      </c>
      <c r="B377" s="1034" t="s">
        <v>567</v>
      </c>
      <c r="C377" s="1037" t="s">
        <v>568</v>
      </c>
      <c r="D377" s="266" t="s">
        <v>0</v>
      </c>
      <c r="E377" s="267">
        <v>6621586</v>
      </c>
      <c r="F377" s="274">
        <f>17159+34317+120110</f>
        <v>171586</v>
      </c>
      <c r="G377" s="267">
        <f>H377+I377</f>
        <v>1000000</v>
      </c>
      <c r="H377" s="267">
        <v>1000000</v>
      </c>
      <c r="I377" s="267">
        <v>0</v>
      </c>
      <c r="J377" s="1034" t="s">
        <v>539</v>
      </c>
    </row>
    <row r="378" spans="1:10" hidden="1">
      <c r="A378" s="1032"/>
      <c r="B378" s="1035"/>
      <c r="C378" s="1038"/>
      <c r="D378" s="266" t="s">
        <v>1</v>
      </c>
      <c r="E378" s="267"/>
      <c r="F378" s="274"/>
      <c r="G378" s="267">
        <f>H378+I378</f>
        <v>0</v>
      </c>
      <c r="H378" s="267"/>
      <c r="I378" s="267"/>
      <c r="J378" s="1035"/>
    </row>
    <row r="379" spans="1:10" hidden="1">
      <c r="A379" s="1033"/>
      <c r="B379" s="1036"/>
      <c r="C379" s="1039"/>
      <c r="D379" s="266" t="s">
        <v>2</v>
      </c>
      <c r="E379" s="267">
        <f>E377+E378</f>
        <v>6621586</v>
      </c>
      <c r="F379" s="267">
        <f>F377+F378</f>
        <v>171586</v>
      </c>
      <c r="G379" s="267">
        <f>G377+G378</f>
        <v>1000000</v>
      </c>
      <c r="H379" s="267">
        <f>H377+H378</f>
        <v>1000000</v>
      </c>
      <c r="I379" s="267">
        <f>I377+I378</f>
        <v>0</v>
      </c>
      <c r="J379" s="1036"/>
    </row>
    <row r="380" spans="1:10" ht="14.85" customHeight="1">
      <c r="A380" s="1031" t="s">
        <v>200</v>
      </c>
      <c r="B380" s="1034" t="s">
        <v>569</v>
      </c>
      <c r="C380" s="1037" t="s">
        <v>570</v>
      </c>
      <c r="D380" s="266" t="s">
        <v>0</v>
      </c>
      <c r="E380" s="267">
        <v>3500000</v>
      </c>
      <c r="F380" s="274">
        <v>0</v>
      </c>
      <c r="G380" s="267">
        <f>H380+I380</f>
        <v>2109669</v>
      </c>
      <c r="H380" s="267">
        <v>2109669</v>
      </c>
      <c r="I380" s="267">
        <v>0</v>
      </c>
      <c r="J380" s="1034" t="s">
        <v>539</v>
      </c>
    </row>
    <row r="381" spans="1:10" ht="14.85" customHeight="1">
      <c r="A381" s="1032"/>
      <c r="B381" s="1035"/>
      <c r="C381" s="1038"/>
      <c r="D381" s="266" t="s">
        <v>1</v>
      </c>
      <c r="E381" s="267"/>
      <c r="F381" s="274"/>
      <c r="G381" s="267">
        <f>H381+I381</f>
        <v>-1750000</v>
      </c>
      <c r="H381" s="267">
        <v>-1750000</v>
      </c>
      <c r="I381" s="267"/>
      <c r="J381" s="1035"/>
    </row>
    <row r="382" spans="1:10" ht="14.85" customHeight="1">
      <c r="A382" s="1033"/>
      <c r="B382" s="1036"/>
      <c r="C382" s="1039"/>
      <c r="D382" s="266" t="s">
        <v>2</v>
      </c>
      <c r="E382" s="267">
        <f>E380+E381</f>
        <v>3500000</v>
      </c>
      <c r="F382" s="267">
        <f>F380+F381</f>
        <v>0</v>
      </c>
      <c r="G382" s="267">
        <f>G380+G381</f>
        <v>359669</v>
      </c>
      <c r="H382" s="267">
        <f>H380+H381</f>
        <v>359669</v>
      </c>
      <c r="I382" s="267">
        <f>I380+I381</f>
        <v>0</v>
      </c>
      <c r="J382" s="1036"/>
    </row>
    <row r="383" spans="1:10" hidden="1">
      <c r="A383" s="1031" t="s">
        <v>200</v>
      </c>
      <c r="B383" s="1034" t="s">
        <v>571</v>
      </c>
      <c r="C383" s="1037" t="s">
        <v>572</v>
      </c>
      <c r="D383" s="266" t="s">
        <v>0</v>
      </c>
      <c r="E383" s="267">
        <v>126000000</v>
      </c>
      <c r="F383" s="274">
        <v>0</v>
      </c>
      <c r="G383" s="267">
        <f>H383+I383</f>
        <v>2000000</v>
      </c>
      <c r="H383" s="267">
        <v>800000</v>
      </c>
      <c r="I383" s="267">
        <v>1200000</v>
      </c>
      <c r="J383" s="1034" t="s">
        <v>539</v>
      </c>
    </row>
    <row r="384" spans="1:10" hidden="1">
      <c r="A384" s="1032"/>
      <c r="B384" s="1035"/>
      <c r="C384" s="1038"/>
      <c r="D384" s="266" t="s">
        <v>1</v>
      </c>
      <c r="E384" s="267"/>
      <c r="F384" s="274"/>
      <c r="G384" s="267">
        <f>H384+I384</f>
        <v>0</v>
      </c>
      <c r="H384" s="267"/>
      <c r="I384" s="267"/>
      <c r="J384" s="1035"/>
    </row>
    <row r="385" spans="1:10" hidden="1">
      <c r="A385" s="1033"/>
      <c r="B385" s="1036"/>
      <c r="C385" s="1039"/>
      <c r="D385" s="266" t="s">
        <v>2</v>
      </c>
      <c r="E385" s="267">
        <f>E383+E384</f>
        <v>126000000</v>
      </c>
      <c r="F385" s="267">
        <f>F383+F384</f>
        <v>0</v>
      </c>
      <c r="G385" s="267">
        <f>G383+G384</f>
        <v>2000000</v>
      </c>
      <c r="H385" s="267">
        <f>H383+H384</f>
        <v>800000</v>
      </c>
      <c r="I385" s="267">
        <f>I383+I384</f>
        <v>1200000</v>
      </c>
      <c r="J385" s="1036"/>
    </row>
    <row r="386" spans="1:10" hidden="1">
      <c r="A386" s="1031" t="s">
        <v>200</v>
      </c>
      <c r="B386" s="1034" t="s">
        <v>573</v>
      </c>
      <c r="C386" s="1037" t="s">
        <v>570</v>
      </c>
      <c r="D386" s="266" t="s">
        <v>0</v>
      </c>
      <c r="E386" s="267">
        <v>64000000</v>
      </c>
      <c r="F386" s="274">
        <v>0</v>
      </c>
      <c r="G386" s="267">
        <f>H386+I386</f>
        <v>1000000</v>
      </c>
      <c r="H386" s="267">
        <v>500000</v>
      </c>
      <c r="I386" s="267">
        <v>500000</v>
      </c>
      <c r="J386" s="1034" t="s">
        <v>539</v>
      </c>
    </row>
    <row r="387" spans="1:10" hidden="1">
      <c r="A387" s="1032"/>
      <c r="B387" s="1035"/>
      <c r="C387" s="1038"/>
      <c r="D387" s="266" t="s">
        <v>1</v>
      </c>
      <c r="E387" s="267"/>
      <c r="F387" s="274"/>
      <c r="G387" s="267">
        <f>H387+I387</f>
        <v>0</v>
      </c>
      <c r="H387" s="267"/>
      <c r="I387" s="267"/>
      <c r="J387" s="1035"/>
    </row>
    <row r="388" spans="1:10" hidden="1">
      <c r="A388" s="1033"/>
      <c r="B388" s="1036"/>
      <c r="C388" s="1039"/>
      <c r="D388" s="266" t="s">
        <v>2</v>
      </c>
      <c r="E388" s="267">
        <f>E386+E387</f>
        <v>64000000</v>
      </c>
      <c r="F388" s="267">
        <f>F386+F387</f>
        <v>0</v>
      </c>
      <c r="G388" s="267">
        <f>G386+G387</f>
        <v>1000000</v>
      </c>
      <c r="H388" s="267">
        <f>H386+H387</f>
        <v>500000</v>
      </c>
      <c r="I388" s="267">
        <f>I386+I387</f>
        <v>500000</v>
      </c>
      <c r="J388" s="1036"/>
    </row>
    <row r="389" spans="1:10" ht="14.85" customHeight="1">
      <c r="A389" s="1031" t="s">
        <v>200</v>
      </c>
      <c r="B389" s="1034" t="s">
        <v>574</v>
      </c>
      <c r="C389" s="1037" t="s">
        <v>572</v>
      </c>
      <c r="D389" s="266" t="s">
        <v>0</v>
      </c>
      <c r="E389" s="267">
        <v>3198893</v>
      </c>
      <c r="F389" s="274">
        <v>0</v>
      </c>
      <c r="G389" s="267">
        <f>H389+I389</f>
        <v>1788893</v>
      </c>
      <c r="H389" s="267">
        <v>1500000</v>
      </c>
      <c r="I389" s="267">
        <v>288893</v>
      </c>
      <c r="J389" s="1034" t="s">
        <v>539</v>
      </c>
    </row>
    <row r="390" spans="1:10" ht="14.85" customHeight="1">
      <c r="A390" s="1032"/>
      <c r="B390" s="1035"/>
      <c r="C390" s="1038"/>
      <c r="D390" s="266" t="s">
        <v>1</v>
      </c>
      <c r="E390" s="267">
        <v>96293</v>
      </c>
      <c r="F390" s="274"/>
      <c r="G390" s="267">
        <f>H390+I390</f>
        <v>-1211114</v>
      </c>
      <c r="H390" s="267">
        <v>-1307407</v>
      </c>
      <c r="I390" s="267">
        <v>96293</v>
      </c>
      <c r="J390" s="1035"/>
    </row>
    <row r="391" spans="1:10" ht="14.85" customHeight="1">
      <c r="A391" s="1033"/>
      <c r="B391" s="1036"/>
      <c r="C391" s="1039"/>
      <c r="D391" s="266" t="s">
        <v>2</v>
      </c>
      <c r="E391" s="267">
        <f>E389+E390</f>
        <v>3295186</v>
      </c>
      <c r="F391" s="267">
        <f>F389+F390</f>
        <v>0</v>
      </c>
      <c r="G391" s="267">
        <f>G389+G390</f>
        <v>577779</v>
      </c>
      <c r="H391" s="267">
        <f>H389+H390</f>
        <v>192593</v>
      </c>
      <c r="I391" s="267">
        <f>I389+I390</f>
        <v>385186</v>
      </c>
      <c r="J391" s="1036"/>
    </row>
    <row r="392" spans="1:10" ht="14.25" customHeight="1">
      <c r="A392" s="1031" t="s">
        <v>200</v>
      </c>
      <c r="B392" s="1034" t="s">
        <v>575</v>
      </c>
      <c r="C392" s="1037" t="s">
        <v>572</v>
      </c>
      <c r="D392" s="266" t="s">
        <v>0</v>
      </c>
      <c r="E392" s="267">
        <v>0</v>
      </c>
      <c r="F392" s="274">
        <v>0</v>
      </c>
      <c r="G392" s="267">
        <f>H392+I392</f>
        <v>0</v>
      </c>
      <c r="H392" s="267">
        <v>0</v>
      </c>
      <c r="I392" s="267">
        <v>0</v>
      </c>
      <c r="J392" s="1034" t="s">
        <v>539</v>
      </c>
    </row>
    <row r="393" spans="1:10" ht="14.25" customHeight="1">
      <c r="A393" s="1032"/>
      <c r="B393" s="1035"/>
      <c r="C393" s="1038"/>
      <c r="D393" s="266" t="s">
        <v>1</v>
      </c>
      <c r="E393" s="267">
        <v>2615480</v>
      </c>
      <c r="F393" s="274"/>
      <c r="G393" s="267">
        <f>H393+I393</f>
        <v>313650</v>
      </c>
      <c r="H393" s="267">
        <v>104550</v>
      </c>
      <c r="I393" s="267">
        <v>209100</v>
      </c>
      <c r="J393" s="1035"/>
    </row>
    <row r="394" spans="1:10" ht="14.25" customHeight="1">
      <c r="A394" s="1033"/>
      <c r="B394" s="1036"/>
      <c r="C394" s="1039"/>
      <c r="D394" s="266" t="s">
        <v>2</v>
      </c>
      <c r="E394" s="267">
        <f>E392+E393</f>
        <v>2615480</v>
      </c>
      <c r="F394" s="267">
        <f>F392+F393</f>
        <v>0</v>
      </c>
      <c r="G394" s="267">
        <f>G392+G393</f>
        <v>313650</v>
      </c>
      <c r="H394" s="267">
        <f>H392+H393</f>
        <v>104550</v>
      </c>
      <c r="I394" s="267">
        <f>I392+I393</f>
        <v>209100</v>
      </c>
      <c r="J394" s="1036"/>
    </row>
    <row r="395" spans="1:10" ht="14.25" customHeight="1">
      <c r="A395" s="1031" t="s">
        <v>200</v>
      </c>
      <c r="B395" s="1034" t="s">
        <v>576</v>
      </c>
      <c r="C395" s="1037" t="s">
        <v>577</v>
      </c>
      <c r="D395" s="266" t="s">
        <v>0</v>
      </c>
      <c r="E395" s="267">
        <v>0</v>
      </c>
      <c r="F395" s="274">
        <v>0</v>
      </c>
      <c r="G395" s="267">
        <f>H395+I395</f>
        <v>0</v>
      </c>
      <c r="H395" s="267">
        <v>0</v>
      </c>
      <c r="I395" s="267">
        <v>0</v>
      </c>
      <c r="J395" s="1034" t="s">
        <v>539</v>
      </c>
    </row>
    <row r="396" spans="1:10" ht="14.25" customHeight="1">
      <c r="A396" s="1032"/>
      <c r="B396" s="1035"/>
      <c r="C396" s="1038"/>
      <c r="D396" s="266" t="s">
        <v>1</v>
      </c>
      <c r="E396" s="267">
        <v>10091320</v>
      </c>
      <c r="F396" s="274"/>
      <c r="G396" s="267">
        <f>H396+I396</f>
        <v>487080</v>
      </c>
      <c r="H396" s="267">
        <v>210330</v>
      </c>
      <c r="I396" s="267">
        <v>276750</v>
      </c>
      <c r="J396" s="1035"/>
    </row>
    <row r="397" spans="1:10" ht="14.25" customHeight="1">
      <c r="A397" s="1033"/>
      <c r="B397" s="1036"/>
      <c r="C397" s="1039"/>
      <c r="D397" s="266" t="s">
        <v>2</v>
      </c>
      <c r="E397" s="267">
        <f>E395+E396</f>
        <v>10091320</v>
      </c>
      <c r="F397" s="267">
        <f>F395+F396</f>
        <v>0</v>
      </c>
      <c r="G397" s="267">
        <f>G395+G396</f>
        <v>487080</v>
      </c>
      <c r="H397" s="267">
        <f>H395+H396</f>
        <v>210330</v>
      </c>
      <c r="I397" s="267">
        <f>I395+I396</f>
        <v>276750</v>
      </c>
      <c r="J397" s="1036"/>
    </row>
    <row r="398" spans="1:10" ht="14.25" customHeight="1">
      <c r="A398" s="1031" t="s">
        <v>200</v>
      </c>
      <c r="B398" s="1034" t="s">
        <v>578</v>
      </c>
      <c r="C398" s="1037" t="s">
        <v>577</v>
      </c>
      <c r="D398" s="266" t="s">
        <v>0</v>
      </c>
      <c r="E398" s="267">
        <v>0</v>
      </c>
      <c r="F398" s="274">
        <v>0</v>
      </c>
      <c r="G398" s="267">
        <f>H398+I398</f>
        <v>0</v>
      </c>
      <c r="H398" s="267">
        <v>0</v>
      </c>
      <c r="I398" s="267">
        <v>0</v>
      </c>
      <c r="J398" s="1034" t="s">
        <v>539</v>
      </c>
    </row>
    <row r="399" spans="1:10" ht="14.25" customHeight="1">
      <c r="A399" s="1032"/>
      <c r="B399" s="1035"/>
      <c r="C399" s="1038"/>
      <c r="D399" s="266" t="s">
        <v>1</v>
      </c>
      <c r="E399" s="267">
        <v>3825311</v>
      </c>
      <c r="F399" s="274"/>
      <c r="G399" s="267">
        <f>H399+I399</f>
        <v>482567</v>
      </c>
      <c r="H399" s="267">
        <v>198437</v>
      </c>
      <c r="I399" s="267">
        <v>284130</v>
      </c>
      <c r="J399" s="1035"/>
    </row>
    <row r="400" spans="1:10" ht="14.25" customHeight="1">
      <c r="A400" s="1033"/>
      <c r="B400" s="1036"/>
      <c r="C400" s="1039"/>
      <c r="D400" s="266" t="s">
        <v>2</v>
      </c>
      <c r="E400" s="267">
        <f>E398+E399</f>
        <v>3825311</v>
      </c>
      <c r="F400" s="267">
        <f>F398+F399</f>
        <v>0</v>
      </c>
      <c r="G400" s="267">
        <f>G398+G399</f>
        <v>482567</v>
      </c>
      <c r="H400" s="267">
        <f>H398+H399</f>
        <v>198437</v>
      </c>
      <c r="I400" s="267">
        <f>I398+I399</f>
        <v>284130</v>
      </c>
      <c r="J400" s="1036"/>
    </row>
    <row r="401" spans="1:10" ht="14.25" customHeight="1">
      <c r="A401" s="1031" t="s">
        <v>200</v>
      </c>
      <c r="B401" s="1034" t="s">
        <v>579</v>
      </c>
      <c r="C401" s="1037" t="s">
        <v>577</v>
      </c>
      <c r="D401" s="266" t="s">
        <v>0</v>
      </c>
      <c r="E401" s="267">
        <v>0</v>
      </c>
      <c r="F401" s="274">
        <v>0</v>
      </c>
      <c r="G401" s="267">
        <f>H401+I401</f>
        <v>0</v>
      </c>
      <c r="H401" s="267">
        <v>0</v>
      </c>
      <c r="I401" s="267">
        <v>0</v>
      </c>
      <c r="J401" s="1034" t="s">
        <v>539</v>
      </c>
    </row>
    <row r="402" spans="1:10" ht="14.25" customHeight="1">
      <c r="A402" s="1032"/>
      <c r="B402" s="1035"/>
      <c r="C402" s="1038"/>
      <c r="D402" s="266" t="s">
        <v>1</v>
      </c>
      <c r="E402" s="267">
        <v>7835540</v>
      </c>
      <c r="F402" s="274"/>
      <c r="G402" s="267">
        <f>H402+I402</f>
        <v>409180</v>
      </c>
      <c r="H402" s="267">
        <v>245180</v>
      </c>
      <c r="I402" s="267">
        <v>164000</v>
      </c>
      <c r="J402" s="1035"/>
    </row>
    <row r="403" spans="1:10" ht="14.25" customHeight="1">
      <c r="A403" s="1033"/>
      <c r="B403" s="1036"/>
      <c r="C403" s="1039"/>
      <c r="D403" s="266" t="s">
        <v>2</v>
      </c>
      <c r="E403" s="267">
        <f>E401+E402</f>
        <v>7835540</v>
      </c>
      <c r="F403" s="267">
        <f>F401+F402</f>
        <v>0</v>
      </c>
      <c r="G403" s="267">
        <f>G401+G402</f>
        <v>409180</v>
      </c>
      <c r="H403" s="267">
        <f>H401+H402</f>
        <v>245180</v>
      </c>
      <c r="I403" s="267">
        <f>I401+I402</f>
        <v>164000</v>
      </c>
      <c r="J403" s="1036"/>
    </row>
    <row r="404" spans="1:10">
      <c r="A404" s="1031" t="s">
        <v>200</v>
      </c>
      <c r="B404" s="1034" t="s">
        <v>580</v>
      </c>
      <c r="C404" s="1037" t="s">
        <v>577</v>
      </c>
      <c r="D404" s="266" t="s">
        <v>0</v>
      </c>
      <c r="E404" s="267">
        <v>0</v>
      </c>
      <c r="F404" s="274">
        <v>0</v>
      </c>
      <c r="G404" s="267">
        <f>H404+I404</f>
        <v>0</v>
      </c>
      <c r="H404" s="267">
        <v>0</v>
      </c>
      <c r="I404" s="267">
        <v>0</v>
      </c>
      <c r="J404" s="1034" t="s">
        <v>539</v>
      </c>
    </row>
    <row r="405" spans="1:10">
      <c r="A405" s="1032"/>
      <c r="B405" s="1035"/>
      <c r="C405" s="1038"/>
      <c r="D405" s="266" t="s">
        <v>1</v>
      </c>
      <c r="E405" s="267">
        <v>7320952</v>
      </c>
      <c r="F405" s="274">
        <v>412050</v>
      </c>
      <c r="G405" s="267">
        <f>H405+I405</f>
        <v>528902</v>
      </c>
      <c r="H405" s="267">
        <v>29213</v>
      </c>
      <c r="I405" s="267">
        <v>499689</v>
      </c>
      <c r="J405" s="1035"/>
    </row>
    <row r="406" spans="1:10">
      <c r="A406" s="1033"/>
      <c r="B406" s="1036"/>
      <c r="C406" s="1039"/>
      <c r="D406" s="266" t="s">
        <v>2</v>
      </c>
      <c r="E406" s="267">
        <f>E404+E405</f>
        <v>7320952</v>
      </c>
      <c r="F406" s="267">
        <f>F404+F405</f>
        <v>412050</v>
      </c>
      <c r="G406" s="267">
        <f>G404+G405</f>
        <v>528902</v>
      </c>
      <c r="H406" s="267">
        <f>H404+H405</f>
        <v>29213</v>
      </c>
      <c r="I406" s="267">
        <f>I404+I405</f>
        <v>499689</v>
      </c>
      <c r="J406" s="1036"/>
    </row>
    <row r="407" spans="1:10" ht="14.25" customHeight="1">
      <c r="A407" s="1031" t="s">
        <v>200</v>
      </c>
      <c r="B407" s="1034" t="s">
        <v>581</v>
      </c>
      <c r="C407" s="1037" t="s">
        <v>547</v>
      </c>
      <c r="D407" s="266" t="s">
        <v>0</v>
      </c>
      <c r="E407" s="267">
        <v>616231</v>
      </c>
      <c r="F407" s="274">
        <v>492923</v>
      </c>
      <c r="G407" s="267">
        <f>H407+I407</f>
        <v>123308</v>
      </c>
      <c r="H407" s="267">
        <v>123308</v>
      </c>
      <c r="I407" s="267">
        <v>0</v>
      </c>
      <c r="J407" s="1034" t="s">
        <v>539</v>
      </c>
    </row>
    <row r="408" spans="1:10" ht="14.25" customHeight="1">
      <c r="A408" s="1032"/>
      <c r="B408" s="1035"/>
      <c r="C408" s="1038"/>
      <c r="D408" s="266" t="s">
        <v>1</v>
      </c>
      <c r="E408" s="267"/>
      <c r="F408" s="274">
        <v>-369923</v>
      </c>
      <c r="G408" s="267">
        <f>H408+I408</f>
        <v>369923</v>
      </c>
      <c r="H408" s="267"/>
      <c r="I408" s="267">
        <v>369923</v>
      </c>
      <c r="J408" s="1035"/>
    </row>
    <row r="409" spans="1:10" ht="14.25" customHeight="1">
      <c r="A409" s="1033"/>
      <c r="B409" s="1036"/>
      <c r="C409" s="1039"/>
      <c r="D409" s="266" t="s">
        <v>2</v>
      </c>
      <c r="E409" s="267">
        <f>E407+E408</f>
        <v>616231</v>
      </c>
      <c r="F409" s="267">
        <f>F407+F408</f>
        <v>123000</v>
      </c>
      <c r="G409" s="267">
        <f>G407+G408</f>
        <v>493231</v>
      </c>
      <c r="H409" s="267">
        <f>H407+H408</f>
        <v>123308</v>
      </c>
      <c r="I409" s="267">
        <f>I407+I408</f>
        <v>369923</v>
      </c>
      <c r="J409" s="1036"/>
    </row>
    <row r="410" spans="1:10">
      <c r="A410" s="1031" t="s">
        <v>200</v>
      </c>
      <c r="B410" s="1034" t="s">
        <v>582</v>
      </c>
      <c r="C410" s="1037" t="s">
        <v>583</v>
      </c>
      <c r="D410" s="266" t="s">
        <v>0</v>
      </c>
      <c r="E410" s="267">
        <v>0</v>
      </c>
      <c r="F410" s="274">
        <v>0</v>
      </c>
      <c r="G410" s="267">
        <f>H410+I410</f>
        <v>0</v>
      </c>
      <c r="H410" s="267">
        <v>0</v>
      </c>
      <c r="I410" s="267">
        <v>0</v>
      </c>
      <c r="J410" s="1034" t="s">
        <v>539</v>
      </c>
    </row>
    <row r="411" spans="1:10">
      <c r="A411" s="1032"/>
      <c r="B411" s="1035"/>
      <c r="C411" s="1038"/>
      <c r="D411" s="266" t="s">
        <v>1</v>
      </c>
      <c r="E411" s="267">
        <v>461250</v>
      </c>
      <c r="F411" s="274">
        <f>83025+177010</f>
        <v>260035</v>
      </c>
      <c r="G411" s="267">
        <f>H411+I411</f>
        <v>201215</v>
      </c>
      <c r="H411" s="267"/>
      <c r="I411" s="267">
        <v>201215</v>
      </c>
      <c r="J411" s="1035"/>
    </row>
    <row r="412" spans="1:10">
      <c r="A412" s="1033"/>
      <c r="B412" s="1036"/>
      <c r="C412" s="1039"/>
      <c r="D412" s="266" t="s">
        <v>2</v>
      </c>
      <c r="E412" s="267">
        <f>E410+E411</f>
        <v>461250</v>
      </c>
      <c r="F412" s="267">
        <f>F410+F411</f>
        <v>260035</v>
      </c>
      <c r="G412" s="267">
        <f>G410+G411</f>
        <v>201215</v>
      </c>
      <c r="H412" s="267">
        <f>H410+H411</f>
        <v>0</v>
      </c>
      <c r="I412" s="267">
        <f>I410+I411</f>
        <v>201215</v>
      </c>
      <c r="J412" s="1036"/>
    </row>
    <row r="413" spans="1:10" hidden="1">
      <c r="A413" s="1031" t="s">
        <v>200</v>
      </c>
      <c r="B413" s="1034" t="s">
        <v>584</v>
      </c>
      <c r="C413" s="1037" t="s">
        <v>549</v>
      </c>
      <c r="D413" s="266" t="s">
        <v>0</v>
      </c>
      <c r="E413" s="267">
        <v>62339</v>
      </c>
      <c r="F413" s="274">
        <v>25110</v>
      </c>
      <c r="G413" s="267">
        <f>H413+I413</f>
        <v>37229</v>
      </c>
      <c r="H413" s="267">
        <v>37229</v>
      </c>
      <c r="I413" s="267">
        <v>0</v>
      </c>
      <c r="J413" s="1034" t="s">
        <v>411</v>
      </c>
    </row>
    <row r="414" spans="1:10" hidden="1">
      <c r="A414" s="1032"/>
      <c r="B414" s="1035"/>
      <c r="C414" s="1038"/>
      <c r="D414" s="266" t="s">
        <v>1</v>
      </c>
      <c r="E414" s="267"/>
      <c r="F414" s="274"/>
      <c r="G414" s="267">
        <f>H414+I414</f>
        <v>0</v>
      </c>
      <c r="H414" s="267"/>
      <c r="I414" s="267"/>
      <c r="J414" s="1035"/>
    </row>
    <row r="415" spans="1:10" hidden="1">
      <c r="A415" s="1033"/>
      <c r="B415" s="1036"/>
      <c r="C415" s="1039"/>
      <c r="D415" s="266" t="s">
        <v>2</v>
      </c>
      <c r="E415" s="267">
        <f>E413+E414</f>
        <v>62339</v>
      </c>
      <c r="F415" s="267">
        <f>F413+F414</f>
        <v>25110</v>
      </c>
      <c r="G415" s="267">
        <f>G413+G414</f>
        <v>37229</v>
      </c>
      <c r="H415" s="267">
        <f>H413+H414</f>
        <v>37229</v>
      </c>
      <c r="I415" s="267">
        <f>I413+I414</f>
        <v>0</v>
      </c>
      <c r="J415" s="1036"/>
    </row>
    <row r="416" spans="1:10" ht="14.25" customHeight="1">
      <c r="A416" s="1031" t="s">
        <v>200</v>
      </c>
      <c r="B416" s="1034" t="s">
        <v>585</v>
      </c>
      <c r="C416" s="1037" t="s">
        <v>586</v>
      </c>
      <c r="D416" s="266" t="s">
        <v>0</v>
      </c>
      <c r="E416" s="267">
        <v>0</v>
      </c>
      <c r="F416" s="274">
        <v>0</v>
      </c>
      <c r="G416" s="267">
        <f>H416+I416</f>
        <v>0</v>
      </c>
      <c r="H416" s="267">
        <v>0</v>
      </c>
      <c r="I416" s="267">
        <v>0</v>
      </c>
      <c r="J416" s="1034" t="s">
        <v>539</v>
      </c>
    </row>
    <row r="417" spans="1:10" ht="14.25" customHeight="1">
      <c r="A417" s="1032"/>
      <c r="B417" s="1035"/>
      <c r="C417" s="1038"/>
      <c r="D417" s="266" t="s">
        <v>1</v>
      </c>
      <c r="E417" s="267">
        <v>2000000</v>
      </c>
      <c r="F417" s="274"/>
      <c r="G417" s="267">
        <f>H417+I417</f>
        <v>500000</v>
      </c>
      <c r="H417" s="267">
        <v>500000</v>
      </c>
      <c r="I417" s="267"/>
      <c r="J417" s="1035"/>
    </row>
    <row r="418" spans="1:10" ht="14.25" customHeight="1">
      <c r="A418" s="1033"/>
      <c r="B418" s="1036"/>
      <c r="C418" s="1039"/>
      <c r="D418" s="266" t="s">
        <v>2</v>
      </c>
      <c r="E418" s="267">
        <f>E416+E417</f>
        <v>2000000</v>
      </c>
      <c r="F418" s="267">
        <f>F416+F417</f>
        <v>0</v>
      </c>
      <c r="G418" s="267">
        <f>G416+G417</f>
        <v>500000</v>
      </c>
      <c r="H418" s="267">
        <f>H416+H417</f>
        <v>500000</v>
      </c>
      <c r="I418" s="267">
        <f>I416+I417</f>
        <v>0</v>
      </c>
      <c r="J418" s="1036"/>
    </row>
    <row r="419" spans="1:10" ht="24.75" hidden="1" customHeight="1">
      <c r="A419" s="1031" t="s">
        <v>201</v>
      </c>
      <c r="B419" s="1034" t="s">
        <v>587</v>
      </c>
      <c r="C419" s="1037" t="s">
        <v>545</v>
      </c>
      <c r="D419" s="266" t="s">
        <v>0</v>
      </c>
      <c r="E419" s="267">
        <v>3657000</v>
      </c>
      <c r="F419" s="274">
        <v>1219000</v>
      </c>
      <c r="G419" s="267">
        <f>H419+I419</f>
        <v>1219000</v>
      </c>
      <c r="H419" s="267">
        <v>1219000</v>
      </c>
      <c r="I419" s="267">
        <v>0</v>
      </c>
      <c r="J419" s="1034" t="s">
        <v>411</v>
      </c>
    </row>
    <row r="420" spans="1:10" ht="24.75" hidden="1" customHeight="1">
      <c r="A420" s="1032"/>
      <c r="B420" s="1035"/>
      <c r="C420" s="1038"/>
      <c r="D420" s="266" t="s">
        <v>1</v>
      </c>
      <c r="E420" s="267"/>
      <c r="F420" s="274"/>
      <c r="G420" s="267">
        <f>H420+I420</f>
        <v>0</v>
      </c>
      <c r="H420" s="267"/>
      <c r="I420" s="267"/>
      <c r="J420" s="1035"/>
    </row>
    <row r="421" spans="1:10" ht="24.75" hidden="1" customHeight="1">
      <c r="A421" s="1033"/>
      <c r="B421" s="1036"/>
      <c r="C421" s="1039"/>
      <c r="D421" s="266" t="s">
        <v>2</v>
      </c>
      <c r="E421" s="267">
        <f>E419+E420</f>
        <v>3657000</v>
      </c>
      <c r="F421" s="267">
        <f>F419+F420</f>
        <v>1219000</v>
      </c>
      <c r="G421" s="267">
        <f>G419+G420</f>
        <v>1219000</v>
      </c>
      <c r="H421" s="267">
        <f>H419+H420</f>
        <v>1219000</v>
      </c>
      <c r="I421" s="267">
        <f>I419+I420</f>
        <v>0</v>
      </c>
      <c r="J421" s="1036"/>
    </row>
    <row r="422" spans="1:10" hidden="1">
      <c r="A422" s="1031" t="s">
        <v>201</v>
      </c>
      <c r="B422" s="1034" t="s">
        <v>588</v>
      </c>
      <c r="C422" s="1037" t="s">
        <v>545</v>
      </c>
      <c r="D422" s="266" t="s">
        <v>0</v>
      </c>
      <c r="E422" s="267">
        <v>7935000</v>
      </c>
      <c r="F422" s="274">
        <v>2645000</v>
      </c>
      <c r="G422" s="267">
        <f>H422+I422</f>
        <v>2645000</v>
      </c>
      <c r="H422" s="267">
        <v>2645000</v>
      </c>
      <c r="I422" s="267">
        <v>0</v>
      </c>
      <c r="J422" s="1034" t="s">
        <v>411</v>
      </c>
    </row>
    <row r="423" spans="1:10" hidden="1">
      <c r="A423" s="1032"/>
      <c r="B423" s="1035"/>
      <c r="C423" s="1038"/>
      <c r="D423" s="266" t="s">
        <v>1</v>
      </c>
      <c r="E423" s="267"/>
      <c r="F423" s="274"/>
      <c r="G423" s="267">
        <f>H423+I423</f>
        <v>0</v>
      </c>
      <c r="H423" s="267"/>
      <c r="I423" s="267"/>
      <c r="J423" s="1035"/>
    </row>
    <row r="424" spans="1:10" hidden="1">
      <c r="A424" s="1033"/>
      <c r="B424" s="1036"/>
      <c r="C424" s="1039"/>
      <c r="D424" s="266" t="s">
        <v>2</v>
      </c>
      <c r="E424" s="267">
        <f>E422+E423</f>
        <v>7935000</v>
      </c>
      <c r="F424" s="267">
        <f>F422+F423</f>
        <v>2645000</v>
      </c>
      <c r="G424" s="267">
        <f>G422+G423</f>
        <v>2645000</v>
      </c>
      <c r="H424" s="267">
        <f>H422+H423</f>
        <v>2645000</v>
      </c>
      <c r="I424" s="267">
        <f>I422+I423</f>
        <v>0</v>
      </c>
      <c r="J424" s="1036"/>
    </row>
    <row r="425" spans="1:10" ht="18.75" customHeight="1">
      <c r="A425" s="1031" t="s">
        <v>589</v>
      </c>
      <c r="B425" s="1034" t="s">
        <v>590</v>
      </c>
      <c r="C425" s="1037" t="s">
        <v>591</v>
      </c>
      <c r="D425" s="266" t="s">
        <v>0</v>
      </c>
      <c r="E425" s="267">
        <v>150000</v>
      </c>
      <c r="F425" s="274">
        <v>0</v>
      </c>
      <c r="G425" s="267">
        <f>H425+I425</f>
        <v>150000</v>
      </c>
      <c r="H425" s="267">
        <v>150000</v>
      </c>
      <c r="I425" s="267">
        <v>0</v>
      </c>
      <c r="J425" s="1034" t="s">
        <v>411</v>
      </c>
    </row>
    <row r="426" spans="1:10" ht="18.75" customHeight="1">
      <c r="A426" s="1032"/>
      <c r="B426" s="1035"/>
      <c r="C426" s="1038"/>
      <c r="D426" s="266" t="s">
        <v>1</v>
      </c>
      <c r="E426" s="267">
        <v>34193</v>
      </c>
      <c r="F426" s="274"/>
      <c r="G426" s="267">
        <f>H426+I426</f>
        <v>-76323</v>
      </c>
      <c r="H426" s="267">
        <v>-76323</v>
      </c>
      <c r="I426" s="267"/>
      <c r="J426" s="1035"/>
    </row>
    <row r="427" spans="1:10" ht="18.75" customHeight="1">
      <c r="A427" s="1033"/>
      <c r="B427" s="1036"/>
      <c r="C427" s="1039"/>
      <c r="D427" s="266" t="s">
        <v>2</v>
      </c>
      <c r="E427" s="267">
        <f>E425+E426</f>
        <v>184193</v>
      </c>
      <c r="F427" s="267">
        <f>F425+F426</f>
        <v>0</v>
      </c>
      <c r="G427" s="267">
        <f>G425+G426</f>
        <v>73677</v>
      </c>
      <c r="H427" s="267">
        <f>H425+H426</f>
        <v>73677</v>
      </c>
      <c r="I427" s="267">
        <f>I425+I426</f>
        <v>0</v>
      </c>
      <c r="J427" s="1036"/>
    </row>
    <row r="428" spans="1:10" hidden="1">
      <c r="A428" s="1031" t="s">
        <v>204</v>
      </c>
      <c r="B428" s="1034" t="s">
        <v>592</v>
      </c>
      <c r="C428" s="1037" t="s">
        <v>549</v>
      </c>
      <c r="D428" s="266" t="s">
        <v>0</v>
      </c>
      <c r="E428" s="267">
        <v>32234476</v>
      </c>
      <c r="F428" s="274">
        <v>5610274</v>
      </c>
      <c r="G428" s="267">
        <f>H428+I428</f>
        <v>26624202</v>
      </c>
      <c r="H428" s="267">
        <v>26624202</v>
      </c>
      <c r="I428" s="267">
        <v>0</v>
      </c>
      <c r="J428" s="1034" t="s">
        <v>476</v>
      </c>
    </row>
    <row r="429" spans="1:10" hidden="1">
      <c r="A429" s="1032"/>
      <c r="B429" s="1035"/>
      <c r="C429" s="1038"/>
      <c r="D429" s="266" t="s">
        <v>1</v>
      </c>
      <c r="E429" s="267"/>
      <c r="F429" s="274"/>
      <c r="G429" s="267">
        <f>H429+I429</f>
        <v>0</v>
      </c>
      <c r="H429" s="267"/>
      <c r="I429" s="267"/>
      <c r="J429" s="1035"/>
    </row>
    <row r="430" spans="1:10" hidden="1">
      <c r="A430" s="1033"/>
      <c r="B430" s="1036"/>
      <c r="C430" s="1039"/>
      <c r="D430" s="266" t="s">
        <v>2</v>
      </c>
      <c r="E430" s="267">
        <f>E428+E429</f>
        <v>32234476</v>
      </c>
      <c r="F430" s="267">
        <f>F428+F429</f>
        <v>5610274</v>
      </c>
      <c r="G430" s="267">
        <f>G428+G429</f>
        <v>26624202</v>
      </c>
      <c r="H430" s="267">
        <f>H428+H429</f>
        <v>26624202</v>
      </c>
      <c r="I430" s="267">
        <f>I428+I429</f>
        <v>0</v>
      </c>
      <c r="J430" s="1036"/>
    </row>
    <row r="431" spans="1:10" ht="14.25" customHeight="1">
      <c r="A431" s="1046" t="s">
        <v>47</v>
      </c>
      <c r="B431" s="1052" t="s">
        <v>48</v>
      </c>
      <c r="C431" s="1028" t="s">
        <v>408</v>
      </c>
      <c r="D431" s="255" t="s">
        <v>0</v>
      </c>
      <c r="E431" s="265">
        <f t="shared" ref="E431:I432" si="16">E434+E437</f>
        <v>524500</v>
      </c>
      <c r="F431" s="265">
        <f t="shared" si="16"/>
        <v>162260</v>
      </c>
      <c r="G431" s="265">
        <f t="shared" si="16"/>
        <v>22640</v>
      </c>
      <c r="H431" s="265">
        <f t="shared" si="16"/>
        <v>22640</v>
      </c>
      <c r="I431" s="265">
        <f t="shared" si="16"/>
        <v>0</v>
      </c>
      <c r="J431" s="1028" t="s">
        <v>408</v>
      </c>
    </row>
    <row r="432" spans="1:10" ht="14.25" customHeight="1">
      <c r="A432" s="1047"/>
      <c r="B432" s="1053"/>
      <c r="C432" s="1029"/>
      <c r="D432" s="255" t="s">
        <v>1</v>
      </c>
      <c r="E432" s="265">
        <f t="shared" si="16"/>
        <v>527000</v>
      </c>
      <c r="F432" s="265">
        <f t="shared" si="16"/>
        <v>0</v>
      </c>
      <c r="G432" s="265">
        <f t="shared" si="16"/>
        <v>17000</v>
      </c>
      <c r="H432" s="265">
        <f t="shared" si="16"/>
        <v>17000</v>
      </c>
      <c r="I432" s="265">
        <f t="shared" si="16"/>
        <v>0</v>
      </c>
      <c r="J432" s="1029"/>
    </row>
    <row r="433" spans="1:10" ht="14.25" customHeight="1">
      <c r="A433" s="1048"/>
      <c r="B433" s="1054"/>
      <c r="C433" s="1030"/>
      <c r="D433" s="255" t="s">
        <v>2</v>
      </c>
      <c r="E433" s="265">
        <f>E431+E432</f>
        <v>1051500</v>
      </c>
      <c r="F433" s="265">
        <f>F431+F432</f>
        <v>162260</v>
      </c>
      <c r="G433" s="265">
        <f>G431+G432</f>
        <v>39640</v>
      </c>
      <c r="H433" s="265">
        <f>H431+H432</f>
        <v>39640</v>
      </c>
      <c r="I433" s="265">
        <f>I431+I432</f>
        <v>0</v>
      </c>
      <c r="J433" s="1030"/>
    </row>
    <row r="434" spans="1:10" hidden="1">
      <c r="A434" s="1031" t="s">
        <v>209</v>
      </c>
      <c r="B434" s="1034" t="s">
        <v>593</v>
      </c>
      <c r="C434" s="1037" t="s">
        <v>594</v>
      </c>
      <c r="D434" s="266" t="s">
        <v>0</v>
      </c>
      <c r="E434" s="267">
        <v>524500</v>
      </c>
      <c r="F434" s="274">
        <v>162260</v>
      </c>
      <c r="G434" s="267">
        <f>H434+I434</f>
        <v>22640</v>
      </c>
      <c r="H434" s="267">
        <v>22640</v>
      </c>
      <c r="I434" s="267">
        <v>0</v>
      </c>
      <c r="J434" s="1034" t="s">
        <v>411</v>
      </c>
    </row>
    <row r="435" spans="1:10" hidden="1">
      <c r="A435" s="1032"/>
      <c r="B435" s="1035"/>
      <c r="C435" s="1038"/>
      <c r="D435" s="266" t="s">
        <v>1</v>
      </c>
      <c r="E435" s="267"/>
      <c r="F435" s="274"/>
      <c r="G435" s="267">
        <f>H435+I435</f>
        <v>0</v>
      </c>
      <c r="H435" s="267"/>
      <c r="I435" s="267"/>
      <c r="J435" s="1035"/>
    </row>
    <row r="436" spans="1:10" hidden="1">
      <c r="A436" s="1033"/>
      <c r="B436" s="1036"/>
      <c r="C436" s="1039"/>
      <c r="D436" s="266" t="s">
        <v>2</v>
      </c>
      <c r="E436" s="267">
        <f>E434+E435</f>
        <v>524500</v>
      </c>
      <c r="F436" s="267">
        <f>F434+F435</f>
        <v>162260</v>
      </c>
      <c r="G436" s="267">
        <f>G434+G435</f>
        <v>22640</v>
      </c>
      <c r="H436" s="267">
        <f>H434+H435</f>
        <v>22640</v>
      </c>
      <c r="I436" s="267">
        <f>I434+I435</f>
        <v>0</v>
      </c>
      <c r="J436" s="1036"/>
    </row>
    <row r="437" spans="1:10" ht="14.25" customHeight="1">
      <c r="A437" s="1031" t="s">
        <v>209</v>
      </c>
      <c r="B437" s="1034" t="s">
        <v>595</v>
      </c>
      <c r="C437" s="1037" t="s">
        <v>596</v>
      </c>
      <c r="D437" s="266" t="s">
        <v>0</v>
      </c>
      <c r="E437" s="267">
        <v>0</v>
      </c>
      <c r="F437" s="274">
        <v>0</v>
      </c>
      <c r="G437" s="267">
        <f>H437+I437</f>
        <v>0</v>
      </c>
      <c r="H437" s="267">
        <v>0</v>
      </c>
      <c r="I437" s="267">
        <v>0</v>
      </c>
      <c r="J437" s="1034" t="s">
        <v>411</v>
      </c>
    </row>
    <row r="438" spans="1:10" ht="14.25" customHeight="1">
      <c r="A438" s="1032"/>
      <c r="B438" s="1035"/>
      <c r="C438" s="1038"/>
      <c r="D438" s="266" t="s">
        <v>1</v>
      </c>
      <c r="E438" s="267">
        <v>527000</v>
      </c>
      <c r="F438" s="274"/>
      <c r="G438" s="267">
        <f>H438+I438</f>
        <v>17000</v>
      </c>
      <c r="H438" s="267">
        <v>17000</v>
      </c>
      <c r="I438" s="267"/>
      <c r="J438" s="1035"/>
    </row>
    <row r="439" spans="1:10" ht="14.25" customHeight="1">
      <c r="A439" s="1033"/>
      <c r="B439" s="1036"/>
      <c r="C439" s="1039"/>
      <c r="D439" s="266" t="s">
        <v>2</v>
      </c>
      <c r="E439" s="267">
        <f>E437+E438</f>
        <v>527000</v>
      </c>
      <c r="F439" s="267">
        <f>F437+F438</f>
        <v>0</v>
      </c>
      <c r="G439" s="267">
        <f>G437+G438</f>
        <v>17000</v>
      </c>
      <c r="H439" s="267">
        <f>H437+H438</f>
        <v>17000</v>
      </c>
      <c r="I439" s="267">
        <f>I437+I438</f>
        <v>0</v>
      </c>
      <c r="J439" s="1036"/>
    </row>
    <row r="440" spans="1:10" hidden="1">
      <c r="A440" s="1046" t="s">
        <v>51</v>
      </c>
      <c r="B440" s="1052" t="s">
        <v>52</v>
      </c>
      <c r="C440" s="1028" t="s">
        <v>408</v>
      </c>
      <c r="D440" s="255" t="s">
        <v>0</v>
      </c>
      <c r="E440" s="265">
        <f t="shared" ref="E440:I441" si="17">E443</f>
        <v>434556</v>
      </c>
      <c r="F440" s="265">
        <f t="shared" si="17"/>
        <v>0</v>
      </c>
      <c r="G440" s="265">
        <f t="shared" si="17"/>
        <v>108639</v>
      </c>
      <c r="H440" s="265">
        <f t="shared" si="17"/>
        <v>108639</v>
      </c>
      <c r="I440" s="265">
        <f t="shared" si="17"/>
        <v>0</v>
      </c>
      <c r="J440" s="1028" t="s">
        <v>408</v>
      </c>
    </row>
    <row r="441" spans="1:10" hidden="1">
      <c r="A441" s="1047"/>
      <c r="B441" s="1053"/>
      <c r="C441" s="1029"/>
      <c r="D441" s="255" t="s">
        <v>1</v>
      </c>
      <c r="E441" s="265">
        <f t="shared" si="17"/>
        <v>0</v>
      </c>
      <c r="F441" s="265">
        <f t="shared" si="17"/>
        <v>0</v>
      </c>
      <c r="G441" s="265">
        <f t="shared" si="17"/>
        <v>0</v>
      </c>
      <c r="H441" s="265">
        <f t="shared" si="17"/>
        <v>0</v>
      </c>
      <c r="I441" s="265">
        <f t="shared" si="17"/>
        <v>0</v>
      </c>
      <c r="J441" s="1029"/>
    </row>
    <row r="442" spans="1:10" hidden="1">
      <c r="A442" s="1048"/>
      <c r="B442" s="1054"/>
      <c r="C442" s="1030"/>
      <c r="D442" s="255" t="s">
        <v>2</v>
      </c>
      <c r="E442" s="265">
        <f>E440+E441</f>
        <v>434556</v>
      </c>
      <c r="F442" s="265">
        <f>F440+F441</f>
        <v>0</v>
      </c>
      <c r="G442" s="265">
        <f>G440+G441</f>
        <v>108639</v>
      </c>
      <c r="H442" s="265">
        <f>H440+H441</f>
        <v>108639</v>
      </c>
      <c r="I442" s="265">
        <f>I440+I441</f>
        <v>0</v>
      </c>
      <c r="J442" s="1030"/>
    </row>
    <row r="443" spans="1:10" hidden="1">
      <c r="A443" s="1031" t="s">
        <v>220</v>
      </c>
      <c r="B443" s="1034" t="s">
        <v>597</v>
      </c>
      <c r="C443" s="1037" t="s">
        <v>598</v>
      </c>
      <c r="D443" s="266" t="s">
        <v>0</v>
      </c>
      <c r="E443" s="267">
        <v>434556</v>
      </c>
      <c r="F443" s="274">
        <v>0</v>
      </c>
      <c r="G443" s="267">
        <f>H443+I443</f>
        <v>108639</v>
      </c>
      <c r="H443" s="267">
        <v>108639</v>
      </c>
      <c r="I443" s="267">
        <v>0</v>
      </c>
      <c r="J443" s="1034" t="s">
        <v>411</v>
      </c>
    </row>
    <row r="444" spans="1:10" hidden="1">
      <c r="A444" s="1032"/>
      <c r="B444" s="1035"/>
      <c r="C444" s="1038"/>
      <c r="D444" s="266" t="s">
        <v>1</v>
      </c>
      <c r="E444" s="267"/>
      <c r="F444" s="274"/>
      <c r="G444" s="267">
        <f>H444+I444</f>
        <v>0</v>
      </c>
      <c r="H444" s="267"/>
      <c r="I444" s="267"/>
      <c r="J444" s="1035"/>
    </row>
    <row r="445" spans="1:10" hidden="1">
      <c r="A445" s="1033"/>
      <c r="B445" s="1036"/>
      <c r="C445" s="1039"/>
      <c r="D445" s="266" t="s">
        <v>2</v>
      </c>
      <c r="E445" s="267">
        <f>E443+E444</f>
        <v>434556</v>
      </c>
      <c r="F445" s="267">
        <f>F443+F444</f>
        <v>0</v>
      </c>
      <c r="G445" s="267">
        <f>G443+G444</f>
        <v>108639</v>
      </c>
      <c r="H445" s="267">
        <f>H443+H444</f>
        <v>108639</v>
      </c>
      <c r="I445" s="267">
        <f>I443+I444</f>
        <v>0</v>
      </c>
      <c r="J445" s="1036"/>
    </row>
    <row r="446" spans="1:10" hidden="1">
      <c r="A446" s="1046" t="s">
        <v>53</v>
      </c>
      <c r="B446" s="1052" t="s">
        <v>54</v>
      </c>
      <c r="C446" s="1028"/>
      <c r="D446" s="255" t="s">
        <v>0</v>
      </c>
      <c r="E446" s="275">
        <f t="shared" ref="E446:I447" si="18">E449</f>
        <v>44945181</v>
      </c>
      <c r="F446" s="275">
        <f t="shared" si="18"/>
        <v>7445181</v>
      </c>
      <c r="G446" s="275">
        <f t="shared" si="18"/>
        <v>6000000</v>
      </c>
      <c r="H446" s="275">
        <f t="shared" si="18"/>
        <v>6000000</v>
      </c>
      <c r="I446" s="275">
        <f t="shared" si="18"/>
        <v>0</v>
      </c>
      <c r="J446" s="1055" t="s">
        <v>408</v>
      </c>
    </row>
    <row r="447" spans="1:10" hidden="1">
      <c r="A447" s="1047"/>
      <c r="B447" s="1053"/>
      <c r="C447" s="1029"/>
      <c r="D447" s="255" t="s">
        <v>1</v>
      </c>
      <c r="E447" s="275">
        <f t="shared" si="18"/>
        <v>0</v>
      </c>
      <c r="F447" s="275">
        <f t="shared" si="18"/>
        <v>0</v>
      </c>
      <c r="G447" s="275">
        <f t="shared" si="18"/>
        <v>0</v>
      </c>
      <c r="H447" s="275">
        <f t="shared" si="18"/>
        <v>0</v>
      </c>
      <c r="I447" s="275">
        <f t="shared" si="18"/>
        <v>0</v>
      </c>
      <c r="J447" s="1056"/>
    </row>
    <row r="448" spans="1:10" hidden="1">
      <c r="A448" s="1048"/>
      <c r="B448" s="1054"/>
      <c r="C448" s="1030"/>
      <c r="D448" s="255" t="s">
        <v>2</v>
      </c>
      <c r="E448" s="275">
        <f>E446++E447</f>
        <v>44945181</v>
      </c>
      <c r="F448" s="275">
        <f>F446++F447</f>
        <v>7445181</v>
      </c>
      <c r="G448" s="275">
        <f>G446++G447</f>
        <v>6000000</v>
      </c>
      <c r="H448" s="275">
        <f>H446++H447</f>
        <v>6000000</v>
      </c>
      <c r="I448" s="275">
        <f>I446++I447</f>
        <v>0</v>
      </c>
      <c r="J448" s="1057"/>
    </row>
    <row r="449" spans="1:10" hidden="1">
      <c r="A449" s="1031" t="s">
        <v>228</v>
      </c>
      <c r="B449" s="1034" t="s">
        <v>599</v>
      </c>
      <c r="C449" s="1037" t="s">
        <v>600</v>
      </c>
      <c r="D449" s="266" t="s">
        <v>0</v>
      </c>
      <c r="E449" s="267">
        <v>44945181</v>
      </c>
      <c r="F449" s="274">
        <v>7445181</v>
      </c>
      <c r="G449" s="267">
        <f>H449+I449</f>
        <v>6000000</v>
      </c>
      <c r="H449" s="267">
        <v>6000000</v>
      </c>
      <c r="I449" s="267">
        <v>0</v>
      </c>
      <c r="J449" s="1034" t="s">
        <v>411</v>
      </c>
    </row>
    <row r="450" spans="1:10" hidden="1">
      <c r="A450" s="1032"/>
      <c r="B450" s="1035"/>
      <c r="C450" s="1038"/>
      <c r="D450" s="266" t="s">
        <v>1</v>
      </c>
      <c r="E450" s="267"/>
      <c r="F450" s="274"/>
      <c r="G450" s="267">
        <f>H450+I450</f>
        <v>0</v>
      </c>
      <c r="H450" s="267"/>
      <c r="I450" s="267"/>
      <c r="J450" s="1035"/>
    </row>
    <row r="451" spans="1:10" hidden="1">
      <c r="A451" s="1033"/>
      <c r="B451" s="1036"/>
      <c r="C451" s="1039"/>
      <c r="D451" s="266" t="s">
        <v>2</v>
      </c>
      <c r="E451" s="267">
        <f>E449+E450</f>
        <v>44945181</v>
      </c>
      <c r="F451" s="267">
        <f>F449+F450</f>
        <v>7445181</v>
      </c>
      <c r="G451" s="267">
        <f>G449+G450</f>
        <v>6000000</v>
      </c>
      <c r="H451" s="267">
        <f>H449+H450</f>
        <v>6000000</v>
      </c>
      <c r="I451" s="267">
        <f>I449+I450</f>
        <v>0</v>
      </c>
      <c r="J451" s="1036"/>
    </row>
    <row r="452" spans="1:10" ht="14.25" customHeight="1">
      <c r="A452" s="1046" t="s">
        <v>59</v>
      </c>
      <c r="B452" s="1052" t="s">
        <v>60</v>
      </c>
      <c r="C452" s="1028" t="s">
        <v>408</v>
      </c>
      <c r="D452" s="255" t="s">
        <v>0</v>
      </c>
      <c r="E452" s="265">
        <f t="shared" ref="E452:I453" si="19">E455+E458</f>
        <v>18244893</v>
      </c>
      <c r="F452" s="265">
        <f t="shared" si="19"/>
        <v>171276</v>
      </c>
      <c r="G452" s="265">
        <f t="shared" si="19"/>
        <v>2073617</v>
      </c>
      <c r="H452" s="265">
        <f t="shared" si="19"/>
        <v>2013765</v>
      </c>
      <c r="I452" s="265">
        <f t="shared" si="19"/>
        <v>59852</v>
      </c>
      <c r="J452" s="1028" t="s">
        <v>408</v>
      </c>
    </row>
    <row r="453" spans="1:10" ht="14.25" customHeight="1">
      <c r="A453" s="1047"/>
      <c r="B453" s="1053"/>
      <c r="C453" s="1029"/>
      <c r="D453" s="255" t="s">
        <v>1</v>
      </c>
      <c r="E453" s="265">
        <f t="shared" si="19"/>
        <v>-80132</v>
      </c>
      <c r="F453" s="265">
        <f t="shared" si="19"/>
        <v>-80133</v>
      </c>
      <c r="G453" s="265">
        <f t="shared" si="19"/>
        <v>-36808</v>
      </c>
      <c r="H453" s="265">
        <f t="shared" si="19"/>
        <v>-6882</v>
      </c>
      <c r="I453" s="265">
        <f t="shared" si="19"/>
        <v>-29926</v>
      </c>
      <c r="J453" s="1029"/>
    </row>
    <row r="454" spans="1:10" ht="14.25" customHeight="1">
      <c r="A454" s="1048"/>
      <c r="B454" s="1054"/>
      <c r="C454" s="1030"/>
      <c r="D454" s="255" t="s">
        <v>2</v>
      </c>
      <c r="E454" s="265">
        <f>E452+E453</f>
        <v>18164761</v>
      </c>
      <c r="F454" s="265">
        <f>F452+F453</f>
        <v>91143</v>
      </c>
      <c r="G454" s="265">
        <f>G452+G453</f>
        <v>2036809</v>
      </c>
      <c r="H454" s="265">
        <f>H452+H453</f>
        <v>2006883</v>
      </c>
      <c r="I454" s="265">
        <f>I452+I453</f>
        <v>29926</v>
      </c>
      <c r="J454" s="1030"/>
    </row>
    <row r="455" spans="1:10" hidden="1">
      <c r="A455" s="1031" t="s">
        <v>269</v>
      </c>
      <c r="B455" s="1034" t="s">
        <v>601</v>
      </c>
      <c r="C455" s="1037" t="s">
        <v>570</v>
      </c>
      <c r="D455" s="266" t="s">
        <v>0</v>
      </c>
      <c r="E455" s="267">
        <v>18091143</v>
      </c>
      <c r="F455" s="274">
        <v>91143</v>
      </c>
      <c r="G455" s="267">
        <f>H455+I455</f>
        <v>2000000</v>
      </c>
      <c r="H455" s="267">
        <v>2000000</v>
      </c>
      <c r="I455" s="267">
        <v>0</v>
      </c>
      <c r="J455" s="1034" t="s">
        <v>411</v>
      </c>
    </row>
    <row r="456" spans="1:10" hidden="1">
      <c r="A456" s="1032"/>
      <c r="B456" s="1035"/>
      <c r="C456" s="1038"/>
      <c r="D456" s="266" t="s">
        <v>1</v>
      </c>
      <c r="E456" s="267"/>
      <c r="F456" s="274"/>
      <c r="G456" s="267">
        <f>H456+I456</f>
        <v>0</v>
      </c>
      <c r="H456" s="267"/>
      <c r="I456" s="267"/>
      <c r="J456" s="1035"/>
    </row>
    <row r="457" spans="1:10" hidden="1">
      <c r="A457" s="1033"/>
      <c r="B457" s="1036"/>
      <c r="C457" s="1039"/>
      <c r="D457" s="266" t="s">
        <v>2</v>
      </c>
      <c r="E457" s="267">
        <f>E455+E456</f>
        <v>18091143</v>
      </c>
      <c r="F457" s="267">
        <f>F455+F456</f>
        <v>91143</v>
      </c>
      <c r="G457" s="267">
        <f>G455+G456</f>
        <v>2000000</v>
      </c>
      <c r="H457" s="267">
        <f>H455+H456</f>
        <v>2000000</v>
      </c>
      <c r="I457" s="267">
        <f>I455+I456</f>
        <v>0</v>
      </c>
      <c r="J457" s="1036"/>
    </row>
    <row r="458" spans="1:10" ht="17.25" customHeight="1">
      <c r="A458" s="1031" t="s">
        <v>277</v>
      </c>
      <c r="B458" s="1034" t="s">
        <v>602</v>
      </c>
      <c r="C458" s="1037" t="s">
        <v>551</v>
      </c>
      <c r="D458" s="266" t="s">
        <v>0</v>
      </c>
      <c r="E458" s="267">
        <v>153750</v>
      </c>
      <c r="F458" s="274">
        <v>80133</v>
      </c>
      <c r="G458" s="267">
        <f>H458+I458</f>
        <v>73617</v>
      </c>
      <c r="H458" s="267">
        <v>13765</v>
      </c>
      <c r="I458" s="267">
        <v>59852</v>
      </c>
      <c r="J458" s="1034" t="s">
        <v>411</v>
      </c>
    </row>
    <row r="459" spans="1:10" ht="17.25" customHeight="1">
      <c r="A459" s="1032"/>
      <c r="B459" s="1035"/>
      <c r="C459" s="1038"/>
      <c r="D459" s="266" t="s">
        <v>1</v>
      </c>
      <c r="E459" s="267">
        <v>-80132</v>
      </c>
      <c r="F459" s="274">
        <v>-80133</v>
      </c>
      <c r="G459" s="267">
        <f>H459+I459</f>
        <v>-36808</v>
      </c>
      <c r="H459" s="267">
        <v>-6882</v>
      </c>
      <c r="I459" s="267">
        <v>-29926</v>
      </c>
      <c r="J459" s="1035"/>
    </row>
    <row r="460" spans="1:10" ht="17.25" customHeight="1">
      <c r="A460" s="1033"/>
      <c r="B460" s="1036"/>
      <c r="C460" s="1039"/>
      <c r="D460" s="266" t="s">
        <v>2</v>
      </c>
      <c r="E460" s="267">
        <f>E458+E459</f>
        <v>73618</v>
      </c>
      <c r="F460" s="267">
        <f>F458+F459</f>
        <v>0</v>
      </c>
      <c r="G460" s="267">
        <f>G458+G459</f>
        <v>36809</v>
      </c>
      <c r="H460" s="267">
        <f>H458+H459</f>
        <v>6883</v>
      </c>
      <c r="I460" s="267">
        <f>I458+I459</f>
        <v>29926</v>
      </c>
      <c r="J460" s="1036"/>
    </row>
    <row r="461" spans="1:10" ht="14.25" customHeight="1">
      <c r="A461" s="1046" t="s">
        <v>61</v>
      </c>
      <c r="B461" s="1052" t="s">
        <v>62</v>
      </c>
      <c r="C461" s="1028" t="s">
        <v>408</v>
      </c>
      <c r="D461" s="255" t="s">
        <v>0</v>
      </c>
      <c r="E461" s="265">
        <f t="shared" ref="E461:I462" si="20">E464+E467+E470+E473</f>
        <v>27129834</v>
      </c>
      <c r="F461" s="265">
        <f t="shared" si="20"/>
        <v>6538311</v>
      </c>
      <c r="G461" s="265">
        <f t="shared" si="20"/>
        <v>19951523</v>
      </c>
      <c r="H461" s="265">
        <f t="shared" si="20"/>
        <v>19951523</v>
      </c>
      <c r="I461" s="265">
        <f t="shared" si="20"/>
        <v>0</v>
      </c>
      <c r="J461" s="1028" t="s">
        <v>408</v>
      </c>
    </row>
    <row r="462" spans="1:10" ht="14.25" customHeight="1">
      <c r="A462" s="1047"/>
      <c r="B462" s="1053"/>
      <c r="C462" s="1029"/>
      <c r="D462" s="255" t="s">
        <v>1</v>
      </c>
      <c r="E462" s="265">
        <f t="shared" si="20"/>
        <v>1400000</v>
      </c>
      <c r="F462" s="265">
        <f t="shared" si="20"/>
        <v>0</v>
      </c>
      <c r="G462" s="265">
        <f t="shared" si="20"/>
        <v>100000</v>
      </c>
      <c r="H462" s="265">
        <f t="shared" si="20"/>
        <v>100000</v>
      </c>
      <c r="I462" s="265">
        <f t="shared" si="20"/>
        <v>0</v>
      </c>
      <c r="J462" s="1029"/>
    </row>
    <row r="463" spans="1:10" ht="14.25" customHeight="1">
      <c r="A463" s="1048"/>
      <c r="B463" s="1054"/>
      <c r="C463" s="1030"/>
      <c r="D463" s="255" t="s">
        <v>2</v>
      </c>
      <c r="E463" s="265">
        <f>E461+E462</f>
        <v>28529834</v>
      </c>
      <c r="F463" s="265">
        <f>F461+F462</f>
        <v>6538311</v>
      </c>
      <c r="G463" s="265">
        <f>G461+G462</f>
        <v>20051523</v>
      </c>
      <c r="H463" s="265">
        <f>H461+H462</f>
        <v>20051523</v>
      </c>
      <c r="I463" s="265">
        <f>I461+I462</f>
        <v>0</v>
      </c>
      <c r="J463" s="1030"/>
    </row>
    <row r="464" spans="1:10" hidden="1">
      <c r="A464" s="1031" t="s">
        <v>442</v>
      </c>
      <c r="B464" s="1034" t="s">
        <v>603</v>
      </c>
      <c r="C464" s="1037" t="s">
        <v>547</v>
      </c>
      <c r="D464" s="266" t="s">
        <v>0</v>
      </c>
      <c r="E464" s="267">
        <v>16151263</v>
      </c>
      <c r="F464" s="274">
        <f>500000+1900000</f>
        <v>2400000</v>
      </c>
      <c r="G464" s="267">
        <f>H464+I464</f>
        <v>13751263</v>
      </c>
      <c r="H464" s="267">
        <v>13751263</v>
      </c>
      <c r="I464" s="267">
        <v>0</v>
      </c>
      <c r="J464" s="1034" t="s">
        <v>604</v>
      </c>
    </row>
    <row r="465" spans="1:10" hidden="1">
      <c r="A465" s="1032"/>
      <c r="B465" s="1035"/>
      <c r="C465" s="1038"/>
      <c r="D465" s="266" t="s">
        <v>1</v>
      </c>
      <c r="E465" s="267"/>
      <c r="F465" s="274"/>
      <c r="G465" s="267">
        <f>H465+I465</f>
        <v>0</v>
      </c>
      <c r="H465" s="267"/>
      <c r="I465" s="267"/>
      <c r="J465" s="1035"/>
    </row>
    <row r="466" spans="1:10" hidden="1">
      <c r="A466" s="1033"/>
      <c r="B466" s="1036"/>
      <c r="C466" s="1039"/>
      <c r="D466" s="266" t="s">
        <v>2</v>
      </c>
      <c r="E466" s="267">
        <f>E464+E465</f>
        <v>16151263</v>
      </c>
      <c r="F466" s="267">
        <f>F464+F465</f>
        <v>2400000</v>
      </c>
      <c r="G466" s="267">
        <f>G464+G465</f>
        <v>13751263</v>
      </c>
      <c r="H466" s="267">
        <f>H464+H465</f>
        <v>13751263</v>
      </c>
      <c r="I466" s="267">
        <f>I464+I465</f>
        <v>0</v>
      </c>
      <c r="J466" s="1036"/>
    </row>
    <row r="467" spans="1:10" hidden="1">
      <c r="A467" s="1031" t="s">
        <v>442</v>
      </c>
      <c r="B467" s="1034" t="s">
        <v>605</v>
      </c>
      <c r="C467" s="1037" t="s">
        <v>549</v>
      </c>
      <c r="D467" s="266" t="s">
        <v>0</v>
      </c>
      <c r="E467" s="267">
        <v>10138571</v>
      </c>
      <c r="F467" s="274">
        <v>4138311</v>
      </c>
      <c r="G467" s="267">
        <f>H467+I467</f>
        <v>6000260</v>
      </c>
      <c r="H467" s="267">
        <v>6000260</v>
      </c>
      <c r="I467" s="267">
        <v>0</v>
      </c>
      <c r="J467" s="1034" t="s">
        <v>411</v>
      </c>
    </row>
    <row r="468" spans="1:10" hidden="1">
      <c r="A468" s="1032"/>
      <c r="B468" s="1035"/>
      <c r="C468" s="1038"/>
      <c r="D468" s="266" t="s">
        <v>1</v>
      </c>
      <c r="E468" s="267"/>
      <c r="F468" s="274"/>
      <c r="G468" s="267">
        <f>H468+I468</f>
        <v>0</v>
      </c>
      <c r="H468" s="267"/>
      <c r="I468" s="267"/>
      <c r="J468" s="1035"/>
    </row>
    <row r="469" spans="1:10" hidden="1">
      <c r="A469" s="1033"/>
      <c r="B469" s="1036"/>
      <c r="C469" s="1039"/>
      <c r="D469" s="266" t="s">
        <v>2</v>
      </c>
      <c r="E469" s="267">
        <f>E467+E468</f>
        <v>10138571</v>
      </c>
      <c r="F469" s="267">
        <f>F467+F468</f>
        <v>4138311</v>
      </c>
      <c r="G469" s="267">
        <f>G467+G468</f>
        <v>6000260</v>
      </c>
      <c r="H469" s="267">
        <f>H467+H468</f>
        <v>6000260</v>
      </c>
      <c r="I469" s="267">
        <f>I467+I468</f>
        <v>0</v>
      </c>
      <c r="J469" s="1036"/>
    </row>
    <row r="470" spans="1:10" hidden="1">
      <c r="A470" s="1031" t="s">
        <v>453</v>
      </c>
      <c r="B470" s="1034" t="s">
        <v>606</v>
      </c>
      <c r="C470" s="1037" t="s">
        <v>586</v>
      </c>
      <c r="D470" s="266" t="s">
        <v>0</v>
      </c>
      <c r="E470" s="267">
        <v>840000</v>
      </c>
      <c r="F470" s="274">
        <v>0</v>
      </c>
      <c r="G470" s="267">
        <f>H470+I470</f>
        <v>200000</v>
      </c>
      <c r="H470" s="267">
        <v>200000</v>
      </c>
      <c r="I470" s="267">
        <v>0</v>
      </c>
      <c r="J470" s="1034" t="s">
        <v>455</v>
      </c>
    </row>
    <row r="471" spans="1:10" hidden="1">
      <c r="A471" s="1032"/>
      <c r="B471" s="1035"/>
      <c r="C471" s="1038"/>
      <c r="D471" s="266" t="s">
        <v>1</v>
      </c>
      <c r="E471" s="267"/>
      <c r="F471" s="274"/>
      <c r="G471" s="267">
        <f>H471+I471</f>
        <v>0</v>
      </c>
      <c r="H471" s="267"/>
      <c r="I471" s="267"/>
      <c r="J471" s="1035"/>
    </row>
    <row r="472" spans="1:10" hidden="1">
      <c r="A472" s="1033"/>
      <c r="B472" s="1036"/>
      <c r="C472" s="1039"/>
      <c r="D472" s="266" t="s">
        <v>2</v>
      </c>
      <c r="E472" s="267">
        <f>E470+E471</f>
        <v>840000</v>
      </c>
      <c r="F472" s="267">
        <f>F470+F471</f>
        <v>0</v>
      </c>
      <c r="G472" s="267">
        <f>G470+G471</f>
        <v>200000</v>
      </c>
      <c r="H472" s="267">
        <f>H470+H471</f>
        <v>200000</v>
      </c>
      <c r="I472" s="267">
        <f>I470+I471</f>
        <v>0</v>
      </c>
      <c r="J472" s="1036"/>
    </row>
    <row r="473" spans="1:10" ht="13.7" customHeight="1">
      <c r="A473" s="1031" t="s">
        <v>453</v>
      </c>
      <c r="B473" s="1034" t="s">
        <v>607</v>
      </c>
      <c r="C473" s="1037" t="s">
        <v>586</v>
      </c>
      <c r="D473" s="266" t="s">
        <v>0</v>
      </c>
      <c r="E473" s="267">
        <v>0</v>
      </c>
      <c r="F473" s="274">
        <v>0</v>
      </c>
      <c r="G473" s="267">
        <f>H473+I473</f>
        <v>0</v>
      </c>
      <c r="H473" s="267">
        <v>0</v>
      </c>
      <c r="I473" s="267">
        <v>0</v>
      </c>
      <c r="J473" s="1034" t="s">
        <v>455</v>
      </c>
    </row>
    <row r="474" spans="1:10" ht="13.7" customHeight="1">
      <c r="A474" s="1032"/>
      <c r="B474" s="1035"/>
      <c r="C474" s="1038"/>
      <c r="D474" s="266" t="s">
        <v>1</v>
      </c>
      <c r="E474" s="267">
        <v>1400000</v>
      </c>
      <c r="F474" s="274"/>
      <c r="G474" s="267">
        <f>H474+I474</f>
        <v>100000</v>
      </c>
      <c r="H474" s="267">
        <v>100000</v>
      </c>
      <c r="I474" s="267"/>
      <c r="J474" s="1035"/>
    </row>
    <row r="475" spans="1:10" ht="13.7" customHeight="1">
      <c r="A475" s="1033"/>
      <c r="B475" s="1036"/>
      <c r="C475" s="1039"/>
      <c r="D475" s="266" t="s">
        <v>2</v>
      </c>
      <c r="E475" s="267">
        <f>E473+E474</f>
        <v>1400000</v>
      </c>
      <c r="F475" s="267">
        <f>F473+F474</f>
        <v>0</v>
      </c>
      <c r="G475" s="267">
        <f>G473+G474</f>
        <v>100000</v>
      </c>
      <c r="H475" s="267">
        <f>H473+H474</f>
        <v>100000</v>
      </c>
      <c r="I475" s="267">
        <f>I473+I474</f>
        <v>0</v>
      </c>
      <c r="J475" s="1036"/>
    </row>
    <row r="476" spans="1:10" ht="13.7" customHeight="1">
      <c r="A476" s="1046" t="s">
        <v>26</v>
      </c>
      <c r="B476" s="1052" t="s">
        <v>28</v>
      </c>
      <c r="C476" s="1028" t="s">
        <v>408</v>
      </c>
      <c r="D476" s="255" t="s">
        <v>0</v>
      </c>
      <c r="E476" s="265">
        <f t="shared" ref="E476:I477" si="21">E479+E485+E482</f>
        <v>3354243</v>
      </c>
      <c r="F476" s="265">
        <f t="shared" si="21"/>
        <v>54243</v>
      </c>
      <c r="G476" s="265">
        <f t="shared" si="21"/>
        <v>2300000</v>
      </c>
      <c r="H476" s="265">
        <f t="shared" si="21"/>
        <v>2300000</v>
      </c>
      <c r="I476" s="265">
        <f t="shared" si="21"/>
        <v>0</v>
      </c>
      <c r="J476" s="1028" t="s">
        <v>408</v>
      </c>
    </row>
    <row r="477" spans="1:10" ht="13.7" customHeight="1">
      <c r="A477" s="1047"/>
      <c r="B477" s="1053"/>
      <c r="C477" s="1029"/>
      <c r="D477" s="255" t="s">
        <v>1</v>
      </c>
      <c r="E477" s="265">
        <f t="shared" si="21"/>
        <v>5387425</v>
      </c>
      <c r="F477" s="265">
        <f t="shared" si="21"/>
        <v>0</v>
      </c>
      <c r="G477" s="265">
        <f t="shared" si="21"/>
        <v>3333741</v>
      </c>
      <c r="H477" s="265">
        <f t="shared" si="21"/>
        <v>3333741</v>
      </c>
      <c r="I477" s="265">
        <f t="shared" si="21"/>
        <v>0</v>
      </c>
      <c r="J477" s="1029"/>
    </row>
    <row r="478" spans="1:10" ht="13.7" customHeight="1">
      <c r="A478" s="1048"/>
      <c r="B478" s="1054"/>
      <c r="C478" s="1030"/>
      <c r="D478" s="255" t="s">
        <v>2</v>
      </c>
      <c r="E478" s="265">
        <f>E476+E477</f>
        <v>8741668</v>
      </c>
      <c r="F478" s="265">
        <f>F476+F477</f>
        <v>54243</v>
      </c>
      <c r="G478" s="265">
        <f>G476+G477</f>
        <v>5633741</v>
      </c>
      <c r="H478" s="265">
        <f>H476+H477</f>
        <v>5633741</v>
      </c>
      <c r="I478" s="265">
        <f>I476+I477</f>
        <v>0</v>
      </c>
      <c r="J478" s="1030"/>
    </row>
    <row r="479" spans="1:10" hidden="1">
      <c r="A479" s="1031" t="s">
        <v>470</v>
      </c>
      <c r="B479" s="1034" t="s">
        <v>608</v>
      </c>
      <c r="C479" s="1037" t="s">
        <v>547</v>
      </c>
      <c r="D479" s="266" t="s">
        <v>0</v>
      </c>
      <c r="E479" s="267">
        <v>2054243</v>
      </c>
      <c r="F479" s="274">
        <v>54243</v>
      </c>
      <c r="G479" s="267">
        <f>H479+I479</f>
        <v>2000000</v>
      </c>
      <c r="H479" s="267">
        <v>2000000</v>
      </c>
      <c r="I479" s="267">
        <v>0</v>
      </c>
      <c r="J479" s="1034" t="s">
        <v>411</v>
      </c>
    </row>
    <row r="480" spans="1:10" hidden="1">
      <c r="A480" s="1032"/>
      <c r="B480" s="1035"/>
      <c r="C480" s="1038"/>
      <c r="D480" s="266" t="s">
        <v>1</v>
      </c>
      <c r="E480" s="267"/>
      <c r="F480" s="274"/>
      <c r="G480" s="267">
        <f>H480+I480</f>
        <v>0</v>
      </c>
      <c r="H480" s="267"/>
      <c r="I480" s="267"/>
      <c r="J480" s="1035"/>
    </row>
    <row r="481" spans="1:10" hidden="1">
      <c r="A481" s="1033"/>
      <c r="B481" s="1036"/>
      <c r="C481" s="1039"/>
      <c r="D481" s="266" t="s">
        <v>2</v>
      </c>
      <c r="E481" s="267">
        <f>E479+E480</f>
        <v>2054243</v>
      </c>
      <c r="F481" s="267">
        <f>F479+F480</f>
        <v>54243</v>
      </c>
      <c r="G481" s="267">
        <f>G479+G480</f>
        <v>2000000</v>
      </c>
      <c r="H481" s="267">
        <f>H479+H480</f>
        <v>2000000</v>
      </c>
      <c r="I481" s="267">
        <f>I479+I480</f>
        <v>0</v>
      </c>
      <c r="J481" s="1036"/>
    </row>
    <row r="482" spans="1:10" ht="13.7" customHeight="1">
      <c r="A482" s="1031" t="s">
        <v>470</v>
      </c>
      <c r="B482" s="1034" t="s">
        <v>471</v>
      </c>
      <c r="C482" s="1037" t="s">
        <v>586</v>
      </c>
      <c r="D482" s="266" t="s">
        <v>0</v>
      </c>
      <c r="E482" s="267">
        <v>0</v>
      </c>
      <c r="F482" s="274">
        <v>0</v>
      </c>
      <c r="G482" s="267">
        <f>H482+I482</f>
        <v>0</v>
      </c>
      <c r="H482" s="267">
        <v>0</v>
      </c>
      <c r="I482" s="267">
        <v>0</v>
      </c>
      <c r="J482" s="1034" t="s">
        <v>411</v>
      </c>
    </row>
    <row r="483" spans="1:10" ht="13.7" customHeight="1">
      <c r="A483" s="1032"/>
      <c r="B483" s="1035"/>
      <c r="C483" s="1038"/>
      <c r="D483" s="266" t="s">
        <v>1</v>
      </c>
      <c r="E483" s="267">
        <v>5387425</v>
      </c>
      <c r="F483" s="274"/>
      <c r="G483" s="267">
        <f>H483+I483</f>
        <v>3333741</v>
      </c>
      <c r="H483" s="267">
        <v>3333741</v>
      </c>
      <c r="I483" s="267"/>
      <c r="J483" s="1035"/>
    </row>
    <row r="484" spans="1:10" ht="13.7" customHeight="1">
      <c r="A484" s="1033"/>
      <c r="B484" s="1036"/>
      <c r="C484" s="1039"/>
      <c r="D484" s="266" t="s">
        <v>2</v>
      </c>
      <c r="E484" s="267">
        <f>E482+E483</f>
        <v>5387425</v>
      </c>
      <c r="F484" s="267">
        <f>F482+F483</f>
        <v>0</v>
      </c>
      <c r="G484" s="267">
        <f>G482+G483</f>
        <v>3333741</v>
      </c>
      <c r="H484" s="267">
        <f>H482+H483</f>
        <v>3333741</v>
      </c>
      <c r="I484" s="267">
        <f>I482+I483</f>
        <v>0</v>
      </c>
      <c r="J484" s="1036"/>
    </row>
    <row r="485" spans="1:10" hidden="1">
      <c r="A485" s="1031" t="s">
        <v>473</v>
      </c>
      <c r="B485" s="1034" t="s">
        <v>474</v>
      </c>
      <c r="C485" s="1037" t="s">
        <v>586</v>
      </c>
      <c r="D485" s="266" t="s">
        <v>0</v>
      </c>
      <c r="E485" s="267">
        <v>1300000</v>
      </c>
      <c r="F485" s="274">
        <v>0</v>
      </c>
      <c r="G485" s="267">
        <f>H485+I485</f>
        <v>300000</v>
      </c>
      <c r="H485" s="267">
        <v>300000</v>
      </c>
      <c r="I485" s="267">
        <v>0</v>
      </c>
      <c r="J485" s="1034" t="s">
        <v>411</v>
      </c>
    </row>
    <row r="486" spans="1:10" hidden="1">
      <c r="A486" s="1032"/>
      <c r="B486" s="1035"/>
      <c r="C486" s="1038"/>
      <c r="D486" s="266" t="s">
        <v>1</v>
      </c>
      <c r="E486" s="267"/>
      <c r="F486" s="274"/>
      <c r="G486" s="267">
        <f>H486+I486</f>
        <v>0</v>
      </c>
      <c r="H486" s="267"/>
      <c r="I486" s="267"/>
      <c r="J486" s="1035"/>
    </row>
    <row r="487" spans="1:10" hidden="1">
      <c r="A487" s="1033"/>
      <c r="B487" s="1036"/>
      <c r="C487" s="1039"/>
      <c r="D487" s="266" t="s">
        <v>2</v>
      </c>
      <c r="E487" s="267">
        <f>E485+E486</f>
        <v>1300000</v>
      </c>
      <c r="F487" s="267">
        <f>F485+F486</f>
        <v>0</v>
      </c>
      <c r="G487" s="267">
        <f>G485+G486</f>
        <v>300000</v>
      </c>
      <c r="H487" s="267">
        <f>H485+H486</f>
        <v>300000</v>
      </c>
      <c r="I487" s="267">
        <f>I485+I486</f>
        <v>0</v>
      </c>
      <c r="J487" s="1036"/>
    </row>
    <row r="488" spans="1:10" ht="13.7" customHeight="1">
      <c r="A488" s="1046" t="s">
        <v>67</v>
      </c>
      <c r="B488" s="1049" t="s">
        <v>68</v>
      </c>
      <c r="C488" s="1028" t="s">
        <v>408</v>
      </c>
      <c r="D488" s="255" t="s">
        <v>0</v>
      </c>
      <c r="E488" s="265">
        <f>E491+E494+E497+E500+E503+E506+E509+E515+E521+E527+E530+E533+E512+E524+E518</f>
        <v>296837073</v>
      </c>
      <c r="F488" s="265">
        <f t="shared" ref="E488:I489" si="22">F491+F494+F497+F500+F503+F506+F509+F515+F521+F527+F530+F533+F512+F524+F518</f>
        <v>29061622</v>
      </c>
      <c r="G488" s="265">
        <f t="shared" si="22"/>
        <v>107763144</v>
      </c>
      <c r="H488" s="265">
        <f t="shared" si="22"/>
        <v>79885941</v>
      </c>
      <c r="I488" s="265">
        <f t="shared" si="22"/>
        <v>27877203</v>
      </c>
      <c r="J488" s="1028" t="s">
        <v>408</v>
      </c>
    </row>
    <row r="489" spans="1:10" ht="13.7" customHeight="1">
      <c r="A489" s="1047"/>
      <c r="B489" s="1050"/>
      <c r="C489" s="1029"/>
      <c r="D489" s="255" t="s">
        <v>1</v>
      </c>
      <c r="E489" s="265">
        <f t="shared" si="22"/>
        <v>53735586</v>
      </c>
      <c r="F489" s="265">
        <f t="shared" si="22"/>
        <v>-6541016</v>
      </c>
      <c r="G489" s="265">
        <f t="shared" si="22"/>
        <v>5338833</v>
      </c>
      <c r="H489" s="265">
        <f t="shared" si="22"/>
        <v>5338833</v>
      </c>
      <c r="I489" s="265">
        <f t="shared" si="22"/>
        <v>0</v>
      </c>
      <c r="J489" s="1029"/>
    </row>
    <row r="490" spans="1:10" ht="13.7" customHeight="1">
      <c r="A490" s="1048"/>
      <c r="B490" s="1051"/>
      <c r="C490" s="1030"/>
      <c r="D490" s="255" t="s">
        <v>2</v>
      </c>
      <c r="E490" s="265">
        <f>E488+E489</f>
        <v>350572659</v>
      </c>
      <c r="F490" s="265">
        <f>F488+F489</f>
        <v>22520606</v>
      </c>
      <c r="G490" s="265">
        <f>G488+G489</f>
        <v>113101977</v>
      </c>
      <c r="H490" s="265">
        <f>H488+H489</f>
        <v>85224774</v>
      </c>
      <c r="I490" s="265">
        <f>I488+I489</f>
        <v>27877203</v>
      </c>
      <c r="J490" s="1030"/>
    </row>
    <row r="491" spans="1:10" hidden="1">
      <c r="A491" s="1031" t="s">
        <v>475</v>
      </c>
      <c r="B491" s="1034" t="s">
        <v>609</v>
      </c>
      <c r="C491" s="1037" t="s">
        <v>555</v>
      </c>
      <c r="D491" s="266" t="s">
        <v>0</v>
      </c>
      <c r="E491" s="267">
        <v>114216740</v>
      </c>
      <c r="F491" s="274">
        <v>6622228</v>
      </c>
      <c r="G491" s="267">
        <f>H491+I491</f>
        <v>55754406</v>
      </c>
      <c r="H491" s="267">
        <v>27877203</v>
      </c>
      <c r="I491" s="267">
        <v>27877203</v>
      </c>
      <c r="J491" s="1034" t="s">
        <v>476</v>
      </c>
    </row>
    <row r="492" spans="1:10" hidden="1">
      <c r="A492" s="1032"/>
      <c r="B492" s="1035"/>
      <c r="C492" s="1038"/>
      <c r="D492" s="266" t="s">
        <v>1</v>
      </c>
      <c r="E492" s="267"/>
      <c r="F492" s="274"/>
      <c r="G492" s="267">
        <f>H492+I492</f>
        <v>0</v>
      </c>
      <c r="H492" s="267"/>
      <c r="I492" s="267"/>
      <c r="J492" s="1035"/>
    </row>
    <row r="493" spans="1:10" hidden="1">
      <c r="A493" s="1033"/>
      <c r="B493" s="1036"/>
      <c r="C493" s="1039"/>
      <c r="D493" s="266" t="s">
        <v>2</v>
      </c>
      <c r="E493" s="267">
        <f>E491+E492</f>
        <v>114216740</v>
      </c>
      <c r="F493" s="267">
        <f>F491+F492</f>
        <v>6622228</v>
      </c>
      <c r="G493" s="267">
        <f>G491+G492</f>
        <v>55754406</v>
      </c>
      <c r="H493" s="267">
        <f>H491+H492</f>
        <v>27877203</v>
      </c>
      <c r="I493" s="267">
        <f>I491+I492</f>
        <v>27877203</v>
      </c>
      <c r="J493" s="1036"/>
    </row>
    <row r="494" spans="1:10" ht="18" hidden="1" customHeight="1">
      <c r="A494" s="1031" t="s">
        <v>475</v>
      </c>
      <c r="B494" s="1034" t="s">
        <v>610</v>
      </c>
      <c r="C494" s="1037" t="s">
        <v>541</v>
      </c>
      <c r="D494" s="266" t="s">
        <v>0</v>
      </c>
      <c r="E494" s="267">
        <v>9092217</v>
      </c>
      <c r="F494" s="274">
        <v>8534217</v>
      </c>
      <c r="G494" s="267">
        <f>H494+I494</f>
        <v>558000</v>
      </c>
      <c r="H494" s="267">
        <v>558000</v>
      </c>
      <c r="I494" s="267">
        <v>0</v>
      </c>
      <c r="J494" s="1034" t="s">
        <v>481</v>
      </c>
    </row>
    <row r="495" spans="1:10" ht="18" hidden="1" customHeight="1">
      <c r="A495" s="1032"/>
      <c r="B495" s="1035"/>
      <c r="C495" s="1038"/>
      <c r="D495" s="266" t="s">
        <v>1</v>
      </c>
      <c r="E495" s="267"/>
      <c r="F495" s="274"/>
      <c r="G495" s="267">
        <f>H495+I495</f>
        <v>0</v>
      </c>
      <c r="H495" s="267"/>
      <c r="I495" s="267"/>
      <c r="J495" s="1035"/>
    </row>
    <row r="496" spans="1:10" ht="18" hidden="1" customHeight="1">
      <c r="A496" s="1033"/>
      <c r="B496" s="1036"/>
      <c r="C496" s="1039"/>
      <c r="D496" s="266" t="s">
        <v>2</v>
      </c>
      <c r="E496" s="267">
        <f>E494+E495</f>
        <v>9092217</v>
      </c>
      <c r="F496" s="267">
        <f>F494+F495</f>
        <v>8534217</v>
      </c>
      <c r="G496" s="267">
        <f>G494+G495</f>
        <v>558000</v>
      </c>
      <c r="H496" s="267">
        <f>H494+H495</f>
        <v>558000</v>
      </c>
      <c r="I496" s="267">
        <f>I494+I495</f>
        <v>0</v>
      </c>
      <c r="J496" s="1036"/>
    </row>
    <row r="497" spans="1:10" hidden="1">
      <c r="A497" s="1031" t="s">
        <v>475</v>
      </c>
      <c r="B497" s="1034" t="s">
        <v>611</v>
      </c>
      <c r="C497" s="1037" t="s">
        <v>612</v>
      </c>
      <c r="D497" s="266" t="s">
        <v>0</v>
      </c>
      <c r="E497" s="267">
        <v>6253645</v>
      </c>
      <c r="F497" s="274">
        <v>4383137</v>
      </c>
      <c r="G497" s="267">
        <f>H497+I497</f>
        <v>1870508</v>
      </c>
      <c r="H497" s="267">
        <v>1870508</v>
      </c>
      <c r="I497" s="267">
        <v>0</v>
      </c>
      <c r="J497" s="1034" t="s">
        <v>481</v>
      </c>
    </row>
    <row r="498" spans="1:10" hidden="1">
      <c r="A498" s="1032"/>
      <c r="B498" s="1035"/>
      <c r="C498" s="1038"/>
      <c r="D498" s="266" t="s">
        <v>1</v>
      </c>
      <c r="E498" s="267"/>
      <c r="F498" s="274"/>
      <c r="G498" s="267">
        <f>H498+I498</f>
        <v>0</v>
      </c>
      <c r="H498" s="267"/>
      <c r="I498" s="267"/>
      <c r="J498" s="1035"/>
    </row>
    <row r="499" spans="1:10" hidden="1">
      <c r="A499" s="1033"/>
      <c r="B499" s="1036"/>
      <c r="C499" s="1039"/>
      <c r="D499" s="266" t="s">
        <v>2</v>
      </c>
      <c r="E499" s="267">
        <f>E497+E498</f>
        <v>6253645</v>
      </c>
      <c r="F499" s="267">
        <f>F497+F498</f>
        <v>4383137</v>
      </c>
      <c r="G499" s="267">
        <f>G497+G498</f>
        <v>1870508</v>
      </c>
      <c r="H499" s="267">
        <f>H497+H498</f>
        <v>1870508</v>
      </c>
      <c r="I499" s="267">
        <f>I497+I498</f>
        <v>0</v>
      </c>
      <c r="J499" s="1036"/>
    </row>
    <row r="500" spans="1:10" hidden="1">
      <c r="A500" s="1031" t="s">
        <v>613</v>
      </c>
      <c r="B500" s="1034" t="s">
        <v>614</v>
      </c>
      <c r="C500" s="1037" t="s">
        <v>551</v>
      </c>
      <c r="D500" s="266" t="s">
        <v>0</v>
      </c>
      <c r="E500" s="267">
        <v>79565840</v>
      </c>
      <c r="F500" s="274">
        <v>352794</v>
      </c>
      <c r="G500" s="267">
        <f>H500+I500</f>
        <v>14192568</v>
      </c>
      <c r="H500" s="267">
        <v>14192568</v>
      </c>
      <c r="I500" s="267">
        <v>0</v>
      </c>
      <c r="J500" s="1034" t="s">
        <v>615</v>
      </c>
    </row>
    <row r="501" spans="1:10" hidden="1">
      <c r="A501" s="1032"/>
      <c r="B501" s="1035"/>
      <c r="C501" s="1038"/>
      <c r="D501" s="266" t="s">
        <v>1</v>
      </c>
      <c r="E501" s="267"/>
      <c r="F501" s="274"/>
      <c r="G501" s="267">
        <f>H501+I501</f>
        <v>0</v>
      </c>
      <c r="H501" s="267"/>
      <c r="I501" s="267"/>
      <c r="J501" s="1035"/>
    </row>
    <row r="502" spans="1:10" hidden="1">
      <c r="A502" s="1033"/>
      <c r="B502" s="1036"/>
      <c r="C502" s="1039"/>
      <c r="D502" s="266" t="s">
        <v>2</v>
      </c>
      <c r="E502" s="267">
        <f>E500+E501</f>
        <v>79565840</v>
      </c>
      <c r="F502" s="267">
        <f>F500+F501</f>
        <v>352794</v>
      </c>
      <c r="G502" s="267">
        <f>G500+G501</f>
        <v>14192568</v>
      </c>
      <c r="H502" s="267">
        <f>H500+H501</f>
        <v>14192568</v>
      </c>
      <c r="I502" s="267">
        <f>I500+I501</f>
        <v>0</v>
      </c>
      <c r="J502" s="1036"/>
    </row>
    <row r="503" spans="1:10" ht="13.7" customHeight="1">
      <c r="A503" s="1031" t="s">
        <v>483</v>
      </c>
      <c r="B503" s="1034" t="s">
        <v>616</v>
      </c>
      <c r="C503" s="1037" t="s">
        <v>555</v>
      </c>
      <c r="D503" s="266" t="s">
        <v>0</v>
      </c>
      <c r="E503" s="267">
        <v>1497793</v>
      </c>
      <c r="F503" s="274">
        <v>35950</v>
      </c>
      <c r="G503" s="267">
        <f>H503+I503</f>
        <v>1461843</v>
      </c>
      <c r="H503" s="267">
        <v>1461843</v>
      </c>
      <c r="I503" s="267">
        <v>0</v>
      </c>
      <c r="J503" s="1034" t="s">
        <v>617</v>
      </c>
    </row>
    <row r="504" spans="1:10" ht="13.7" customHeight="1">
      <c r="A504" s="1032"/>
      <c r="B504" s="1035"/>
      <c r="C504" s="1038"/>
      <c r="D504" s="266" t="s">
        <v>1</v>
      </c>
      <c r="E504" s="267">
        <v>1662681</v>
      </c>
      <c r="F504" s="274"/>
      <c r="G504" s="267">
        <f>H504+I504</f>
        <v>0</v>
      </c>
      <c r="H504" s="267"/>
      <c r="I504" s="267"/>
      <c r="J504" s="1035"/>
    </row>
    <row r="505" spans="1:10" ht="13.7" customHeight="1">
      <c r="A505" s="1033"/>
      <c r="B505" s="1036"/>
      <c r="C505" s="1039"/>
      <c r="D505" s="266" t="s">
        <v>2</v>
      </c>
      <c r="E505" s="267">
        <f>E503+E504</f>
        <v>3160474</v>
      </c>
      <c r="F505" s="267">
        <f>F503+F504</f>
        <v>35950</v>
      </c>
      <c r="G505" s="267">
        <f>G503+G504</f>
        <v>1461843</v>
      </c>
      <c r="H505" s="267">
        <f>H503+H504</f>
        <v>1461843</v>
      </c>
      <c r="I505" s="267">
        <f>I503+I504</f>
        <v>0</v>
      </c>
      <c r="J505" s="1036"/>
    </row>
    <row r="506" spans="1:10" hidden="1">
      <c r="A506" s="1031" t="s">
        <v>483</v>
      </c>
      <c r="B506" s="1034" t="s">
        <v>618</v>
      </c>
      <c r="C506" s="1037" t="s">
        <v>619</v>
      </c>
      <c r="D506" s="266" t="s">
        <v>0</v>
      </c>
      <c r="E506" s="267">
        <v>13046425</v>
      </c>
      <c r="F506" s="274">
        <v>0</v>
      </c>
      <c r="G506" s="267">
        <f>H506+I506</f>
        <v>791425</v>
      </c>
      <c r="H506" s="267">
        <v>791425</v>
      </c>
      <c r="I506" s="267">
        <v>0</v>
      </c>
      <c r="J506" s="1034" t="s">
        <v>485</v>
      </c>
    </row>
    <row r="507" spans="1:10" hidden="1">
      <c r="A507" s="1032"/>
      <c r="B507" s="1035"/>
      <c r="C507" s="1038"/>
      <c r="D507" s="266" t="s">
        <v>1</v>
      </c>
      <c r="E507" s="267"/>
      <c r="F507" s="274"/>
      <c r="G507" s="267">
        <f>H507+I507</f>
        <v>0</v>
      </c>
      <c r="H507" s="267"/>
      <c r="I507" s="267"/>
      <c r="J507" s="1035"/>
    </row>
    <row r="508" spans="1:10" hidden="1">
      <c r="A508" s="1033"/>
      <c r="B508" s="1036"/>
      <c r="C508" s="1039"/>
      <c r="D508" s="266" t="s">
        <v>2</v>
      </c>
      <c r="E508" s="267">
        <f>E506+E507</f>
        <v>13046425</v>
      </c>
      <c r="F508" s="267">
        <f>F506+F507</f>
        <v>0</v>
      </c>
      <c r="G508" s="267">
        <f>G506+G507</f>
        <v>791425</v>
      </c>
      <c r="H508" s="267">
        <f>H506+H507</f>
        <v>791425</v>
      </c>
      <c r="I508" s="267">
        <f>I506+I507</f>
        <v>0</v>
      </c>
      <c r="J508" s="1036"/>
    </row>
    <row r="509" spans="1:10" hidden="1">
      <c r="A509" s="1031" t="s">
        <v>483</v>
      </c>
      <c r="B509" s="1034" t="s">
        <v>620</v>
      </c>
      <c r="C509" s="1037" t="s">
        <v>551</v>
      </c>
      <c r="D509" s="266" t="s">
        <v>0</v>
      </c>
      <c r="E509" s="267">
        <v>24595956</v>
      </c>
      <c r="F509" s="274">
        <v>175890</v>
      </c>
      <c r="G509" s="267">
        <f>H509+I509</f>
        <v>7899441</v>
      </c>
      <c r="H509" s="267">
        <v>7899441</v>
      </c>
      <c r="I509" s="267">
        <v>0</v>
      </c>
      <c r="J509" s="1034" t="s">
        <v>493</v>
      </c>
    </row>
    <row r="510" spans="1:10" hidden="1">
      <c r="A510" s="1032"/>
      <c r="B510" s="1035"/>
      <c r="C510" s="1038"/>
      <c r="D510" s="266" t="s">
        <v>1</v>
      </c>
      <c r="E510" s="267"/>
      <c r="F510" s="274"/>
      <c r="G510" s="267">
        <f>H510+I510</f>
        <v>0</v>
      </c>
      <c r="H510" s="267"/>
      <c r="I510" s="267"/>
      <c r="J510" s="1035"/>
    </row>
    <row r="511" spans="1:10" hidden="1">
      <c r="A511" s="1033"/>
      <c r="B511" s="1036"/>
      <c r="C511" s="1039"/>
      <c r="D511" s="266" t="s">
        <v>2</v>
      </c>
      <c r="E511" s="267">
        <f>E509+E510</f>
        <v>24595956</v>
      </c>
      <c r="F511" s="267">
        <f>F509+F510</f>
        <v>175890</v>
      </c>
      <c r="G511" s="267">
        <f>G509+G510</f>
        <v>7899441</v>
      </c>
      <c r="H511" s="267">
        <f>H509+H510</f>
        <v>7899441</v>
      </c>
      <c r="I511" s="267">
        <f>I509+I510</f>
        <v>0</v>
      </c>
      <c r="J511" s="1036"/>
    </row>
    <row r="512" spans="1:10" hidden="1">
      <c r="A512" s="1031" t="s">
        <v>483</v>
      </c>
      <c r="B512" s="1034" t="s">
        <v>621</v>
      </c>
      <c r="C512" s="1037" t="s">
        <v>619</v>
      </c>
      <c r="D512" s="266" t="s">
        <v>0</v>
      </c>
      <c r="E512" s="267">
        <v>12000000</v>
      </c>
      <c r="F512" s="274"/>
      <c r="G512" s="267">
        <f>H512+I512</f>
        <v>960000</v>
      </c>
      <c r="H512" s="267">
        <v>960000</v>
      </c>
      <c r="I512" s="267">
        <v>0</v>
      </c>
      <c r="J512" s="1034" t="s">
        <v>493</v>
      </c>
    </row>
    <row r="513" spans="1:10" hidden="1">
      <c r="A513" s="1032"/>
      <c r="B513" s="1035"/>
      <c r="C513" s="1038"/>
      <c r="D513" s="266" t="s">
        <v>1</v>
      </c>
      <c r="E513" s="267"/>
      <c r="F513" s="274"/>
      <c r="G513" s="267">
        <f>H513+I513</f>
        <v>0</v>
      </c>
      <c r="H513" s="267"/>
      <c r="I513" s="267"/>
      <c r="J513" s="1035"/>
    </row>
    <row r="514" spans="1:10" hidden="1">
      <c r="A514" s="1033"/>
      <c r="B514" s="1036"/>
      <c r="C514" s="1039"/>
      <c r="D514" s="266" t="s">
        <v>2</v>
      </c>
      <c r="E514" s="267">
        <f>E512+E513</f>
        <v>12000000</v>
      </c>
      <c r="F514" s="267">
        <f>F512+F513</f>
        <v>0</v>
      </c>
      <c r="G514" s="267">
        <f>G512+G513</f>
        <v>960000</v>
      </c>
      <c r="H514" s="267">
        <f>H512+H513</f>
        <v>960000</v>
      </c>
      <c r="I514" s="267">
        <f>I512+I513</f>
        <v>0</v>
      </c>
      <c r="J514" s="1036"/>
    </row>
    <row r="515" spans="1:10" hidden="1">
      <c r="A515" s="1031" t="s">
        <v>483</v>
      </c>
      <c r="B515" s="1034" t="s">
        <v>622</v>
      </c>
      <c r="C515" s="1037" t="s">
        <v>623</v>
      </c>
      <c r="D515" s="266" t="s">
        <v>0</v>
      </c>
      <c r="E515" s="267">
        <v>420958</v>
      </c>
      <c r="F515" s="274">
        <v>95100</v>
      </c>
      <c r="G515" s="267">
        <f>H515+I515</f>
        <v>325858</v>
      </c>
      <c r="H515" s="267">
        <v>325858</v>
      </c>
      <c r="I515" s="267">
        <v>0</v>
      </c>
      <c r="J515" s="1034" t="s">
        <v>491</v>
      </c>
    </row>
    <row r="516" spans="1:10" hidden="1">
      <c r="A516" s="1032"/>
      <c r="B516" s="1035"/>
      <c r="C516" s="1038"/>
      <c r="D516" s="266" t="s">
        <v>1</v>
      </c>
      <c r="E516" s="267"/>
      <c r="F516" s="274"/>
      <c r="G516" s="267">
        <f>H516+I516</f>
        <v>0</v>
      </c>
      <c r="H516" s="267"/>
      <c r="I516" s="267"/>
      <c r="J516" s="1035"/>
    </row>
    <row r="517" spans="1:10" hidden="1">
      <c r="A517" s="1033"/>
      <c r="B517" s="1036"/>
      <c r="C517" s="1039"/>
      <c r="D517" s="266" t="s">
        <v>2</v>
      </c>
      <c r="E517" s="267">
        <f>E515+E516</f>
        <v>420958</v>
      </c>
      <c r="F517" s="267">
        <f>F515+F516</f>
        <v>95100</v>
      </c>
      <c r="G517" s="267">
        <f>G515+G516</f>
        <v>325858</v>
      </c>
      <c r="H517" s="267">
        <f>H515+H516</f>
        <v>325858</v>
      </c>
      <c r="I517" s="267">
        <f>I515+I516</f>
        <v>0</v>
      </c>
      <c r="J517" s="1036"/>
    </row>
    <row r="518" spans="1:10" ht="13.7" customHeight="1">
      <c r="A518" s="1031" t="s">
        <v>483</v>
      </c>
      <c r="B518" s="1034" t="s">
        <v>624</v>
      </c>
      <c r="C518" s="1037" t="s">
        <v>625</v>
      </c>
      <c r="D518" s="266" t="s">
        <v>0</v>
      </c>
      <c r="E518" s="267">
        <v>0</v>
      </c>
      <c r="F518" s="274">
        <v>0</v>
      </c>
      <c r="G518" s="267">
        <f>H518+I518</f>
        <v>0</v>
      </c>
      <c r="H518" s="267">
        <v>0</v>
      </c>
      <c r="I518" s="267">
        <v>0</v>
      </c>
      <c r="J518" s="1034" t="s">
        <v>491</v>
      </c>
    </row>
    <row r="519" spans="1:10" ht="13.7" customHeight="1">
      <c r="A519" s="1032"/>
      <c r="B519" s="1035"/>
      <c r="C519" s="1038"/>
      <c r="D519" s="266" t="s">
        <v>1</v>
      </c>
      <c r="E519" s="267">
        <v>35855927</v>
      </c>
      <c r="F519" s="274"/>
      <c r="G519" s="267">
        <f>H519+I519</f>
        <v>5238042</v>
      </c>
      <c r="H519" s="267">
        <v>5238042</v>
      </c>
      <c r="I519" s="267"/>
      <c r="J519" s="1035"/>
    </row>
    <row r="520" spans="1:10" ht="13.7" customHeight="1">
      <c r="A520" s="1033"/>
      <c r="B520" s="1036"/>
      <c r="C520" s="1039"/>
      <c r="D520" s="266" t="s">
        <v>2</v>
      </c>
      <c r="E520" s="267">
        <f>E518+E519</f>
        <v>35855927</v>
      </c>
      <c r="F520" s="267">
        <f>F518+F519</f>
        <v>0</v>
      </c>
      <c r="G520" s="267">
        <f>G518+G519</f>
        <v>5238042</v>
      </c>
      <c r="H520" s="267">
        <f>H518+H519</f>
        <v>5238042</v>
      </c>
      <c r="I520" s="267">
        <f>I518+I519</f>
        <v>0</v>
      </c>
      <c r="J520" s="1036"/>
    </row>
    <row r="521" spans="1:10">
      <c r="A521" s="1031" t="s">
        <v>499</v>
      </c>
      <c r="B521" s="1034" t="s">
        <v>626</v>
      </c>
      <c r="C521" s="1037" t="s">
        <v>543</v>
      </c>
      <c r="D521" s="266" t="s">
        <v>0</v>
      </c>
      <c r="E521" s="267">
        <v>31048802</v>
      </c>
      <c r="F521" s="274">
        <v>8802306</v>
      </c>
      <c r="G521" s="267">
        <f>H521+I521</f>
        <v>22246496</v>
      </c>
      <c r="H521" s="267">
        <v>22246496</v>
      </c>
      <c r="I521" s="267">
        <v>0</v>
      </c>
      <c r="J521" s="1034" t="s">
        <v>500</v>
      </c>
    </row>
    <row r="522" spans="1:10">
      <c r="A522" s="1032"/>
      <c r="B522" s="1035"/>
      <c r="C522" s="1038"/>
      <c r="D522" s="266" t="s">
        <v>1</v>
      </c>
      <c r="E522" s="267">
        <v>-3327225</v>
      </c>
      <c r="F522" s="274">
        <v>-6541016</v>
      </c>
      <c r="G522" s="267">
        <f>H522+I522</f>
        <v>0</v>
      </c>
      <c r="H522" s="267"/>
      <c r="I522" s="267"/>
      <c r="J522" s="1035"/>
    </row>
    <row r="523" spans="1:10">
      <c r="A523" s="1033"/>
      <c r="B523" s="1036"/>
      <c r="C523" s="1039"/>
      <c r="D523" s="266" t="s">
        <v>2</v>
      </c>
      <c r="E523" s="267">
        <f>E521+E522</f>
        <v>27721577</v>
      </c>
      <c r="F523" s="267">
        <f>F521+F522</f>
        <v>2261290</v>
      </c>
      <c r="G523" s="267">
        <f>G521+G522</f>
        <v>22246496</v>
      </c>
      <c r="H523" s="267">
        <f>H521+H522</f>
        <v>22246496</v>
      </c>
      <c r="I523" s="267">
        <f>I521+I522</f>
        <v>0</v>
      </c>
      <c r="J523" s="1036"/>
    </row>
    <row r="524" spans="1:10">
      <c r="A524" s="1031" t="s">
        <v>499</v>
      </c>
      <c r="B524" s="1034" t="s">
        <v>627</v>
      </c>
      <c r="C524" s="1037" t="s">
        <v>625</v>
      </c>
      <c r="D524" s="266" t="s">
        <v>0</v>
      </c>
      <c r="E524" s="267">
        <v>0</v>
      </c>
      <c r="F524" s="274">
        <v>0</v>
      </c>
      <c r="G524" s="267">
        <f>H524+I524</f>
        <v>0</v>
      </c>
      <c r="H524" s="267">
        <v>0</v>
      </c>
      <c r="I524" s="267">
        <v>0</v>
      </c>
      <c r="J524" s="1034" t="s">
        <v>515</v>
      </c>
    </row>
    <row r="525" spans="1:10">
      <c r="A525" s="1032"/>
      <c r="B525" s="1035"/>
      <c r="C525" s="1038"/>
      <c r="D525" s="266" t="s">
        <v>1</v>
      </c>
      <c r="E525" s="267">
        <v>19544203</v>
      </c>
      <c r="F525" s="274"/>
      <c r="G525" s="267">
        <f>H525+I525</f>
        <v>100791</v>
      </c>
      <c r="H525" s="267">
        <v>100791</v>
      </c>
      <c r="I525" s="267"/>
      <c r="J525" s="1035"/>
    </row>
    <row r="526" spans="1:10">
      <c r="A526" s="1033"/>
      <c r="B526" s="1036"/>
      <c r="C526" s="1039"/>
      <c r="D526" s="266" t="s">
        <v>2</v>
      </c>
      <c r="E526" s="267">
        <f>E524+E525</f>
        <v>19544203</v>
      </c>
      <c r="F526" s="267">
        <f>F524+F525</f>
        <v>0</v>
      </c>
      <c r="G526" s="267">
        <f>G524+G525</f>
        <v>100791</v>
      </c>
      <c r="H526" s="267">
        <f>H524+H525</f>
        <v>100791</v>
      </c>
      <c r="I526" s="267">
        <f>I524+I525</f>
        <v>0</v>
      </c>
      <c r="J526" s="1036"/>
    </row>
    <row r="527" spans="1:10" hidden="1">
      <c r="A527" s="1031" t="s">
        <v>503</v>
      </c>
      <c r="B527" s="1034" t="s">
        <v>628</v>
      </c>
      <c r="C527" s="1037" t="s">
        <v>586</v>
      </c>
      <c r="D527" s="266" t="s">
        <v>0</v>
      </c>
      <c r="E527" s="267">
        <v>2775875</v>
      </c>
      <c r="F527" s="274">
        <v>0</v>
      </c>
      <c r="G527" s="267">
        <f>H527+I527</f>
        <v>401625</v>
      </c>
      <c r="H527" s="267">
        <v>401625</v>
      </c>
      <c r="I527" s="267">
        <v>0</v>
      </c>
      <c r="J527" s="1034" t="s">
        <v>504</v>
      </c>
    </row>
    <row r="528" spans="1:10" hidden="1">
      <c r="A528" s="1032"/>
      <c r="B528" s="1035"/>
      <c r="C528" s="1038"/>
      <c r="D528" s="266" t="s">
        <v>1</v>
      </c>
      <c r="E528" s="267"/>
      <c r="F528" s="274"/>
      <c r="G528" s="267">
        <f>H528+I528</f>
        <v>0</v>
      </c>
      <c r="H528" s="267"/>
      <c r="I528" s="267"/>
      <c r="J528" s="1035"/>
    </row>
    <row r="529" spans="1:10" hidden="1">
      <c r="A529" s="1033"/>
      <c r="B529" s="1036"/>
      <c r="C529" s="1039"/>
      <c r="D529" s="266" t="s">
        <v>2</v>
      </c>
      <c r="E529" s="267">
        <f>E527+E528</f>
        <v>2775875</v>
      </c>
      <c r="F529" s="267">
        <f>F527+F528</f>
        <v>0</v>
      </c>
      <c r="G529" s="267">
        <f>G527+G528</f>
        <v>401625</v>
      </c>
      <c r="H529" s="267">
        <f>H527+H528</f>
        <v>401625</v>
      </c>
      <c r="I529" s="267">
        <f>I527+I528</f>
        <v>0</v>
      </c>
      <c r="J529" s="1036"/>
    </row>
    <row r="530" spans="1:10" hidden="1">
      <c r="A530" s="1031" t="s">
        <v>503</v>
      </c>
      <c r="B530" s="1034" t="s">
        <v>629</v>
      </c>
      <c r="C530" s="1037" t="s">
        <v>586</v>
      </c>
      <c r="D530" s="266" t="s">
        <v>0</v>
      </c>
      <c r="E530" s="267">
        <v>2072822</v>
      </c>
      <c r="F530" s="274">
        <v>0</v>
      </c>
      <c r="G530" s="267">
        <f>H530+I530</f>
        <v>1110974</v>
      </c>
      <c r="H530" s="267">
        <v>1110974</v>
      </c>
      <c r="I530" s="267">
        <v>0</v>
      </c>
      <c r="J530" s="1034" t="s">
        <v>630</v>
      </c>
    </row>
    <row r="531" spans="1:10" hidden="1">
      <c r="A531" s="1032"/>
      <c r="B531" s="1035"/>
      <c r="C531" s="1038"/>
      <c r="D531" s="266" t="s">
        <v>1</v>
      </c>
      <c r="E531" s="267"/>
      <c r="F531" s="274"/>
      <c r="G531" s="267">
        <f>H531+I531</f>
        <v>0</v>
      </c>
      <c r="H531" s="267"/>
      <c r="I531" s="267"/>
      <c r="J531" s="1035"/>
    </row>
    <row r="532" spans="1:10" hidden="1">
      <c r="A532" s="1033"/>
      <c r="B532" s="1036"/>
      <c r="C532" s="1039"/>
      <c r="D532" s="266" t="s">
        <v>2</v>
      </c>
      <c r="E532" s="267">
        <f>E530+E531</f>
        <v>2072822</v>
      </c>
      <c r="F532" s="267">
        <f>F530+F531</f>
        <v>0</v>
      </c>
      <c r="G532" s="267">
        <f>G530+G531</f>
        <v>1110974</v>
      </c>
      <c r="H532" s="267">
        <f>H530+H531</f>
        <v>1110974</v>
      </c>
      <c r="I532" s="267">
        <f>I530+I531</f>
        <v>0</v>
      </c>
      <c r="J532" s="1036"/>
    </row>
    <row r="533" spans="1:10" hidden="1">
      <c r="A533" s="1031" t="s">
        <v>503</v>
      </c>
      <c r="B533" s="1034" t="s">
        <v>631</v>
      </c>
      <c r="C533" s="1037" t="s">
        <v>623</v>
      </c>
      <c r="D533" s="266" t="s">
        <v>0</v>
      </c>
      <c r="E533" s="267">
        <v>250000</v>
      </c>
      <c r="F533" s="274">
        <v>60000</v>
      </c>
      <c r="G533" s="267">
        <f>H533+I533</f>
        <v>190000</v>
      </c>
      <c r="H533" s="267">
        <v>190000</v>
      </c>
      <c r="I533" s="267">
        <v>0</v>
      </c>
      <c r="J533" s="1034" t="s">
        <v>518</v>
      </c>
    </row>
    <row r="534" spans="1:10" hidden="1">
      <c r="A534" s="1032"/>
      <c r="B534" s="1035"/>
      <c r="C534" s="1038"/>
      <c r="D534" s="266" t="s">
        <v>1</v>
      </c>
      <c r="E534" s="267"/>
      <c r="F534" s="274"/>
      <c r="G534" s="267">
        <f>H534+I534</f>
        <v>0</v>
      </c>
      <c r="H534" s="267"/>
      <c r="I534" s="267"/>
      <c r="J534" s="1035"/>
    </row>
    <row r="535" spans="1:10" hidden="1">
      <c r="A535" s="1033"/>
      <c r="B535" s="1036"/>
      <c r="C535" s="1039"/>
      <c r="D535" s="266" t="s">
        <v>2</v>
      </c>
      <c r="E535" s="267">
        <f>E533+E534</f>
        <v>250000</v>
      </c>
      <c r="F535" s="267">
        <f>F533+F534</f>
        <v>60000</v>
      </c>
      <c r="G535" s="267">
        <f>G533+G534</f>
        <v>190000</v>
      </c>
      <c r="H535" s="267">
        <f>H533+H534</f>
        <v>190000</v>
      </c>
      <c r="I535" s="267">
        <f>I533+I534</f>
        <v>0</v>
      </c>
      <c r="J535" s="1036"/>
    </row>
    <row r="536" spans="1:10" ht="5.0999999999999996" customHeight="1">
      <c r="A536" s="269"/>
      <c r="B536" s="270"/>
      <c r="C536" s="266"/>
      <c r="D536" s="266"/>
      <c r="E536" s="267"/>
      <c r="F536" s="274"/>
      <c r="G536" s="267"/>
      <c r="H536" s="267"/>
      <c r="I536" s="267"/>
      <c r="J536" s="272"/>
    </row>
    <row r="537" spans="1:10" ht="15.75">
      <c r="A537" s="1040" t="s">
        <v>535</v>
      </c>
      <c r="B537" s="1041"/>
      <c r="C537" s="1017" t="s">
        <v>408</v>
      </c>
      <c r="D537" s="259" t="s">
        <v>0</v>
      </c>
      <c r="E537" s="273">
        <f t="shared" ref="E537:I538" si="23">E320+E431+E446+E452+E461+E476+E488+E440</f>
        <v>1159370335</v>
      </c>
      <c r="F537" s="273">
        <f t="shared" si="23"/>
        <v>84452691</v>
      </c>
      <c r="G537" s="273">
        <f t="shared" si="23"/>
        <v>330078345</v>
      </c>
      <c r="H537" s="273">
        <f t="shared" si="23"/>
        <v>269032077</v>
      </c>
      <c r="I537" s="273">
        <f t="shared" si="23"/>
        <v>61046268</v>
      </c>
      <c r="J537" s="1020" t="s">
        <v>408</v>
      </c>
    </row>
    <row r="538" spans="1:10" ht="15.75">
      <c r="A538" s="1042"/>
      <c r="B538" s="1043"/>
      <c r="C538" s="1018"/>
      <c r="D538" s="259" t="s">
        <v>1</v>
      </c>
      <c r="E538" s="273">
        <f t="shared" si="23"/>
        <v>96662887</v>
      </c>
      <c r="F538" s="273">
        <f t="shared" si="23"/>
        <v>-9150994</v>
      </c>
      <c r="G538" s="273">
        <f t="shared" si="23"/>
        <v>-9653736</v>
      </c>
      <c r="H538" s="273">
        <f t="shared" si="23"/>
        <v>-16104598</v>
      </c>
      <c r="I538" s="273">
        <f t="shared" si="23"/>
        <v>6450862</v>
      </c>
      <c r="J538" s="1021"/>
    </row>
    <row r="539" spans="1:10" ht="15.75">
      <c r="A539" s="1044"/>
      <c r="B539" s="1045"/>
      <c r="C539" s="1019"/>
      <c r="D539" s="259" t="s">
        <v>2</v>
      </c>
      <c r="E539" s="273">
        <f>E537+E538</f>
        <v>1256033222</v>
      </c>
      <c r="F539" s="273">
        <f>F537+F538</f>
        <v>75301697</v>
      </c>
      <c r="G539" s="273">
        <f>G537+G538</f>
        <v>320424609</v>
      </c>
      <c r="H539" s="273">
        <f>H537+H538</f>
        <v>252927479</v>
      </c>
      <c r="I539" s="273">
        <f>I537+I538</f>
        <v>67497130</v>
      </c>
      <c r="J539" s="1022"/>
    </row>
    <row r="540" spans="1:10" ht="5.0999999999999996" customHeight="1">
      <c r="A540" s="1023"/>
      <c r="B540" s="1023"/>
      <c r="C540" s="1023"/>
      <c r="D540" s="1023"/>
      <c r="E540" s="1023"/>
      <c r="F540" s="1023"/>
      <c r="G540" s="1023"/>
      <c r="H540" s="1023"/>
      <c r="I540" s="1023"/>
      <c r="J540" s="1023"/>
    </row>
    <row r="541" spans="1:10" ht="15.75">
      <c r="A541" s="1024" t="s">
        <v>632</v>
      </c>
      <c r="B541" s="1025"/>
      <c r="C541" s="1025"/>
      <c r="D541" s="1025"/>
      <c r="E541" s="1025"/>
      <c r="F541" s="1025"/>
      <c r="G541" s="1025"/>
      <c r="H541" s="1025"/>
      <c r="I541" s="1025"/>
      <c r="J541" s="1026"/>
    </row>
    <row r="542" spans="1:10" ht="5.0999999999999996" customHeight="1">
      <c r="A542" s="1027"/>
      <c r="B542" s="1027"/>
      <c r="C542" s="1027"/>
      <c r="D542" s="1027"/>
      <c r="E542" s="1027"/>
      <c r="F542" s="1027"/>
      <c r="G542" s="1027"/>
      <c r="H542" s="1027"/>
      <c r="I542" s="1027"/>
      <c r="J542" s="1027"/>
    </row>
    <row r="543" spans="1:10">
      <c r="A543" s="1028" t="s">
        <v>408</v>
      </c>
      <c r="B543" s="1028" t="s">
        <v>408</v>
      </c>
      <c r="C543" s="1028" t="s">
        <v>408</v>
      </c>
      <c r="D543" s="255" t="s">
        <v>0</v>
      </c>
      <c r="E543" s="1028" t="s">
        <v>408</v>
      </c>
      <c r="F543" s="1028" t="s">
        <v>408</v>
      </c>
      <c r="G543" s="275">
        <f>H543+I543</f>
        <v>10784714</v>
      </c>
      <c r="H543" s="275">
        <v>0</v>
      </c>
      <c r="I543" s="275">
        <v>10784714</v>
      </c>
      <c r="J543" s="1028" t="s">
        <v>408</v>
      </c>
    </row>
    <row r="544" spans="1:10">
      <c r="A544" s="1029"/>
      <c r="B544" s="1029"/>
      <c r="C544" s="1029"/>
      <c r="D544" s="255" t="s">
        <v>1</v>
      </c>
      <c r="E544" s="1029"/>
      <c r="F544" s="1029"/>
      <c r="G544" s="275">
        <f>H544+I544</f>
        <v>5656012</v>
      </c>
      <c r="H544" s="275"/>
      <c r="I544" s="275">
        <v>5656012</v>
      </c>
      <c r="J544" s="1029"/>
    </row>
    <row r="545" spans="1:10">
      <c r="A545" s="1030"/>
      <c r="B545" s="1030"/>
      <c r="C545" s="1030"/>
      <c r="D545" s="255" t="s">
        <v>2</v>
      </c>
      <c r="E545" s="1030"/>
      <c r="F545" s="1030"/>
      <c r="G545" s="275">
        <f>G543+G544</f>
        <v>16440726</v>
      </c>
      <c r="H545" s="275">
        <f>H543+H544</f>
        <v>0</v>
      </c>
      <c r="I545" s="275">
        <f>I543+I544</f>
        <v>16440726</v>
      </c>
      <c r="J545" s="1030"/>
    </row>
    <row r="546" spans="1:10" ht="5.0999999999999996" customHeight="1">
      <c r="A546" s="1023"/>
      <c r="B546" s="1023"/>
      <c r="C546" s="1023"/>
      <c r="D546" s="1023"/>
      <c r="E546" s="1023"/>
      <c r="F546" s="1023"/>
      <c r="G546" s="1023"/>
      <c r="H546" s="1023"/>
      <c r="I546" s="1023"/>
      <c r="J546" s="1023"/>
    </row>
    <row r="547" spans="1:10" ht="15.75">
      <c r="A547" s="1024" t="s">
        <v>633</v>
      </c>
      <c r="B547" s="1025"/>
      <c r="C547" s="1025"/>
      <c r="D547" s="1025"/>
      <c r="E547" s="1025"/>
      <c r="F547" s="1025"/>
      <c r="G547" s="1025"/>
      <c r="H547" s="1025"/>
      <c r="I547" s="1025"/>
      <c r="J547" s="1026"/>
    </row>
    <row r="548" spans="1:10" ht="5.0999999999999996" customHeight="1">
      <c r="A548" s="1027"/>
      <c r="B548" s="1027"/>
      <c r="C548" s="1027"/>
      <c r="D548" s="1027"/>
      <c r="E548" s="1027"/>
      <c r="F548" s="1027"/>
      <c r="G548" s="1027"/>
      <c r="H548" s="1027"/>
      <c r="I548" s="1027"/>
      <c r="J548" s="1027"/>
    </row>
    <row r="549" spans="1:10">
      <c r="A549" s="1028" t="s">
        <v>408</v>
      </c>
      <c r="B549" s="1028" t="s">
        <v>408</v>
      </c>
      <c r="C549" s="1028" t="s">
        <v>408</v>
      </c>
      <c r="D549" s="255" t="s">
        <v>0</v>
      </c>
      <c r="E549" s="1028" t="s">
        <v>408</v>
      </c>
      <c r="F549" s="1028" t="s">
        <v>408</v>
      </c>
      <c r="G549" s="275">
        <f>H549+I549</f>
        <v>132677698</v>
      </c>
      <c r="H549" s="275">
        <v>6825574</v>
      </c>
      <c r="I549" s="275">
        <v>125852124</v>
      </c>
      <c r="J549" s="1028" t="s">
        <v>408</v>
      </c>
    </row>
    <row r="550" spans="1:10">
      <c r="A550" s="1029"/>
      <c r="B550" s="1029"/>
      <c r="C550" s="1029"/>
      <c r="D550" s="255" t="s">
        <v>1</v>
      </c>
      <c r="E550" s="1029"/>
      <c r="F550" s="1029"/>
      <c r="G550" s="275">
        <f>H550+I550</f>
        <v>1215302</v>
      </c>
      <c r="H550" s="275">
        <v>836917</v>
      </c>
      <c r="I550" s="275">
        <v>378385</v>
      </c>
      <c r="J550" s="1029"/>
    </row>
    <row r="551" spans="1:10">
      <c r="A551" s="1030"/>
      <c r="B551" s="1030"/>
      <c r="C551" s="1030"/>
      <c r="D551" s="255" t="s">
        <v>2</v>
      </c>
      <c r="E551" s="1030"/>
      <c r="F551" s="1030"/>
      <c r="G551" s="275">
        <f>G549+G550</f>
        <v>133893000</v>
      </c>
      <c r="H551" s="275">
        <f>H549+H550</f>
        <v>7662491</v>
      </c>
      <c r="I551" s="275">
        <f>I549+I550</f>
        <v>126230509</v>
      </c>
      <c r="J551" s="1030"/>
    </row>
    <row r="552" spans="1:10" ht="5.0999999999999996" customHeight="1">
      <c r="A552" s="1015"/>
      <c r="B552" s="1015"/>
      <c r="C552" s="1015"/>
      <c r="D552" s="1015"/>
      <c r="E552" s="1015"/>
      <c r="F552" s="1015"/>
      <c r="G552" s="1015"/>
      <c r="H552" s="1015"/>
      <c r="I552" s="1015"/>
      <c r="J552" s="1015"/>
    </row>
    <row r="553" spans="1:10" ht="15.75">
      <c r="A553" s="1016" t="s">
        <v>176</v>
      </c>
      <c r="B553" s="1016"/>
      <c r="C553" s="1017" t="s">
        <v>408</v>
      </c>
      <c r="D553" s="259" t="s">
        <v>0</v>
      </c>
      <c r="E553" s="1017" t="s">
        <v>408</v>
      </c>
      <c r="F553" s="1017" t="s">
        <v>408</v>
      </c>
      <c r="G553" s="260">
        <f t="shared" ref="G553:I554" si="24">G13</f>
        <v>687722364</v>
      </c>
      <c r="H553" s="260">
        <f t="shared" si="24"/>
        <v>479601905</v>
      </c>
      <c r="I553" s="260">
        <f t="shared" si="24"/>
        <v>208120459</v>
      </c>
      <c r="J553" s="1020" t="s">
        <v>408</v>
      </c>
    </row>
    <row r="554" spans="1:10" ht="15.75">
      <c r="A554" s="1016"/>
      <c r="B554" s="1016"/>
      <c r="C554" s="1018"/>
      <c r="D554" s="259" t="s">
        <v>1</v>
      </c>
      <c r="E554" s="1018"/>
      <c r="F554" s="1018"/>
      <c r="G554" s="260">
        <f>G14</f>
        <v>22784133</v>
      </c>
      <c r="H554" s="260">
        <f t="shared" si="24"/>
        <v>9468361</v>
      </c>
      <c r="I554" s="260">
        <f t="shared" si="24"/>
        <v>13315772</v>
      </c>
      <c r="J554" s="1021"/>
    </row>
    <row r="555" spans="1:10" ht="15.75">
      <c r="A555" s="1016"/>
      <c r="B555" s="1016"/>
      <c r="C555" s="1019"/>
      <c r="D555" s="259" t="s">
        <v>2</v>
      </c>
      <c r="E555" s="1019"/>
      <c r="F555" s="1019"/>
      <c r="G555" s="260">
        <f>G553+G554</f>
        <v>710506497</v>
      </c>
      <c r="H555" s="260">
        <f>H553+H554</f>
        <v>489070266</v>
      </c>
      <c r="I555" s="260">
        <f>I553+I554</f>
        <v>221436231</v>
      </c>
      <c r="J555" s="1022"/>
    </row>
    <row r="556" spans="1:10" ht="3.75" customHeight="1"/>
    <row r="557" spans="1:10" ht="9.75" customHeight="1">
      <c r="A557" s="203" t="s">
        <v>99</v>
      </c>
      <c r="C557" s="204"/>
      <c r="D557" s="204"/>
      <c r="E557" s="205"/>
      <c r="F557" s="205"/>
      <c r="G557" s="205"/>
      <c r="H557" s="205"/>
      <c r="I557" s="205"/>
      <c r="J557" s="205"/>
    </row>
    <row r="558" spans="1:10">
      <c r="A558" s="203" t="s">
        <v>329</v>
      </c>
      <c r="C558" s="204"/>
      <c r="D558" s="204"/>
      <c r="E558" s="205"/>
      <c r="F558" s="205"/>
      <c r="G558" s="205"/>
      <c r="H558" s="205"/>
      <c r="I558" s="205"/>
      <c r="J558" s="205"/>
    </row>
    <row r="559" spans="1:10">
      <c r="A559" s="203" t="s">
        <v>330</v>
      </c>
      <c r="C559" s="204"/>
      <c r="D559" s="204"/>
      <c r="E559" s="205"/>
      <c r="F559" s="205"/>
      <c r="G559" s="205"/>
      <c r="H559" s="205"/>
      <c r="I559" s="205"/>
      <c r="J559" s="205"/>
    </row>
    <row r="560" spans="1:10">
      <c r="A560" s="203" t="s">
        <v>331</v>
      </c>
      <c r="C560" s="204"/>
      <c r="D560" s="204"/>
    </row>
  </sheetData>
  <sheetProtection algorithmName="SHA-512" hashValue="w0oMkPvSg/inGPJtnTXNOUFsKlwjmZNouZCfFBvk2NWTDUDakUOK2Ei2PigqwNID4Fp6jeW682WZ7WFseNsHJA==" saltValue="EjLoDSVEy9YlE9ue4nKMNA==" spinCount="100000" sheet="1" objects="1" scenarios="1"/>
  <mergeCells count="830">
    <mergeCell ref="A5:J5"/>
    <mergeCell ref="A7:A10"/>
    <mergeCell ref="B7:B10"/>
    <mergeCell ref="C7:C10"/>
    <mergeCell ref="D7:D10"/>
    <mergeCell ref="E7:E10"/>
    <mergeCell ref="F7:F10"/>
    <mergeCell ref="G7:I7"/>
    <mergeCell ref="J7:J10"/>
    <mergeCell ref="G8:G10"/>
    <mergeCell ref="J13:J15"/>
    <mergeCell ref="A17:J17"/>
    <mergeCell ref="A19:A21"/>
    <mergeCell ref="B19:B21"/>
    <mergeCell ref="C19:C21"/>
    <mergeCell ref="F19:F21"/>
    <mergeCell ref="J19:J21"/>
    <mergeCell ref="H8:I8"/>
    <mergeCell ref="H9:H10"/>
    <mergeCell ref="I9:I10"/>
    <mergeCell ref="A13:A15"/>
    <mergeCell ref="B13:B15"/>
    <mergeCell ref="C13:C15"/>
    <mergeCell ref="E13:E15"/>
    <mergeCell ref="F13:F15"/>
    <mergeCell ref="A22:A24"/>
    <mergeCell ref="B22:B24"/>
    <mergeCell ref="C22:C24"/>
    <mergeCell ref="F22:F24"/>
    <mergeCell ref="J22:J24"/>
    <mergeCell ref="A25:A27"/>
    <mergeCell ref="B25:B27"/>
    <mergeCell ref="C25:C27"/>
    <mergeCell ref="F25:F27"/>
    <mergeCell ref="J25:J27"/>
    <mergeCell ref="A28:A30"/>
    <mergeCell ref="B28:B30"/>
    <mergeCell ref="C28:C30"/>
    <mergeCell ref="F28:F30"/>
    <mergeCell ref="J28:J30"/>
    <mergeCell ref="A31:A33"/>
    <mergeCell ref="B31:B33"/>
    <mergeCell ref="C31:C33"/>
    <mergeCell ref="F31:F33"/>
    <mergeCell ref="J31:J33"/>
    <mergeCell ref="A34:A36"/>
    <mergeCell ref="B34:B36"/>
    <mergeCell ref="C34:C36"/>
    <mergeCell ref="F34:F36"/>
    <mergeCell ref="J34:J36"/>
    <mergeCell ref="A37:A39"/>
    <mergeCell ref="B37:B39"/>
    <mergeCell ref="C37:C39"/>
    <mergeCell ref="F37:F39"/>
    <mergeCell ref="J37:J39"/>
    <mergeCell ref="A40:A42"/>
    <mergeCell ref="B40:B42"/>
    <mergeCell ref="C40:C42"/>
    <mergeCell ref="F40:F42"/>
    <mergeCell ref="J40:J42"/>
    <mergeCell ref="A43:A45"/>
    <mergeCell ref="B43:B45"/>
    <mergeCell ref="C43:C45"/>
    <mergeCell ref="F43:F45"/>
    <mergeCell ref="J43:J45"/>
    <mergeCell ref="A46:A48"/>
    <mergeCell ref="B46:B48"/>
    <mergeCell ref="C46:C48"/>
    <mergeCell ref="F46:F48"/>
    <mergeCell ref="J46:J48"/>
    <mergeCell ref="A49:A51"/>
    <mergeCell ref="B49:B51"/>
    <mergeCell ref="C49:C51"/>
    <mergeCell ref="F49:F51"/>
    <mergeCell ref="J49:J51"/>
    <mergeCell ref="A52:A54"/>
    <mergeCell ref="B52:B54"/>
    <mergeCell ref="C52:C54"/>
    <mergeCell ref="F52:F54"/>
    <mergeCell ref="J52:J54"/>
    <mergeCell ref="A55:A57"/>
    <mergeCell ref="B55:B57"/>
    <mergeCell ref="C55:C57"/>
    <mergeCell ref="F55:F57"/>
    <mergeCell ref="J55:J57"/>
    <mergeCell ref="A58:A60"/>
    <mergeCell ref="B58:B60"/>
    <mergeCell ref="C58:C60"/>
    <mergeCell ref="F58:F60"/>
    <mergeCell ref="J58:J60"/>
    <mergeCell ref="A61:A63"/>
    <mergeCell ref="B61:B63"/>
    <mergeCell ref="C61:C63"/>
    <mergeCell ref="F61:F63"/>
    <mergeCell ref="J61:J63"/>
    <mergeCell ref="A64:A66"/>
    <mergeCell ref="B64:B66"/>
    <mergeCell ref="C64:C66"/>
    <mergeCell ref="F64:F66"/>
    <mergeCell ref="J64:J66"/>
    <mergeCell ref="A67:A69"/>
    <mergeCell ref="B67:B69"/>
    <mergeCell ref="C67:C69"/>
    <mergeCell ref="F67:F69"/>
    <mergeCell ref="J67:J69"/>
    <mergeCell ref="A70:A72"/>
    <mergeCell ref="B70:B72"/>
    <mergeCell ref="C70:C72"/>
    <mergeCell ref="F70:F72"/>
    <mergeCell ref="J70:J72"/>
    <mergeCell ref="A73:A75"/>
    <mergeCell ref="B73:B75"/>
    <mergeCell ref="C73:C75"/>
    <mergeCell ref="F73:F75"/>
    <mergeCell ref="J73:J75"/>
    <mergeCell ref="A76:A78"/>
    <mergeCell ref="B76:B78"/>
    <mergeCell ref="C76:C78"/>
    <mergeCell ref="F76:F78"/>
    <mergeCell ref="J76:J78"/>
    <mergeCell ref="A79:A81"/>
    <mergeCell ref="B79:B81"/>
    <mergeCell ref="C79:C81"/>
    <mergeCell ref="F79:F81"/>
    <mergeCell ref="J79:J81"/>
    <mergeCell ref="A82:A84"/>
    <mergeCell ref="B82:B84"/>
    <mergeCell ref="C82:C84"/>
    <mergeCell ref="F82:F84"/>
    <mergeCell ref="J82:J84"/>
    <mergeCell ref="A85:A87"/>
    <mergeCell ref="B85:B87"/>
    <mergeCell ref="C85:C87"/>
    <mergeCell ref="F85:F87"/>
    <mergeCell ref="J85:J87"/>
    <mergeCell ref="A88:A90"/>
    <mergeCell ref="B88:B90"/>
    <mergeCell ref="C88:C90"/>
    <mergeCell ref="F88:F90"/>
    <mergeCell ref="J88:J90"/>
    <mergeCell ref="A91:A93"/>
    <mergeCell ref="B91:B93"/>
    <mergeCell ref="C91:C93"/>
    <mergeCell ref="F91:F93"/>
    <mergeCell ref="J91:J93"/>
    <mergeCell ref="A94:A96"/>
    <mergeCell ref="B94:B96"/>
    <mergeCell ref="C94:C96"/>
    <mergeCell ref="F94:F96"/>
    <mergeCell ref="J94:J96"/>
    <mergeCell ref="A97:A99"/>
    <mergeCell ref="B97:B99"/>
    <mergeCell ref="C97:C99"/>
    <mergeCell ref="F97:F99"/>
    <mergeCell ref="J97:J99"/>
    <mergeCell ref="A100:A102"/>
    <mergeCell ref="B100:B102"/>
    <mergeCell ref="C100:C102"/>
    <mergeCell ref="F100:F102"/>
    <mergeCell ref="J100:J102"/>
    <mergeCell ref="A103:A105"/>
    <mergeCell ref="B103:B105"/>
    <mergeCell ref="C103:C105"/>
    <mergeCell ref="F103:F105"/>
    <mergeCell ref="J103:J105"/>
    <mergeCell ref="A106:A108"/>
    <mergeCell ref="B106:B108"/>
    <mergeCell ref="C106:C108"/>
    <mergeCell ref="F106:F108"/>
    <mergeCell ref="J106:J108"/>
    <mergeCell ref="A109:A111"/>
    <mergeCell ref="B109:B111"/>
    <mergeCell ref="C109:C111"/>
    <mergeCell ref="F109:F111"/>
    <mergeCell ref="J109:J111"/>
    <mergeCell ref="A112:A114"/>
    <mergeCell ref="B112:B114"/>
    <mergeCell ref="C112:C114"/>
    <mergeCell ref="F112:F114"/>
    <mergeCell ref="J112:J114"/>
    <mergeCell ref="A115:A117"/>
    <mergeCell ref="B115:B117"/>
    <mergeCell ref="C115:C117"/>
    <mergeCell ref="F115:F117"/>
    <mergeCell ref="J115:J117"/>
    <mergeCell ref="A118:A120"/>
    <mergeCell ref="B118:B120"/>
    <mergeCell ref="C118:C120"/>
    <mergeCell ref="F118:F120"/>
    <mergeCell ref="J118:J120"/>
    <mergeCell ref="A121:A123"/>
    <mergeCell ref="B121:B123"/>
    <mergeCell ref="C121:C123"/>
    <mergeCell ref="F121:F123"/>
    <mergeCell ref="J121:J123"/>
    <mergeCell ref="A124:A126"/>
    <mergeCell ref="B124:B126"/>
    <mergeCell ref="C124:C126"/>
    <mergeCell ref="F124:F126"/>
    <mergeCell ref="J124:J126"/>
    <mergeCell ref="A127:A129"/>
    <mergeCell ref="B127:B129"/>
    <mergeCell ref="C127:C129"/>
    <mergeCell ref="F127:F129"/>
    <mergeCell ref="J127:J129"/>
    <mergeCell ref="A130:A132"/>
    <mergeCell ref="B130:B132"/>
    <mergeCell ref="C130:C132"/>
    <mergeCell ref="F130:F132"/>
    <mergeCell ref="J130:J132"/>
    <mergeCell ref="A133:A135"/>
    <mergeCell ref="B133:B135"/>
    <mergeCell ref="C133:C135"/>
    <mergeCell ref="F133:F135"/>
    <mergeCell ref="J133:J135"/>
    <mergeCell ref="A136:A138"/>
    <mergeCell ref="B136:B138"/>
    <mergeCell ref="C136:C138"/>
    <mergeCell ref="F136:F138"/>
    <mergeCell ref="J136:J138"/>
    <mergeCell ref="A139:A141"/>
    <mergeCell ref="B139:B141"/>
    <mergeCell ref="C139:C141"/>
    <mergeCell ref="F139:F141"/>
    <mergeCell ref="J139:J141"/>
    <mergeCell ref="A142:A144"/>
    <mergeCell ref="B142:B144"/>
    <mergeCell ref="C142:C144"/>
    <mergeCell ref="F142:F144"/>
    <mergeCell ref="J142:J144"/>
    <mergeCell ref="A145:A147"/>
    <mergeCell ref="B145:B147"/>
    <mergeCell ref="C145:C147"/>
    <mergeCell ref="F145:F147"/>
    <mergeCell ref="J145:J147"/>
    <mergeCell ref="A148:A150"/>
    <mergeCell ref="B148:B150"/>
    <mergeCell ref="C148:C150"/>
    <mergeCell ref="F148:F150"/>
    <mergeCell ref="J148:J150"/>
    <mergeCell ref="A151:A153"/>
    <mergeCell ref="B151:B153"/>
    <mergeCell ref="C151:C153"/>
    <mergeCell ref="J151:J153"/>
    <mergeCell ref="A154:A156"/>
    <mergeCell ref="B154:B156"/>
    <mergeCell ref="C154:C156"/>
    <mergeCell ref="F154:F156"/>
    <mergeCell ref="J154:J156"/>
    <mergeCell ref="A157:A159"/>
    <mergeCell ref="B157:B159"/>
    <mergeCell ref="C157:C159"/>
    <mergeCell ref="F157:F159"/>
    <mergeCell ref="J157:J159"/>
    <mergeCell ref="A160:A162"/>
    <mergeCell ref="B160:B162"/>
    <mergeCell ref="C160:C162"/>
    <mergeCell ref="F160:F162"/>
    <mergeCell ref="J160:J162"/>
    <mergeCell ref="A163:A165"/>
    <mergeCell ref="B163:B165"/>
    <mergeCell ref="C163:C165"/>
    <mergeCell ref="F163:F165"/>
    <mergeCell ref="J163:J165"/>
    <mergeCell ref="A166:A168"/>
    <mergeCell ref="B166:B168"/>
    <mergeCell ref="C166:C168"/>
    <mergeCell ref="F166:F168"/>
    <mergeCell ref="J166:J168"/>
    <mergeCell ref="A169:A171"/>
    <mergeCell ref="B169:B171"/>
    <mergeCell ref="C169:C171"/>
    <mergeCell ref="F169:F171"/>
    <mergeCell ref="J169:J171"/>
    <mergeCell ref="A172:A174"/>
    <mergeCell ref="B172:B174"/>
    <mergeCell ref="C172:C174"/>
    <mergeCell ref="F172:F174"/>
    <mergeCell ref="J172:J174"/>
    <mergeCell ref="A175:A177"/>
    <mergeCell ref="B175:B177"/>
    <mergeCell ref="C175:C177"/>
    <mergeCell ref="F175:F177"/>
    <mergeCell ref="J175:J177"/>
    <mergeCell ref="A178:A180"/>
    <mergeCell ref="B178:B180"/>
    <mergeCell ref="C178:C180"/>
    <mergeCell ref="F178:F180"/>
    <mergeCell ref="J178:J180"/>
    <mergeCell ref="A181:A183"/>
    <mergeCell ref="B181:B183"/>
    <mergeCell ref="C181:C183"/>
    <mergeCell ref="F181:F183"/>
    <mergeCell ref="J181:J183"/>
    <mergeCell ref="A184:A186"/>
    <mergeCell ref="B184:B186"/>
    <mergeCell ref="C184:C186"/>
    <mergeCell ref="F184:F186"/>
    <mergeCell ref="J184:J186"/>
    <mergeCell ref="A187:A189"/>
    <mergeCell ref="B187:B189"/>
    <mergeCell ref="C187:C189"/>
    <mergeCell ref="F187:F189"/>
    <mergeCell ref="J187:J189"/>
    <mergeCell ref="A190:A192"/>
    <mergeCell ref="B190:B192"/>
    <mergeCell ref="C190:C192"/>
    <mergeCell ref="F190:F192"/>
    <mergeCell ref="J190:J192"/>
    <mergeCell ref="A193:A195"/>
    <mergeCell ref="B193:B195"/>
    <mergeCell ref="C193:C195"/>
    <mergeCell ref="F193:F195"/>
    <mergeCell ref="J193:J195"/>
    <mergeCell ref="A196:A198"/>
    <mergeCell ref="B196:B198"/>
    <mergeCell ref="C196:C198"/>
    <mergeCell ref="F196:F198"/>
    <mergeCell ref="J196:J198"/>
    <mergeCell ref="A199:A201"/>
    <mergeCell ref="B199:B201"/>
    <mergeCell ref="C199:C201"/>
    <mergeCell ref="F199:F201"/>
    <mergeCell ref="J199:J201"/>
    <mergeCell ref="A202:A204"/>
    <mergeCell ref="B202:B204"/>
    <mergeCell ref="C202:C204"/>
    <mergeCell ref="F202:F204"/>
    <mergeCell ref="J202:J204"/>
    <mergeCell ref="A205:A207"/>
    <mergeCell ref="B205:B207"/>
    <mergeCell ref="C205:C207"/>
    <mergeCell ref="F205:F207"/>
    <mergeCell ref="J205:J207"/>
    <mergeCell ref="A208:A210"/>
    <mergeCell ref="B208:B210"/>
    <mergeCell ref="C208:C210"/>
    <mergeCell ref="F208:F210"/>
    <mergeCell ref="J208:J210"/>
    <mergeCell ref="A211:A213"/>
    <mergeCell ref="B211:B213"/>
    <mergeCell ref="C211:C213"/>
    <mergeCell ref="F211:F213"/>
    <mergeCell ref="J211:J213"/>
    <mergeCell ref="A214:A216"/>
    <mergeCell ref="B214:B216"/>
    <mergeCell ref="C214:C216"/>
    <mergeCell ref="F214:F216"/>
    <mergeCell ref="J214:J216"/>
    <mergeCell ref="A217:A219"/>
    <mergeCell ref="B217:B219"/>
    <mergeCell ref="C217:C219"/>
    <mergeCell ref="F217:F219"/>
    <mergeCell ref="J217:J219"/>
    <mergeCell ref="A220:A222"/>
    <mergeCell ref="B220:B222"/>
    <mergeCell ref="C220:C222"/>
    <mergeCell ref="F220:F222"/>
    <mergeCell ref="J220:J222"/>
    <mergeCell ref="A223:A225"/>
    <mergeCell ref="B223:B225"/>
    <mergeCell ref="C223:C225"/>
    <mergeCell ref="F223:F225"/>
    <mergeCell ref="J223:J225"/>
    <mergeCell ref="A226:A228"/>
    <mergeCell ref="B226:B228"/>
    <mergeCell ref="C226:C228"/>
    <mergeCell ref="F226:F228"/>
    <mergeCell ref="J226:J228"/>
    <mergeCell ref="A229:A231"/>
    <mergeCell ref="B229:B231"/>
    <mergeCell ref="C229:C231"/>
    <mergeCell ref="F229:F231"/>
    <mergeCell ref="J229:J231"/>
    <mergeCell ref="A232:A234"/>
    <mergeCell ref="B232:B234"/>
    <mergeCell ref="C232:C234"/>
    <mergeCell ref="F232:F234"/>
    <mergeCell ref="J232:J234"/>
    <mergeCell ref="A235:A237"/>
    <mergeCell ref="B235:B237"/>
    <mergeCell ref="C235:C237"/>
    <mergeCell ref="F235:F237"/>
    <mergeCell ref="J235:J237"/>
    <mergeCell ref="A238:A240"/>
    <mergeCell ref="B238:B240"/>
    <mergeCell ref="C238:C240"/>
    <mergeCell ref="F238:F240"/>
    <mergeCell ref="J238:J240"/>
    <mergeCell ref="A241:A243"/>
    <mergeCell ref="B241:B243"/>
    <mergeCell ref="C241:C243"/>
    <mergeCell ref="F241:F243"/>
    <mergeCell ref="J241:J243"/>
    <mergeCell ref="A244:A246"/>
    <mergeCell ref="B244:B246"/>
    <mergeCell ref="C244:C246"/>
    <mergeCell ref="F244:F246"/>
    <mergeCell ref="J244:J246"/>
    <mergeCell ref="A247:A249"/>
    <mergeCell ref="B247:B249"/>
    <mergeCell ref="C247:C249"/>
    <mergeCell ref="F247:F249"/>
    <mergeCell ref="J247:J249"/>
    <mergeCell ref="A250:A252"/>
    <mergeCell ref="B250:B252"/>
    <mergeCell ref="C250:C252"/>
    <mergeCell ref="F250:F252"/>
    <mergeCell ref="J250:J252"/>
    <mergeCell ref="A253:A255"/>
    <mergeCell ref="B253:B255"/>
    <mergeCell ref="C253:C255"/>
    <mergeCell ref="F253:F255"/>
    <mergeCell ref="J253:J255"/>
    <mergeCell ref="A256:A258"/>
    <mergeCell ref="B256:B258"/>
    <mergeCell ref="C256:C258"/>
    <mergeCell ref="F256:F258"/>
    <mergeCell ref="J256:J258"/>
    <mergeCell ref="A259:A261"/>
    <mergeCell ref="B259:B261"/>
    <mergeCell ref="C259:C261"/>
    <mergeCell ref="F259:F261"/>
    <mergeCell ref="J259:J261"/>
    <mergeCell ref="A262:A264"/>
    <mergeCell ref="B262:B264"/>
    <mergeCell ref="C262:C264"/>
    <mergeCell ref="F262:F264"/>
    <mergeCell ref="J262:J264"/>
    <mergeCell ref="A265:A267"/>
    <mergeCell ref="B265:B267"/>
    <mergeCell ref="C265:C267"/>
    <mergeCell ref="F265:F267"/>
    <mergeCell ref="J265:J267"/>
    <mergeCell ref="A268:A270"/>
    <mergeCell ref="B268:B270"/>
    <mergeCell ref="C268:C270"/>
    <mergeCell ref="F268:F270"/>
    <mergeCell ref="J268:J270"/>
    <mergeCell ref="A271:A273"/>
    <mergeCell ref="B271:B273"/>
    <mergeCell ref="C271:C273"/>
    <mergeCell ref="F271:F273"/>
    <mergeCell ref="J271:J273"/>
    <mergeCell ref="A274:A276"/>
    <mergeCell ref="B274:B276"/>
    <mergeCell ref="C274:C276"/>
    <mergeCell ref="F274:F276"/>
    <mergeCell ref="J274:J276"/>
    <mergeCell ref="A277:A279"/>
    <mergeCell ref="B277:B279"/>
    <mergeCell ref="C277:C279"/>
    <mergeCell ref="F277:F279"/>
    <mergeCell ref="J277:J279"/>
    <mergeCell ref="A280:A282"/>
    <mergeCell ref="B280:B282"/>
    <mergeCell ref="C280:C282"/>
    <mergeCell ref="F280:F282"/>
    <mergeCell ref="J280:J282"/>
    <mergeCell ref="A283:A285"/>
    <mergeCell ref="B283:B285"/>
    <mergeCell ref="C283:C285"/>
    <mergeCell ref="F283:F285"/>
    <mergeCell ref="J283:J285"/>
    <mergeCell ref="A286:A288"/>
    <mergeCell ref="B286:B288"/>
    <mergeCell ref="C286:C288"/>
    <mergeCell ref="F286:F288"/>
    <mergeCell ref="J286:J288"/>
    <mergeCell ref="A289:A291"/>
    <mergeCell ref="B289:B291"/>
    <mergeCell ref="C289:C291"/>
    <mergeCell ref="F289:F291"/>
    <mergeCell ref="J289:J291"/>
    <mergeCell ref="A292:A294"/>
    <mergeCell ref="B292:B294"/>
    <mergeCell ref="C292:C294"/>
    <mergeCell ref="F292:F294"/>
    <mergeCell ref="J292:J294"/>
    <mergeCell ref="A295:A297"/>
    <mergeCell ref="B295:B297"/>
    <mergeCell ref="C295:C297"/>
    <mergeCell ref="F295:F297"/>
    <mergeCell ref="J295:J297"/>
    <mergeCell ref="A298:A300"/>
    <mergeCell ref="B298:B300"/>
    <mergeCell ref="C298:C300"/>
    <mergeCell ref="F298:F300"/>
    <mergeCell ref="J298:J300"/>
    <mergeCell ref="A301:A303"/>
    <mergeCell ref="B301:B303"/>
    <mergeCell ref="C301:C303"/>
    <mergeCell ref="F301:F303"/>
    <mergeCell ref="J301:J303"/>
    <mergeCell ref="A304:A306"/>
    <mergeCell ref="B304:B306"/>
    <mergeCell ref="C304:C306"/>
    <mergeCell ref="F304:F306"/>
    <mergeCell ref="J304:J306"/>
    <mergeCell ref="A307:A309"/>
    <mergeCell ref="B307:B309"/>
    <mergeCell ref="C307:C309"/>
    <mergeCell ref="F307:F309"/>
    <mergeCell ref="J307:J309"/>
    <mergeCell ref="A317:J317"/>
    <mergeCell ref="A318:J318"/>
    <mergeCell ref="A320:A322"/>
    <mergeCell ref="B320:B322"/>
    <mergeCell ref="C320:C322"/>
    <mergeCell ref="J320:J322"/>
    <mergeCell ref="A310:A312"/>
    <mergeCell ref="B310:B312"/>
    <mergeCell ref="C310:C312"/>
    <mergeCell ref="F310:F312"/>
    <mergeCell ref="J310:J312"/>
    <mergeCell ref="A314:B316"/>
    <mergeCell ref="C314:C316"/>
    <mergeCell ref="F314:F316"/>
    <mergeCell ref="J314:J316"/>
    <mergeCell ref="A329:A331"/>
    <mergeCell ref="B329:B331"/>
    <mergeCell ref="C329:C331"/>
    <mergeCell ref="J329:J331"/>
    <mergeCell ref="A332:A334"/>
    <mergeCell ref="B332:B334"/>
    <mergeCell ref="C332:C334"/>
    <mergeCell ref="J332:J334"/>
    <mergeCell ref="A323:A325"/>
    <mergeCell ref="B323:B325"/>
    <mergeCell ref="C323:C325"/>
    <mergeCell ref="J323:J325"/>
    <mergeCell ref="A326:A328"/>
    <mergeCell ref="B326:B328"/>
    <mergeCell ref="C326:C328"/>
    <mergeCell ref="J326:J328"/>
    <mergeCell ref="A341:A343"/>
    <mergeCell ref="B341:B343"/>
    <mergeCell ref="C341:C343"/>
    <mergeCell ref="J341:J343"/>
    <mergeCell ref="A344:A346"/>
    <mergeCell ref="B344:B346"/>
    <mergeCell ref="C344:C346"/>
    <mergeCell ref="J344:J346"/>
    <mergeCell ref="A335:A337"/>
    <mergeCell ref="B335:B337"/>
    <mergeCell ref="C335:C337"/>
    <mergeCell ref="J335:J337"/>
    <mergeCell ref="A338:A340"/>
    <mergeCell ref="B338:B340"/>
    <mergeCell ref="C338:C340"/>
    <mergeCell ref="J338:J340"/>
    <mergeCell ref="A353:A355"/>
    <mergeCell ref="B353:B355"/>
    <mergeCell ref="C353:C355"/>
    <mergeCell ref="J353:J355"/>
    <mergeCell ref="A356:A358"/>
    <mergeCell ref="B356:B358"/>
    <mergeCell ref="C356:C358"/>
    <mergeCell ref="J356:J358"/>
    <mergeCell ref="A347:A349"/>
    <mergeCell ref="B347:B349"/>
    <mergeCell ref="C347:C349"/>
    <mergeCell ref="J347:J349"/>
    <mergeCell ref="A350:A352"/>
    <mergeCell ref="B350:B352"/>
    <mergeCell ref="C350:C352"/>
    <mergeCell ref="J350:J352"/>
    <mergeCell ref="A365:A367"/>
    <mergeCell ref="B365:B367"/>
    <mergeCell ref="C365:C367"/>
    <mergeCell ref="J365:J367"/>
    <mergeCell ref="A368:A370"/>
    <mergeCell ref="B368:B370"/>
    <mergeCell ref="C368:C370"/>
    <mergeCell ref="J368:J370"/>
    <mergeCell ref="A359:A361"/>
    <mergeCell ref="B359:B361"/>
    <mergeCell ref="C359:C361"/>
    <mergeCell ref="J359:J361"/>
    <mergeCell ref="A362:A364"/>
    <mergeCell ref="B362:B364"/>
    <mergeCell ref="C362:C364"/>
    <mergeCell ref="J362:J364"/>
    <mergeCell ref="A377:A379"/>
    <mergeCell ref="B377:B379"/>
    <mergeCell ref="C377:C379"/>
    <mergeCell ref="J377:J379"/>
    <mergeCell ref="A380:A382"/>
    <mergeCell ref="B380:B382"/>
    <mergeCell ref="C380:C382"/>
    <mergeCell ref="J380:J382"/>
    <mergeCell ref="A371:A373"/>
    <mergeCell ref="B371:B373"/>
    <mergeCell ref="C371:C373"/>
    <mergeCell ref="J371:J373"/>
    <mergeCell ref="A374:A376"/>
    <mergeCell ref="B374:B376"/>
    <mergeCell ref="C374:C376"/>
    <mergeCell ref="J374:J376"/>
    <mergeCell ref="A389:A391"/>
    <mergeCell ref="B389:B391"/>
    <mergeCell ref="C389:C391"/>
    <mergeCell ref="J389:J391"/>
    <mergeCell ref="A392:A394"/>
    <mergeCell ref="B392:B394"/>
    <mergeCell ref="C392:C394"/>
    <mergeCell ref="J392:J394"/>
    <mergeCell ref="A383:A385"/>
    <mergeCell ref="B383:B385"/>
    <mergeCell ref="C383:C385"/>
    <mergeCell ref="J383:J385"/>
    <mergeCell ref="A386:A388"/>
    <mergeCell ref="B386:B388"/>
    <mergeCell ref="C386:C388"/>
    <mergeCell ref="J386:J388"/>
    <mergeCell ref="A401:A403"/>
    <mergeCell ref="B401:B403"/>
    <mergeCell ref="C401:C403"/>
    <mergeCell ref="J401:J403"/>
    <mergeCell ref="A404:A406"/>
    <mergeCell ref="B404:B406"/>
    <mergeCell ref="C404:C406"/>
    <mergeCell ref="J404:J406"/>
    <mergeCell ref="A395:A397"/>
    <mergeCell ref="B395:B397"/>
    <mergeCell ref="C395:C397"/>
    <mergeCell ref="J395:J397"/>
    <mergeCell ref="A398:A400"/>
    <mergeCell ref="B398:B400"/>
    <mergeCell ref="C398:C400"/>
    <mergeCell ref="J398:J400"/>
    <mergeCell ref="A413:A415"/>
    <mergeCell ref="B413:B415"/>
    <mergeCell ref="C413:C415"/>
    <mergeCell ref="J413:J415"/>
    <mergeCell ref="A416:A418"/>
    <mergeCell ref="B416:B418"/>
    <mergeCell ref="C416:C418"/>
    <mergeCell ref="J416:J418"/>
    <mergeCell ref="A407:A409"/>
    <mergeCell ref="B407:B409"/>
    <mergeCell ref="C407:C409"/>
    <mergeCell ref="J407:J409"/>
    <mergeCell ref="A410:A412"/>
    <mergeCell ref="B410:B412"/>
    <mergeCell ref="C410:C412"/>
    <mergeCell ref="J410:J412"/>
    <mergeCell ref="A425:A427"/>
    <mergeCell ref="B425:B427"/>
    <mergeCell ref="C425:C427"/>
    <mergeCell ref="J425:J427"/>
    <mergeCell ref="A428:A430"/>
    <mergeCell ref="B428:B430"/>
    <mergeCell ref="C428:C430"/>
    <mergeCell ref="J428:J430"/>
    <mergeCell ref="A419:A421"/>
    <mergeCell ref="B419:B421"/>
    <mergeCell ref="C419:C421"/>
    <mergeCell ref="J419:J421"/>
    <mergeCell ref="A422:A424"/>
    <mergeCell ref="B422:B424"/>
    <mergeCell ref="C422:C424"/>
    <mergeCell ref="J422:J424"/>
    <mergeCell ref="A437:A439"/>
    <mergeCell ref="B437:B439"/>
    <mergeCell ref="C437:C439"/>
    <mergeCell ref="J437:J439"/>
    <mergeCell ref="A440:A442"/>
    <mergeCell ref="B440:B442"/>
    <mergeCell ref="C440:C442"/>
    <mergeCell ref="J440:J442"/>
    <mergeCell ref="A431:A433"/>
    <mergeCell ref="B431:B433"/>
    <mergeCell ref="C431:C433"/>
    <mergeCell ref="J431:J433"/>
    <mergeCell ref="A434:A436"/>
    <mergeCell ref="B434:B436"/>
    <mergeCell ref="C434:C436"/>
    <mergeCell ref="J434:J436"/>
    <mergeCell ref="A449:A451"/>
    <mergeCell ref="B449:B451"/>
    <mergeCell ref="C449:C451"/>
    <mergeCell ref="J449:J451"/>
    <mergeCell ref="A452:A454"/>
    <mergeCell ref="B452:B454"/>
    <mergeCell ref="C452:C454"/>
    <mergeCell ref="J452:J454"/>
    <mergeCell ref="A443:A445"/>
    <mergeCell ref="B443:B445"/>
    <mergeCell ref="C443:C445"/>
    <mergeCell ref="J443:J445"/>
    <mergeCell ref="A446:A448"/>
    <mergeCell ref="B446:B448"/>
    <mergeCell ref="C446:C448"/>
    <mergeCell ref="J446:J448"/>
    <mergeCell ref="A461:A463"/>
    <mergeCell ref="B461:B463"/>
    <mergeCell ref="C461:C463"/>
    <mergeCell ref="J461:J463"/>
    <mergeCell ref="A464:A466"/>
    <mergeCell ref="B464:B466"/>
    <mergeCell ref="C464:C466"/>
    <mergeCell ref="J464:J466"/>
    <mergeCell ref="A455:A457"/>
    <mergeCell ref="B455:B457"/>
    <mergeCell ref="C455:C457"/>
    <mergeCell ref="J455:J457"/>
    <mergeCell ref="A458:A460"/>
    <mergeCell ref="B458:B460"/>
    <mergeCell ref="C458:C460"/>
    <mergeCell ref="J458:J460"/>
    <mergeCell ref="A473:A475"/>
    <mergeCell ref="B473:B475"/>
    <mergeCell ref="C473:C475"/>
    <mergeCell ref="J473:J475"/>
    <mergeCell ref="A476:A478"/>
    <mergeCell ref="B476:B478"/>
    <mergeCell ref="C476:C478"/>
    <mergeCell ref="J476:J478"/>
    <mergeCell ref="A467:A469"/>
    <mergeCell ref="B467:B469"/>
    <mergeCell ref="C467:C469"/>
    <mergeCell ref="J467:J469"/>
    <mergeCell ref="A470:A472"/>
    <mergeCell ref="B470:B472"/>
    <mergeCell ref="C470:C472"/>
    <mergeCell ref="J470:J472"/>
    <mergeCell ref="A485:A487"/>
    <mergeCell ref="B485:B487"/>
    <mergeCell ref="C485:C487"/>
    <mergeCell ref="J485:J487"/>
    <mergeCell ref="A488:A490"/>
    <mergeCell ref="B488:B490"/>
    <mergeCell ref="C488:C490"/>
    <mergeCell ref="J488:J490"/>
    <mergeCell ref="A479:A481"/>
    <mergeCell ref="B479:B481"/>
    <mergeCell ref="C479:C481"/>
    <mergeCell ref="J479:J481"/>
    <mergeCell ref="A482:A484"/>
    <mergeCell ref="B482:B484"/>
    <mergeCell ref="C482:C484"/>
    <mergeCell ref="J482:J484"/>
    <mergeCell ref="A497:A499"/>
    <mergeCell ref="B497:B499"/>
    <mergeCell ref="C497:C499"/>
    <mergeCell ref="J497:J499"/>
    <mergeCell ref="A500:A502"/>
    <mergeCell ref="B500:B502"/>
    <mergeCell ref="C500:C502"/>
    <mergeCell ref="J500:J502"/>
    <mergeCell ref="A491:A493"/>
    <mergeCell ref="B491:B493"/>
    <mergeCell ref="C491:C493"/>
    <mergeCell ref="J491:J493"/>
    <mergeCell ref="A494:A496"/>
    <mergeCell ref="B494:B496"/>
    <mergeCell ref="C494:C496"/>
    <mergeCell ref="J494:J496"/>
    <mergeCell ref="A509:A511"/>
    <mergeCell ref="B509:B511"/>
    <mergeCell ref="C509:C511"/>
    <mergeCell ref="J509:J511"/>
    <mergeCell ref="A512:A514"/>
    <mergeCell ref="B512:B514"/>
    <mergeCell ref="C512:C514"/>
    <mergeCell ref="J512:J514"/>
    <mergeCell ref="A503:A505"/>
    <mergeCell ref="B503:B505"/>
    <mergeCell ref="C503:C505"/>
    <mergeCell ref="J503:J505"/>
    <mergeCell ref="A506:A508"/>
    <mergeCell ref="B506:B508"/>
    <mergeCell ref="C506:C508"/>
    <mergeCell ref="J506:J508"/>
    <mergeCell ref="A521:A523"/>
    <mergeCell ref="B521:B523"/>
    <mergeCell ref="C521:C523"/>
    <mergeCell ref="J521:J523"/>
    <mergeCell ref="A524:A526"/>
    <mergeCell ref="B524:B526"/>
    <mergeCell ref="C524:C526"/>
    <mergeCell ref="J524:J526"/>
    <mergeCell ref="A515:A517"/>
    <mergeCell ref="B515:B517"/>
    <mergeCell ref="C515:C517"/>
    <mergeCell ref="J515:J517"/>
    <mergeCell ref="A518:A520"/>
    <mergeCell ref="B518:B520"/>
    <mergeCell ref="C518:C520"/>
    <mergeCell ref="J518:J520"/>
    <mergeCell ref="A533:A535"/>
    <mergeCell ref="B533:B535"/>
    <mergeCell ref="C533:C535"/>
    <mergeCell ref="J533:J535"/>
    <mergeCell ref="A537:B539"/>
    <mergeCell ref="C537:C539"/>
    <mergeCell ref="J537:J539"/>
    <mergeCell ref="A527:A529"/>
    <mergeCell ref="B527:B529"/>
    <mergeCell ref="C527:C529"/>
    <mergeCell ref="J527:J529"/>
    <mergeCell ref="A530:A532"/>
    <mergeCell ref="B530:B532"/>
    <mergeCell ref="C530:C532"/>
    <mergeCell ref="J530:J532"/>
    <mergeCell ref="A540:J540"/>
    <mergeCell ref="A541:J541"/>
    <mergeCell ref="A542:J542"/>
    <mergeCell ref="A543:A545"/>
    <mergeCell ref="B543:B545"/>
    <mergeCell ref="C543:C545"/>
    <mergeCell ref="E543:E545"/>
    <mergeCell ref="F543:F545"/>
    <mergeCell ref="J543:J545"/>
    <mergeCell ref="A552:J552"/>
    <mergeCell ref="A553:B555"/>
    <mergeCell ref="C553:C555"/>
    <mergeCell ref="E553:E555"/>
    <mergeCell ref="F553:F555"/>
    <mergeCell ref="J553:J555"/>
    <mergeCell ref="A546:J546"/>
    <mergeCell ref="A547:J547"/>
    <mergeCell ref="A548:J548"/>
    <mergeCell ref="A549:A551"/>
    <mergeCell ref="B549:B551"/>
    <mergeCell ref="C549:C551"/>
    <mergeCell ref="E549:E551"/>
    <mergeCell ref="F549:F551"/>
    <mergeCell ref="J549:J55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17</vt:i4>
      </vt:variant>
    </vt:vector>
  </HeadingPairs>
  <TitlesOfParts>
    <vt:vector size="31" baseType="lpstr">
      <vt:lpstr>zał.1</vt:lpstr>
      <vt:lpstr>zał.2</vt:lpstr>
      <vt:lpstr>zał.3</vt:lpstr>
      <vt:lpstr>zał.4</vt:lpstr>
      <vt:lpstr>zał.5</vt:lpstr>
      <vt:lpstr>zał.6</vt:lpstr>
      <vt:lpstr> zał.7</vt:lpstr>
      <vt:lpstr>zał.8 </vt:lpstr>
      <vt:lpstr>zał.9</vt:lpstr>
      <vt:lpstr>zał.10</vt:lpstr>
      <vt:lpstr>zał.11</vt:lpstr>
      <vt:lpstr>zał.12</vt:lpstr>
      <vt:lpstr>zał.13</vt:lpstr>
      <vt:lpstr>zał.14</vt:lpstr>
      <vt:lpstr>zał.1!Obszar_wydruku</vt:lpstr>
      <vt:lpstr>zał.11!Obszar_wydruku</vt:lpstr>
      <vt:lpstr>zał.2!Obszar_wydruku</vt:lpstr>
      <vt:lpstr>zał.5!Obszar_wydruku</vt:lpstr>
      <vt:lpstr>zał.6!Obszar_wydruku</vt:lpstr>
      <vt:lpstr>' zał.7'!Tytuły_wydruku</vt:lpstr>
      <vt:lpstr>zał.1!Tytuły_wydruku</vt:lpstr>
      <vt:lpstr>zał.10!Tytuły_wydruku</vt:lpstr>
      <vt:lpstr>zał.11!Tytuły_wydruku</vt:lpstr>
      <vt:lpstr>zał.12!Tytuły_wydruku</vt:lpstr>
      <vt:lpstr>zał.13!Tytuły_wydruku</vt:lpstr>
      <vt:lpstr>zał.2!Tytuły_wydruku</vt:lpstr>
      <vt:lpstr>zał.3!Tytuły_wydruku</vt:lpstr>
      <vt:lpstr>zał.4!Tytuły_wydruku</vt:lpstr>
      <vt:lpstr>zał.6!Tytuły_wydruku</vt:lpstr>
      <vt:lpstr>'zał.8 '!Tytuły_wydruku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2024-06-11T09:51:23Z</cp:lastPrinted>
  <dcterms:created xsi:type="dcterms:W3CDTF">2010-11-02T12:16:55Z</dcterms:created>
  <dcterms:modified xsi:type="dcterms:W3CDTF">2024-06-12T11:18:05Z</dcterms:modified>
</cp:coreProperties>
</file>