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1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 " sheetId="6" r:id="rId6"/>
    <sheet name="zał.7" sheetId="7" r:id="rId7"/>
    <sheet name="zał.8 " sheetId="8" r:id="rId8"/>
    <sheet name="zał.9" sheetId="9" r:id="rId9"/>
    <sheet name="zał.10" sheetId="10" r:id="rId10"/>
    <sheet name="zał.11" sheetId="11" r:id="rId11"/>
  </sheets>
  <definedNames>
    <definedName name="_xlnm.Print_Area" localSheetId="0">'zał.1'!$A$1:$Q$155</definedName>
    <definedName name="_xlnm.Print_Area" localSheetId="1">'zał.2'!$A$1:$G$85</definedName>
    <definedName name="_xlnm.Print_Area" localSheetId="4">'zał.5'!$A$1:$F$56</definedName>
    <definedName name="_xlnm.Print_Titles" localSheetId="0">'zał.1'!$7:$11</definedName>
    <definedName name="_xlnm.Print_Titles" localSheetId="9">'zał.10'!$7:$9</definedName>
    <definedName name="_xlnm.Print_Titles" localSheetId="1">'zał.2'!$7:$8</definedName>
    <definedName name="_xlnm.Print_Titles" localSheetId="2">'zał.3'!$8:$12</definedName>
    <definedName name="_xlnm.Print_Titles" localSheetId="3">'zał.4'!$7:$9</definedName>
    <definedName name="_xlnm.Print_Titles" localSheetId="5">'zał.6 '!$7:$13</definedName>
    <definedName name="_xlnm.Print_Titles" localSheetId="6">'zał.7'!$8:$14</definedName>
    <definedName name="_xlnm.Print_Titles" localSheetId="7">'zał.8 '!$7:$11</definedName>
    <definedName name="_xlnm.Print_Titles" localSheetId="8">'zał.9'!$6:$9</definedName>
  </definedNames>
  <calcPr fullCalcOnLoad="1"/>
</workbook>
</file>

<file path=xl/sharedStrings.xml><?xml version="1.0" encoding="utf-8"?>
<sst xmlns="http://schemas.openxmlformats.org/spreadsheetml/2006/main" count="5082" uniqueCount="1114">
  <si>
    <t>w złotych</t>
  </si>
  <si>
    <t>Dział</t>
  </si>
  <si>
    <t>§</t>
  </si>
  <si>
    <t>Treść</t>
  </si>
  <si>
    <t xml:space="preserve">Plan na </t>
  </si>
  <si>
    <t>Zwiększenie</t>
  </si>
  <si>
    <t>Zmniejszenie</t>
  </si>
  <si>
    <t>Plan po</t>
  </si>
  <si>
    <t>Rozdział</t>
  </si>
  <si>
    <t>zmianach</t>
  </si>
  <si>
    <t>WYDATKI OGÓŁEM</t>
  </si>
  <si>
    <t>*</t>
  </si>
  <si>
    <t>OGÓŁEM</t>
  </si>
  <si>
    <t>a</t>
  </si>
  <si>
    <t>b</t>
  </si>
  <si>
    <t>c</t>
  </si>
  <si>
    <t>010</t>
  </si>
  <si>
    <t>ROLNICTWO I ŁOWIECTWO</t>
  </si>
  <si>
    <t>01042</t>
  </si>
  <si>
    <t>600</t>
  </si>
  <si>
    <t>TRANSPORT I ŁĄCZNOŚĆ</t>
  </si>
  <si>
    <t>60013</t>
  </si>
  <si>
    <t>700</t>
  </si>
  <si>
    <t>GOSPODARKA MIESZKANIOWA</t>
  </si>
  <si>
    <t>70005</t>
  </si>
  <si>
    <t>710</t>
  </si>
  <si>
    <t>DZIAŁALNOŚĆ USŁUGOWA</t>
  </si>
  <si>
    <t>71003</t>
  </si>
  <si>
    <t>750</t>
  </si>
  <si>
    <t>ADMINISTRACJA PUBLICZNA</t>
  </si>
  <si>
    <t>75018</t>
  </si>
  <si>
    <t>801</t>
  </si>
  <si>
    <t>OŚWIATA I WYCHOWANIE</t>
  </si>
  <si>
    <t>80147</t>
  </si>
  <si>
    <t>851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</si>
  <si>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</si>
  <si>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</si>
  <si>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</si>
  <si>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</si>
  <si>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</si>
  <si>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</si>
  <si>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a - plan przed zmianą </t>
  </si>
  <si>
    <t>b - saldo zmian</t>
  </si>
  <si>
    <t>c - plan po zmianach</t>
  </si>
  <si>
    <t>71012</t>
  </si>
  <si>
    <t>60016</t>
  </si>
  <si>
    <t>w tym:</t>
  </si>
  <si>
    <t>Wynagrodzenia z pochodnymi</t>
  </si>
  <si>
    <t>Wydatki bieżące</t>
  </si>
  <si>
    <t>60003</t>
  </si>
  <si>
    <t>Krajowe pasażerskie przewozy autobusowe</t>
  </si>
  <si>
    <t>60095</t>
  </si>
  <si>
    <t>Pozostała działalność</t>
  </si>
  <si>
    <t>71005</t>
  </si>
  <si>
    <t>Prace geologiczne (nieinwestycyjne)</t>
  </si>
  <si>
    <t>75084</t>
  </si>
  <si>
    <t>Funkcjonowanie wojewódzkich rad dialogu społecznego</t>
  </si>
  <si>
    <t>752</t>
  </si>
  <si>
    <t>OBRONA NARODOWA</t>
  </si>
  <si>
    <t>75212</t>
  </si>
  <si>
    <t>Pozostałe wydatki obronne</t>
  </si>
  <si>
    <t>Składki na ubezpieczenie zdrowotne oraz świadczenia dla osób nieobjętych obowiązkiem ubezpieczenia zdrowotnego</t>
  </si>
  <si>
    <t>Wojewódzkie urzędy pracy</t>
  </si>
  <si>
    <t>RODZINA</t>
  </si>
  <si>
    <t>Ochrona powietrza atmosferycznego i klimatu</t>
  </si>
  <si>
    <t>Zmniejszenie hałasu i wibracji</t>
  </si>
  <si>
    <t>01010</t>
  </si>
  <si>
    <t>050</t>
  </si>
  <si>
    <t>RYBOŁÓWSTWO I RYBACTWO</t>
  </si>
  <si>
    <t>630</t>
  </si>
  <si>
    <t>TURYSTYKA</t>
  </si>
  <si>
    <t>720</t>
  </si>
  <si>
    <t>INFORMATYKA</t>
  </si>
  <si>
    <t>72095</t>
  </si>
  <si>
    <t>80146</t>
  </si>
  <si>
    <t>Lp</t>
  </si>
  <si>
    <t>x</t>
  </si>
  <si>
    <t>853</t>
  </si>
  <si>
    <t>85332</t>
  </si>
  <si>
    <t>900</t>
  </si>
  <si>
    <t>05002</t>
  </si>
  <si>
    <t>Rybactwo</t>
  </si>
  <si>
    <t>60014</t>
  </si>
  <si>
    <t>63095</t>
  </si>
  <si>
    <t>Zadania z zakresu geodezji i kartografii</t>
  </si>
  <si>
    <t>803</t>
  </si>
  <si>
    <t>SZKOLNICTWO WYŻSZE</t>
  </si>
  <si>
    <t>Działalność ośrodków adopcyjnych</t>
  </si>
  <si>
    <t>Dział                   Rozdział</t>
  </si>
  <si>
    <t>Nazwa</t>
  </si>
  <si>
    <t>Ogółem</t>
  </si>
  <si>
    <t>z tego: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</si>
  <si>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</si>
  <si>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</si>
  <si>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</si>
  <si>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</si>
  <si>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</si>
  <si>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</si>
  <si>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 w tym dotacje)</t>
  </si>
  <si>
    <t>Zakup i objęcie akcji i udziałów</t>
  </si>
  <si>
    <t>Zadania statutowe</t>
  </si>
  <si>
    <t>01009</t>
  </si>
  <si>
    <t>Spółki wodne</t>
  </si>
  <si>
    <t>Infrastruktura wodociągowa i sanitacyjna wsi</t>
  </si>
  <si>
    <t>01041</t>
  </si>
  <si>
    <t xml:space="preserve">Program Rozwoju Obszarów Wiejskich                                             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</si>
  <si>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</si>
  <si>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</si>
  <si>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</si>
  <si>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</si>
  <si>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</si>
  <si>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</si>
  <si>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</si>
  <si>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</si>
  <si>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</si>
  <si>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</si>
  <si>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</si>
  <si>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</si>
  <si>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</si>
  <si>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</si>
  <si>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Krajowe pasażerskie przewozy kolejowe</t>
  </si>
  <si>
    <t>60002</t>
  </si>
  <si>
    <t>Infrastruktura kolejowa</t>
  </si>
  <si>
    <t>Drogi publiczne wojewódzkie</t>
  </si>
  <si>
    <t>Drogi publiczne powiatowe</t>
  </si>
  <si>
    <t>Drogi publiczne gminne</t>
  </si>
  <si>
    <t>63003</t>
  </si>
  <si>
    <t>Zadania w zakresie upowszechniania turystyki</t>
  </si>
  <si>
    <t>Gospodarka gruntami i nieruchomościami</t>
  </si>
  <si>
    <t>Biura planowania przestrzennego</t>
  </si>
  <si>
    <t>71004</t>
  </si>
  <si>
    <t>Plany zagospodarowania przestrzennego</t>
  </si>
  <si>
    <t>75017</t>
  </si>
  <si>
    <t>Samorządowe sejmiki województw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</si>
  <si>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</si>
  <si>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</si>
  <si>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</si>
  <si>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</si>
  <si>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</si>
  <si>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</si>
  <si>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</si>
  <si>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</si>
  <si>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</si>
  <si>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</si>
  <si>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</si>
  <si>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</si>
  <si>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</si>
  <si>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</si>
  <si>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</si>
  <si>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</si>
  <si>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</si>
  <si>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</si>
  <si>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</si>
  <si>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</si>
  <si>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</si>
  <si>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</si>
  <si>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</si>
  <si>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80111</t>
  </si>
  <si>
    <t>Gimnazja specjalne</t>
  </si>
  <si>
    <t>80113</t>
  </si>
  <si>
    <t>Dowożenie uczniów do szkół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</si>
  <si>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</si>
  <si>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</si>
  <si>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</si>
  <si>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</si>
  <si>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</si>
  <si>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</si>
  <si>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</si>
  <si>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Dokształcanie i doskonalenie nauczycieli</t>
  </si>
  <si>
    <t>Biblioteki pedagogiczne</t>
  </si>
  <si>
    <t>80151</t>
  </si>
  <si>
    <t>Kwalifikacyjne kursy zawodowe</t>
  </si>
  <si>
    <t>80195</t>
  </si>
  <si>
    <t>Szpitale ogólne</t>
  </si>
  <si>
    <t>Ratownictwo medyczne</t>
  </si>
  <si>
    <t>Medycyna pracy</t>
  </si>
  <si>
    <t>Programy polityki zdrowotnej</t>
  </si>
  <si>
    <t>Zwalczanie narkomanii</t>
  </si>
  <si>
    <t>Przeciwdziałanie alkoholizmowi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</si>
  <si>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</si>
  <si>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</si>
  <si>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</si>
  <si>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</si>
  <si>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</si>
  <si>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</si>
  <si>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Fundusz Gwarantowanych Świadczeń Pracowniczych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</si>
  <si>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</si>
  <si>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</si>
  <si>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</si>
  <si>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</si>
  <si>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</si>
  <si>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motywacyjnym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</si>
  <si>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</si>
  <si>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</si>
  <si>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</si>
  <si>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</si>
  <si>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</si>
  <si>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</si>
  <si>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</si>
  <si>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</si>
  <si>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</si>
  <si>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</si>
  <si>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</si>
  <si>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</si>
  <si>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</si>
  <si>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</si>
  <si>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>15011</t>
  </si>
  <si>
    <t>Rozwój  przedsiębiorczości</t>
  </si>
  <si>
    <t>Pozostałe zadania w zakresie kultury</t>
  </si>
  <si>
    <t>90005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</si>
  <si>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</si>
  <si>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</si>
  <si>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Pomoc materialna dla uczniów o charakterze socjalnym</t>
  </si>
  <si>
    <t>Placówki kształcenia ustawicznego, placówki kształcenia praktycznego i ośrodki dokształcania i doskonalenia zawodowego</t>
  </si>
  <si>
    <t>Pozostałe działania związane z gospodarką odpadami</t>
  </si>
  <si>
    <t xml:space="preserve">2019 r. </t>
  </si>
  <si>
    <t>Nazwa zadania inwestycyjnego</t>
  </si>
  <si>
    <t>Okres realizacji</t>
  </si>
  <si>
    <t>Ogólny koszt zadania</t>
  </si>
  <si>
    <t>Przewidywane nakłady poniesione do końca 2018 r.</t>
  </si>
  <si>
    <t>Planowane wydatki</t>
  </si>
  <si>
    <t>Jednostka organizacyjna realizująca zadanie lub koordynująca wykonanie zadania</t>
  </si>
  <si>
    <t>na rok budżetowy 2019</t>
  </si>
  <si>
    <t>z tego źródła finansowania:</t>
  </si>
  <si>
    <t>środki własne Województwa</t>
  </si>
  <si>
    <t>dotacje</t>
  </si>
  <si>
    <t>I</t>
  </si>
  <si>
    <t>Inwestycje jednoroczne</t>
  </si>
  <si>
    <t>Budowa i modernizacja dróg dojazdowych do gruntów rolnych oraz rekultywacja i poprawa jakości gruntów rolnych</t>
  </si>
  <si>
    <t>Urząd Marszałkowski w Toruniu</t>
  </si>
  <si>
    <t>Modernizacja dróg</t>
  </si>
  <si>
    <t>Zarząd Dróg Wojewódzkich w Bydgoszczy</t>
  </si>
  <si>
    <t>Wykup gruntu</t>
  </si>
  <si>
    <t>Przebudowa mostu w ciągu drogi wojewódzkiej Nr 243 w km 18+808 w m. Byszewo</t>
  </si>
  <si>
    <t>Zakup kopiarko-drukarki</t>
  </si>
  <si>
    <t>Zakupy inwestycyjne</t>
  </si>
  <si>
    <t>Medyczno-Społeczne Centrum Kształcenia Zawodowego i Ustawicznego w Inowrocławiu</t>
  </si>
  <si>
    <t>Wykonanie klimatyzacji</t>
  </si>
  <si>
    <t>Kujawsko-Pomorskie Centrum Edukacji Nauczycieli we Włocławku</t>
  </si>
  <si>
    <t>Kujawsko-Pomorskie Centrum Edukacji Nauczycieli w Bydgoszczy</t>
  </si>
  <si>
    <t>852</t>
  </si>
  <si>
    <t>85217</t>
  </si>
  <si>
    <t>Zakup i montaż klimatyzatorów</t>
  </si>
  <si>
    <t>Regionalny Ośrodek Polityki Społecznej w Toruniu</t>
  </si>
  <si>
    <t>Wojewódzki Urząd Pracy w Toruniu</t>
  </si>
  <si>
    <t>Zakup urządzeń wielofunkcyjnych</t>
  </si>
  <si>
    <t>854</t>
  </si>
  <si>
    <t>EDUKACYJNA OPIEKA WYCHOWAWCZA</t>
  </si>
  <si>
    <t>85403</t>
  </si>
  <si>
    <t>Przygotowanie dokumentacji na potrzeby realizacji projektów w ramach RPO WK-P</t>
  </si>
  <si>
    <t>921</t>
  </si>
  <si>
    <t>92106</t>
  </si>
  <si>
    <t>Modernizacja I i II balkonu w budynku głównym Teatru im. Wilama Horzycy w Toruniu</t>
  </si>
  <si>
    <t>Teatr im. W. Horzycy w Toruniu</t>
  </si>
  <si>
    <t>92109</t>
  </si>
  <si>
    <t>Zakup wyposażenia</t>
  </si>
  <si>
    <t>Pałac Lubostroń w Lubostroniu</t>
  </si>
  <si>
    <t>92118</t>
  </si>
  <si>
    <t>Przygotowanie koncepcji upamiętnienia miejsca narodzin matki Fryderyka Chopina w Długiem</t>
  </si>
  <si>
    <t>Muzeum Ziemi Kujawskiej i Dobrzyńskiej we Włocławku</t>
  </si>
  <si>
    <t>92195</t>
  </si>
  <si>
    <t>Utworzenie Ośrodka Pamięci gen. Wł. Sikorskiego w Parchaniu - pomoc finansowa</t>
  </si>
  <si>
    <t>926</t>
  </si>
  <si>
    <t>KULTURA FIZYCZNA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</si>
  <si>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</si>
  <si>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</si>
  <si>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</si>
  <si>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</si>
  <si>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</si>
  <si>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Przywrócenie równowagi ekologicznej na terenach gmin województwa kujawsko-pomorskiego w związku z budową autostrady A-1 w latach 2011-2015 - wsparcie finansowe</t>
  </si>
  <si>
    <t>2011-2019</t>
  </si>
  <si>
    <t>Budowa wiaduktów i przystanków kolejowych w bydgosko-toruńskim obszarze metropolitalnym - uzyskanie certyfikatów zgodności dla podsystemów i składników interoperacyjności WE w kolejnictwie</t>
  </si>
  <si>
    <t>2017-2019</t>
  </si>
  <si>
    <t>Modernizacja dróg wojewódzkich, grupa III - Kujawsko-pomorskiego planu spójności komunikacji drogowej i kolejowej 2014-2020</t>
  </si>
  <si>
    <t>2017-2020</t>
  </si>
  <si>
    <t xml:space="preserve">Zarząd Dróg Wojewódzkich w Bydgoszczy </t>
  </si>
  <si>
    <t>Opracowanie dokumentacji projektowej na przebudowę drogi wojewódzkiej Nr 562 Szpetal Górny-Dobrzyń nad Wisłą-Płock odc. Krojczyn-Szpiegowo od km 6+400 do km 9+400 dł. 3,000 km</t>
  </si>
  <si>
    <t>Roboty dodatkowe i uzupełniające związane z realizacją inwestycji drogowych w ramach grupy I RPO</t>
  </si>
  <si>
    <t>2018-2020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</si>
  <si>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</si>
  <si>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</si>
  <si>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Opracowanie dokumentacji Studium Techniczno-Ekonomiczno-Środowiskowego dla połączenia Miasta Bydgoszczy z węzłem drogowym na trasie szybkiego ruchu S5 i S10 w miejscowości Miałe Błota - wsparcie finansowe</t>
  </si>
  <si>
    <t>2018-2019</t>
  </si>
  <si>
    <t>Dokumentacje projektowe</t>
  </si>
  <si>
    <t>2014-2019</t>
  </si>
  <si>
    <t>Modernizacja nieruchomości w Toruniu przy ul. Św. Jakuba 3-5, Wola Zamkowa 8-10, 10A i 12A (rozliczenie z użytkownikiem)</t>
  </si>
  <si>
    <t>2016-2031</t>
  </si>
  <si>
    <t>Nabycie nieruchomości położonej w Toruniu przy ul. Kopernika 4</t>
  </si>
  <si>
    <t>Kultura w zasięgu 2.0 - wkład własny wojewódzkich jednostek organizacyjnych</t>
  </si>
  <si>
    <t>Rozbudowa budynku Urzędu Marszałkowskiego</t>
  </si>
  <si>
    <t>2009-2019</t>
  </si>
  <si>
    <t>Rozbudowa KPCEN we Włocławku - dokumentacja</t>
  </si>
  <si>
    <t>80395</t>
  </si>
  <si>
    <t>Rozbudowa kampusu UTP w Bydgoszczy w Fordonie (partycypacja do 30 % kosztów realizacji zadania)</t>
  </si>
  <si>
    <t>2018-2021</t>
  </si>
  <si>
    <t>85111</t>
  </si>
  <si>
    <t>Zakup ambulansów dla zespołów ratownictwa medycznego wraz z wyposażeniem medycznym w formie leasingu dla potrzeb Wojewódzkiego Szpitala Zespolonego w Toruniu</t>
  </si>
  <si>
    <t>2015-2019</t>
  </si>
  <si>
    <t>Wojewódzki Szpital Zespolony w Toruniu</t>
  </si>
  <si>
    <t>Zakup ambulansów dla zespołów ratownictwa medycznego wraz z wyposażeniem medycznym w formie leasingu przez Wojewódzki Szpital Specjalistyczny we Włocławku</t>
  </si>
  <si>
    <t>Wojewódzki Szpital Specjalistyczny we Włocławku</t>
  </si>
  <si>
    <t>85141</t>
  </si>
  <si>
    <t>Zakup ambulansów w formie leasingu przez Wojewódzką Stację Pogotowia Ratunkowego w Bydgoszczy</t>
  </si>
  <si>
    <t>2016-2020</t>
  </si>
  <si>
    <t>Wojewódzka Stacja Pogotowia Ratunkowego w Bydgoszczy</t>
  </si>
  <si>
    <t>85154</t>
  </si>
  <si>
    <t>Budowa Całodobowego Młodzieżowego Oddziału Leczenia Uzależnień przy ul. Włocławskiej 233-235 w Toruniu</t>
  </si>
  <si>
    <t>2016-2019</t>
  </si>
  <si>
    <t>Wojewódzki Ośrodek Terapii Uzależnień i Współuzależnienia w Toruniu</t>
  </si>
  <si>
    <t xml:space="preserve">92105
92106
</t>
  </si>
  <si>
    <t>Rozbudowa Opery Nova w Bydgoszczy  o IV krąg wraz z infrastrukturą parkingową</t>
  </si>
  <si>
    <t>Opera Nova w Bydgoszczy</t>
  </si>
  <si>
    <t>Nadbudowa i rozbudowa dawnego budynku kinoteatru Grunwald usytuowanego przy ul. Warszawskiej 11 w Toruniu z przeznaczeniem na teatr - Utworzenie "DUŻEJ SCENY" Kujawsko-Pomorskiego Impresaryjnego Teatru Muzycznego w Toruniu</t>
  </si>
  <si>
    <t>2019-2029</t>
  </si>
  <si>
    <t>Kujawsko-Pomorski Impresaryjny Teatr Muzyczny w Toruniu</t>
  </si>
  <si>
    <t>Przebudowa i remont konserwatorski budynku Pałacu Dąmbskich w Toruniu</t>
  </si>
  <si>
    <t>2015-2022</t>
  </si>
  <si>
    <t>92108</t>
  </si>
  <si>
    <t>Zakup sprzętu i wyposażenia dla Filharmonii Pomorskiej im. Ignacego Jana Paderewskiego w Bydgoszczy</t>
  </si>
  <si>
    <t>Filharmonia Pomorska w Bydgoszczy</t>
  </si>
  <si>
    <t>Rozbudowa i remont Filharmonii Pomorskiej w Bydgoszczy - przygotowanie dokumentacji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</si>
  <si>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</si>
  <si>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</si>
  <si>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</si>
  <si>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</si>
  <si>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</si>
  <si>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80153</t>
  </si>
  <si>
    <t>Zapewnienie uczniom prawa do bezpłatnego dostępu do podręczników, materiałów edukacyjnych lub materiałów ćwiczeniowych</t>
  </si>
  <si>
    <t>01006</t>
  </si>
  <si>
    <t>Zarządy melioracji i urządzeń wodnych</t>
  </si>
  <si>
    <r>
      <t xml:space="preserve">W załączniku </t>
    </r>
    <r>
      <rPr>
        <b/>
        <sz val="10"/>
        <rFont val="Times New Roman"/>
        <family val="1"/>
      </rPr>
      <t xml:space="preserve">nr 3 "Wydatki budżetu Województwa Kujawsko-Pomorskiego wg grup wydatków. Plan na 2019 rok" </t>
    </r>
    <r>
      <rPr>
        <sz val="10"/>
        <rFont val="Times New Roman"/>
        <family val="1"/>
      </rPr>
      <t xml:space="preserve"> do uchwały Nr II/48/18 Sejmiku Województwa Kujawsko-Pomorskiego z dnia 17 grudnia 2018 roku w sprawie budżetu województwa na rok 2019 (z późn. zm.), wprowadza się następujące zmiany:</t>
    </r>
  </si>
  <si>
    <r>
      <t xml:space="preserve">W załączniku </t>
    </r>
    <r>
      <rPr>
        <b/>
        <sz val="10"/>
        <rFont val="Times New Roman"/>
        <family val="1"/>
      </rPr>
      <t xml:space="preserve">nr 4 "Wydatki budżetu Województwa Kujawsko-Pomorskiego wg klasyfikacji budżetowej. Plan na 2019 rok" </t>
    </r>
    <r>
      <rPr>
        <sz val="10"/>
        <rFont val="Times New Roman"/>
        <family val="1"/>
      </rPr>
      <t>do uchwały Nr II/48/18 Sejmiku Województwa Kujawsko-Pomorskiego z dnia 17 grudnia 2018 roku w sprawie budżetu województwa na rok 2019 (z późn. zm.), wprowadza się następujące zmiany:</t>
    </r>
  </si>
  <si>
    <r>
      <t xml:space="preserve">W załączniku </t>
    </r>
    <r>
      <rPr>
        <b/>
        <sz val="10"/>
        <rFont val="Times New Roman"/>
        <family val="1"/>
      </rPr>
      <t>nr 8 "Wydatki na zadania inwestycyjne. Plan na 2019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II/48/18 Sejmiku Województwa Kujawsko-Pomorskiego z dnia 17 grudnia 2018 roku w sprawie budżetu województwa na rok 2019 (z późn. zm.), wprowadza się następujące zmiany:</t>
    </r>
  </si>
  <si>
    <t>730</t>
  </si>
  <si>
    <t>SZKOLNICTWO WYŻSZE I NAUKA</t>
  </si>
  <si>
    <t>73095</t>
  </si>
  <si>
    <t>V</t>
  </si>
  <si>
    <t>Inwestycje realizowane w ramach Regionalnego Programu Operacyjnego Województwa Kujawsko-Pomorskiego 2007-2013</t>
  </si>
  <si>
    <t>Wsparcie inwestycji przedsiębiorstw, Działanie 5.2.2</t>
  </si>
  <si>
    <t>400</t>
  </si>
  <si>
    <t>WYTWARZANIE I ZAOPATRYWANIE W ENERGIĘ ELEKTRYCZNĄ, GAZ I WODĘ</t>
  </si>
  <si>
    <t>40002</t>
  </si>
  <si>
    <t>90001</t>
  </si>
  <si>
    <t>90015</t>
  </si>
  <si>
    <t>85395</t>
  </si>
  <si>
    <t>Zakup urządzenia do nauki chodu w ramach zadania pn. "Wyrównywanie szans osób niepełnosprawnych"</t>
  </si>
  <si>
    <t>Ochrona zabytków - "Lubostroń, pałac XVIII w. prace konserwatorsko-restauratorskie stolarki okiennej i drzwiowej"</t>
  </si>
  <si>
    <t>Muzeum Etnograficzne w Toruniu</t>
  </si>
  <si>
    <t>Kolekcje muzealne - "Zakup kolekcji rzeźb Józefa Soboty (1894-1979) artysty ludowego ze wsi Regut w województwie mazowieckim"</t>
  </si>
  <si>
    <t>Wojewódzki Ośrodek Animacji Kultury w Toruniu</t>
  </si>
  <si>
    <t>Infrastruktura domów kultury - "Zakup środka transportu służącego działalności edukacyjnej"</t>
  </si>
  <si>
    <t>85148</t>
  </si>
  <si>
    <t>Modernizacja amfiteatru Muzeum Etnograficznego w Toruniu</t>
  </si>
  <si>
    <t xml:space="preserve">Opracowanie dokumentacji projektowej dla rozbudowy drogi wojewódzkiej Nr 244 Kamieniec-Strzelce Dolne m. Żołędowo ul. Jastrzębia od km 30+068 do km 33+342, dł. 3,274 km </t>
  </si>
  <si>
    <t>Opracowanie dokumentacji projektowej dla przebudowy drogi wojewódzkiej Nr 301 Janowice-Tadzin-Bądkowo-Krotoszyn-Osięciny na odc. od km 2+290 do km 18+295,5 km oraz od km 18+892,5 do km 19+226, dł. 16,339 km</t>
  </si>
  <si>
    <t>2019-2020</t>
  </si>
  <si>
    <t>Wykonanie przyłącza wodociągowego do budynku przy ul. M. Skłodowskiej-Curie 61/67</t>
  </si>
  <si>
    <t>Wojewódzki Ośrodek Medycyny Pracy w Toruniu</t>
  </si>
  <si>
    <t>Zakup i montaż agregatu wody lodowej</t>
  </si>
  <si>
    <t>Dostarczanie wody</t>
  </si>
  <si>
    <t>75801</t>
  </si>
  <si>
    <t>Część oświatowa subwencji ogólnej dla jednostek samorządu terytorialnego</t>
  </si>
  <si>
    <t>Staże i specjalizacje medyczne</t>
  </si>
  <si>
    <t>Oświetlenie ulic, placów i dróg</t>
  </si>
  <si>
    <t>Gospodarka ściekowa i ochrona wód</t>
  </si>
  <si>
    <t xml:space="preserve"> </t>
  </si>
  <si>
    <t>Dotacja celowa na pomoc finansową udzielaną między jednostkami samorządu terytorialnego na dofinansowanie własnych zadań inwestycyjnych i zakupów inwestycyjnych</t>
  </si>
  <si>
    <t>Nagrody konkursowe</t>
  </si>
  <si>
    <t>Zakup usług pozostałych</t>
  </si>
  <si>
    <t>Rozwój przedsiębiorczości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</si>
  <si>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</si>
  <si>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</si>
  <si>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Wynagrodzenia osobowe pracowników</t>
  </si>
  <si>
    <t>Składki na ubezpieczenia społeczne</t>
  </si>
  <si>
    <t>Składki na Fundusz Pracy oraz Solidarnościowy Fundusz Wsparcia Osób Niepełnosprawnych</t>
  </si>
  <si>
    <t>Wynagrodzenia bezosobowe</t>
  </si>
  <si>
    <t>Zakup materiałów i wyposażenia</t>
  </si>
  <si>
    <t>Zakup energii</t>
  </si>
  <si>
    <t>Opłaty za administrowanie i czynsze za budynki, lokale i pomieszczenia garażowe</t>
  </si>
  <si>
    <t>Dodatkowe wynagrodzenie roczne</t>
  </si>
  <si>
    <t>Podróże służbowe zagraniczne</t>
  </si>
  <si>
    <t>Wydatki inwestycyjne jednostek budżetowych</t>
  </si>
  <si>
    <t>Zakup usług remontowych</t>
  </si>
  <si>
    <t>Wydatki na zakupy inwestycyjne jednostek budżetowych</t>
  </si>
  <si>
    <t>Podróże służbowe krajowe</t>
  </si>
  <si>
    <t>Różne opłaty i składki</t>
  </si>
  <si>
    <t>Dopłaty w spółkach prawa handlowego</t>
  </si>
  <si>
    <t>Zakup środków żywności</t>
  </si>
  <si>
    <t>Opłaty z tytułu zakupu usług telekomunikacyjnych</t>
  </si>
  <si>
    <t>Szkolenia pracowników niebędących członkami korpusu służby cywilnej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</si>
  <si>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</si>
  <si>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Dotacje celowe z budżetu na finansowanie lub dofinansowanie kosztów realizacji inwestycji i zakupów inwestycyjnych innych jednostek sektora finansów publicznych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</si>
  <si>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</si>
  <si>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Wypłaty z tytułu zagranicznych poręczeń i gwarancji</t>
  </si>
  <si>
    <t>Zwrot do budżetu państwa nienależnie pobranej subwencji ogólnej za lata poprzednie</t>
  </si>
  <si>
    <t>Rezerwy na inwestycje i zakupy inwestycyjne</t>
  </si>
  <si>
    <t>Zakup środków dydaktycznych i książek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</si>
  <si>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</si>
  <si>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Zakup usług zdrowotnych</t>
  </si>
  <si>
    <t>Odpisy na zakładowy fundusz świadczeń socjalnych</t>
  </si>
  <si>
    <t>855</t>
  </si>
  <si>
    <t>Dotacja celowa z budżetu dla pozostałych jednostek zaliczanych do sektora finansów publicznych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</si>
  <si>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</si>
  <si>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</si>
  <si>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 przekazane jednostkom zaliczanym do sektora finansów publicznych</t>
  </si>
  <si>
    <t>Dotacja celowa na pomoc finansową udzielaną między jednostkami samorządu terytorialnego na dofinansowanie własnych zadań bieżących</t>
  </si>
  <si>
    <t>Nagrody o charakterze szczególnym niezaliczone do wynagrodzeń</t>
  </si>
  <si>
    <t>925</t>
  </si>
  <si>
    <t>Wydatki osobowe niezaliczone do wynagrodzeń</t>
  </si>
  <si>
    <t>Opłaty na rzecz budżetów jednostek samorządu terytorialnego</t>
  </si>
  <si>
    <t>Dotacje celowe z budżetu na finansowanie lub dofinansowanie kosztów realizacji inwestycji i zakupów inwestycyjnych jednostek nie zaliczanych do sektora finansów publicznych</t>
  </si>
  <si>
    <t>Zakup usług obejmujących tłumaczenia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</si>
  <si>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</si>
  <si>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 xml:space="preserve">Przygotowanie dokumentacji na zadania drogowe planowane do realizacji w ramach Funduszu Dróg Samorządowych </t>
  </si>
  <si>
    <t>Nr    /    /19 Sejmiku Województwa</t>
  </si>
  <si>
    <t>z dnia    .04.2019 r.</t>
  </si>
  <si>
    <r>
      <t>W załączniku n</t>
    </r>
    <r>
      <rPr>
        <b/>
        <sz val="10"/>
        <rFont val="Times New Roman"/>
        <family val="1"/>
      </rPr>
      <t>r 1 "Dochody budżetu Województwa Kujawsko-Pomorskiego wg źródeł pochodzenia. Plan na 2019 rok"</t>
    </r>
    <r>
      <rPr>
        <sz val="10"/>
        <rFont val="Times New Roman"/>
        <family val="1"/>
      </rPr>
      <t xml:space="preserve"> do uchwały Nr II/48/18 Sejmiku Województwa Kujawsko-Pomorskiego z dnia 17 grudnia 2018 r. w sprawie budżetu wojewodztwa na rok 2019 (z późn. zm.), wprowadza się następujące zmiany: </t>
    </r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</si>
  <si>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</si>
  <si>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</si>
  <si>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</si>
  <si>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</si>
  <si>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</si>
  <si>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</si>
  <si>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</si>
  <si>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</si>
  <si>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</si>
  <si>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</si>
  <si>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>z pozostałych żródeł</t>
  </si>
  <si>
    <t xml:space="preserve">z budżetu państwa </t>
  </si>
  <si>
    <t>na finansowanie części unijnej</t>
  </si>
  <si>
    <t>na finansowanie części krajowej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</si>
  <si>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</si>
  <si>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</si>
  <si>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</si>
  <si>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</si>
  <si>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</si>
  <si>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</si>
  <si>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</si>
  <si>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</si>
  <si>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</si>
  <si>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</si>
  <si>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</si>
  <si>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</si>
  <si>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</si>
  <si>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</si>
  <si>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</si>
  <si>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</si>
  <si>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</si>
  <si>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</si>
  <si>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</si>
  <si>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</si>
  <si>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</si>
  <si>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OGRODY BOTANICZNE 
I ZOOLOGICZNE ORAZ NATURALNE OBSZARY 
I OBIEKTY CHRONIONEJ PRZYRODY</t>
  </si>
  <si>
    <t>DOCHODY MAJĄTKOWE</t>
  </si>
  <si>
    <t>o g ó ł e m :</t>
  </si>
  <si>
    <t xml:space="preserve"> - plan na 2019 r.</t>
  </si>
  <si>
    <t xml:space="preserve"> - saldo zmian </t>
  </si>
  <si>
    <t xml:space="preserve"> - plan po zmianach</t>
  </si>
  <si>
    <t>Załącznik nr 1 do uchwały</t>
  </si>
  <si>
    <t xml:space="preserve">Nr       /      /19  Sejmiku Województwa </t>
  </si>
  <si>
    <t xml:space="preserve">z dnia       .04.2019 r. </t>
  </si>
  <si>
    <r>
      <t>W załączniku n</t>
    </r>
    <r>
      <rPr>
        <b/>
        <sz val="10"/>
        <color indexed="8"/>
        <rFont val="Times New Roman"/>
        <family val="1"/>
      </rPr>
      <t>r 2 "Dochody budżetu Województwa Kujawsko-Pomorskiego wg klasyfikacji budżetowej. Plan na 2019 rok"</t>
    </r>
    <r>
      <rPr>
        <sz val="10"/>
        <color indexed="8"/>
        <rFont val="Times New Roman"/>
        <family val="1"/>
      </rPr>
      <t xml:space="preserve"> do uchwały                         Nr II/48/18 Sejmiku Województwa Kujawsko-Pomorskiego z dnia 17 grudnia 2018 r. w sprawie budżetu województwa na rok 2019 (z późn. zm.), wprowadza się następujące zmiany:</t>
    </r>
  </si>
  <si>
    <t xml:space="preserve">Dział Rozdział </t>
  </si>
  <si>
    <t>Plan na 2019 r.</t>
  </si>
  <si>
    <t xml:space="preserve">Zwiększenie </t>
  </si>
  <si>
    <t>Plan po zmianach</t>
  </si>
  <si>
    <t>DOCHODY OGÓŁEM</t>
  </si>
  <si>
    <t>0970</t>
  </si>
  <si>
    <t>Wpływy z różnych dochodów</t>
  </si>
  <si>
    <t>TRANSPORT I ŁĄCZNOŚC</t>
  </si>
  <si>
    <t>Dotacja celowa otrzymana z tytułu pomocy finansowej udzielanej między jednostkami samorządu terytorialnego na dofinansowanie własnych zadań inwestycyjnych i zakupów inwestycyjnych</t>
  </si>
  <si>
    <t>DZIAŁALNOŚC USŁUGOWA</t>
  </si>
  <si>
    <t>Środki otrzymane od pozostałych jednostek zaliczanych do sektora finansów publicznych na realizacje zadań bieżących jednostek zaliczanych do sektora finansów publicznych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</si>
  <si>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</si>
  <si>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</si>
  <si>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</si>
  <si>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dofinansowanie własnych inwestycji gmin, powiatów (związków gmin, związków powiatowo-gminnych, związków powiatów), samorządów województw, pozyskane z innych źródeł</t>
  </si>
  <si>
    <t>Subwencje ogólne z budżetu państwa</t>
  </si>
  <si>
    <t>Część regionalna subwencji ogólnej dla województw</t>
  </si>
  <si>
    <t>Regionalne Programy Operacyjne 2014-2020 finansowane z udziałem środków Europejskiego Funduszu Rozwoju Regionalnego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</si>
  <si>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</si>
  <si>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</si>
  <si>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Regionalne Programy Operacyjne 2014-2020 finansowane z udziałem środków Europejskiego Funduszu Społecznego</t>
  </si>
  <si>
    <t>Pozostałe działania związane z gospodarką
odpadami</t>
  </si>
  <si>
    <t>0240</t>
  </si>
  <si>
    <t>Wpływy z opłaty recyklingowej</t>
  </si>
  <si>
    <t>Dotacja celowa otrzymana z tytułu pomocy finansowej udzielanej między jednostkami samorządu terytorialnego na dofinansowanie własnych zadań bieżących</t>
  </si>
  <si>
    <t>Załącznik nr 2 do uchwały</t>
  </si>
  <si>
    <t>Załącznik nr 3 do uchwały</t>
  </si>
  <si>
    <t>Nr  /     /19 Sejmiku Województwa</t>
  </si>
  <si>
    <t>Załącznik nr 4 do uchwały</t>
  </si>
  <si>
    <t>Nr   /     /19  Sejmiku Województwa</t>
  </si>
  <si>
    <t xml:space="preserve">Załącznik nr 5 do uchwały </t>
  </si>
  <si>
    <t xml:space="preserve">Nr     /        /19 Sejmiku Województwa </t>
  </si>
  <si>
    <t>z dnia        .04.2019 r.</t>
  </si>
  <si>
    <r>
      <t xml:space="preserve">W załączniku nr 5 </t>
    </r>
    <r>
      <rPr>
        <b/>
        <sz val="10"/>
        <rFont val="Times New Roman CE"/>
        <family val="0"/>
      </rPr>
      <t xml:space="preserve">"Wynik budżetowy i finansowy. Plan na 2019 rok" </t>
    </r>
    <r>
      <rPr>
        <sz val="10"/>
        <rFont val="Times New Roman CE"/>
        <family val="0"/>
      </rPr>
      <t>do uchwały Nr II/48/18 Sejmiku Województwa Kujawsko-Pomorskiego z dnia 17 grudnia 2018 r. w sprawie budżetu województwa na rok 2019 (z późn.zm.), wprowadza się następujące zmiany:</t>
    </r>
  </si>
  <si>
    <t>Lp.</t>
  </si>
  <si>
    <t>Wyszczególnienie</t>
  </si>
  <si>
    <t xml:space="preserve">Zmiana </t>
  </si>
  <si>
    <t>Dochody</t>
  </si>
  <si>
    <t>1.1</t>
  </si>
  <si>
    <t>dochody bieżące</t>
  </si>
  <si>
    <t>1.2</t>
  </si>
  <si>
    <t>dochody majątkowe</t>
  </si>
  <si>
    <t>Przychody</t>
  </si>
  <si>
    <t>2.1</t>
  </si>
  <si>
    <t>Kredyt komercyjny</t>
  </si>
  <si>
    <t>2.1.1</t>
  </si>
  <si>
    <t>Kredyt na spłatę zaciągniętych kredytów</t>
  </si>
  <si>
    <t>2.1.2</t>
  </si>
  <si>
    <t>Kredyt na sfinansowanie planowanego deficytu budżetowego</t>
  </si>
  <si>
    <t>2.2</t>
  </si>
  <si>
    <t>Wolne środki z lat ubiegłych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</si>
  <si>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</si>
  <si>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</si>
  <si>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</si>
  <si>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</si>
  <si>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</si>
  <si>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</si>
  <si>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</si>
  <si>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</si>
  <si>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</si>
  <si>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</si>
  <si>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</si>
  <si>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</si>
  <si>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</si>
  <si>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</si>
  <si>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</si>
  <si>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</si>
  <si>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</si>
  <si>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</si>
  <si>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Kredyty bankowe</t>
  </si>
  <si>
    <t>9.2</t>
  </si>
  <si>
    <t>Przeznaczenie nadwyżki budżetowej</t>
  </si>
  <si>
    <t>Spłata rat kapitałowych zaciągniętych kredytów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</si>
  <si>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</si>
  <si>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</si>
  <si>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</si>
  <si>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</si>
  <si>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</si>
  <si>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</si>
  <si>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</si>
  <si>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</si>
  <si>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</si>
  <si>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</si>
  <si>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</si>
  <si>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</si>
  <si>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</si>
  <si>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>Wynik finansowy budżetu</t>
  </si>
  <si>
    <r>
      <t xml:space="preserve">W załączniku nr 7 pn. </t>
    </r>
    <r>
      <rPr>
        <b/>
        <sz val="16"/>
        <rFont val="Times New Roman CE"/>
        <family val="0"/>
      </rPr>
      <t xml:space="preserve">"Pozostałe projekty i działania realizowane ze środków zagranicznych. Plan na 2019 rok" </t>
    </r>
    <r>
      <rPr>
        <sz val="16"/>
        <rFont val="Times New Roman CE"/>
        <family val="0"/>
      </rPr>
      <t xml:space="preserve">do uchwały II/48/18 Sejmiku Województwa Kujawsko-Pomorskiego z dnia 17 grudnia 2018 r. w sprawie budżetu województwa na rok 2019  wprowadza się następujące zmiany: </t>
    </r>
  </si>
  <si>
    <t>L.p.</t>
  </si>
  <si>
    <t xml:space="preserve">Program/ Działanie </t>
  </si>
  <si>
    <t>Nazwa Projektu</t>
  </si>
  <si>
    <t>Realizator/
instytucja wdrażająca</t>
  </si>
  <si>
    <t>Klasyfikacja budżetowa
Dział
Rozdział</t>
  </si>
  <si>
    <t>Wydatki całkowite
 w tym:</t>
  </si>
  <si>
    <t>Przewidywane wykonanie do końca 2018 r. w tym:</t>
  </si>
  <si>
    <t>Wydatki 2019</t>
  </si>
  <si>
    <t>UE</t>
  </si>
  <si>
    <t>Wydatki
ogółem</t>
  </si>
  <si>
    <t>Unia Europejska</t>
  </si>
  <si>
    <t xml:space="preserve">Ogółem </t>
  </si>
  <si>
    <t>Krajowy wkład publiczny</t>
  </si>
  <si>
    <t>BP</t>
  </si>
  <si>
    <t>Budżet państwa</t>
  </si>
  <si>
    <t>Budżet Województwa</t>
  </si>
  <si>
    <t>Inne publiczne</t>
  </si>
  <si>
    <t>Środki własne</t>
  </si>
  <si>
    <t xml:space="preserve">Bieżące </t>
  </si>
  <si>
    <t>Inwestycyjne</t>
  </si>
  <si>
    <t>Bieżące</t>
  </si>
  <si>
    <t>Ogólem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</si>
  <si>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</si>
  <si>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</si>
  <si>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</si>
  <si>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</si>
  <si>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</si>
  <si>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</si>
  <si>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przez wojewódzkie jednostki organizacyjne </t>
  </si>
  <si>
    <t>PO PT</t>
  </si>
  <si>
    <t>Punkty Informacyjne Funduszy Europejskich WK-P</t>
  </si>
  <si>
    <t>UM</t>
  </si>
  <si>
    <t>750
75095</t>
  </si>
  <si>
    <t>2014 - 2020</t>
  </si>
  <si>
    <t>PO PC
Działanie 3.2</t>
  </si>
  <si>
    <t>Buduję, koduję, programuję</t>
  </si>
  <si>
    <t>KPCENT</t>
  </si>
  <si>
    <t>801
80195</t>
  </si>
  <si>
    <t>2018 - 2020</t>
  </si>
  <si>
    <t>PO WER
Poddziałanie 1.2.2</t>
  </si>
  <si>
    <t>Wsparcie udzielane z Inicjatywy na rzecz zatrudnienia ludzi młodych (wspólfinansowanie krajowe)</t>
  </si>
  <si>
    <t>WUP
w Toruniu</t>
  </si>
  <si>
    <t>853
85332</t>
  </si>
  <si>
    <t>2016 - 2022</t>
  </si>
  <si>
    <t>PO WER
Działanie 2.5</t>
  </si>
  <si>
    <t>Kooperacja - efektywna i skuteczna</t>
  </si>
  <si>
    <t>ROPS
w Toruniu</t>
  </si>
  <si>
    <t>852
85295</t>
  </si>
  <si>
    <t>2018 - 2021</t>
  </si>
  <si>
    <t>PO WER
Działanie 2.10</t>
  </si>
  <si>
    <t>Toruńska szkoła ćwiczeń dla województwa kujawsko-pomorskiego</t>
  </si>
  <si>
    <t>BP 
w Toruniu</t>
  </si>
  <si>
    <t>2019 - 2020</t>
  </si>
  <si>
    <t>PO WER
Działanie 4.1</t>
  </si>
  <si>
    <t>Kujawsko-Pomorskie Środowiskowe Centrum Opieki Psychogeriatrycznej w Otępieniach (projekt partnerski - Partner wiodący Pallmed Sp. z o.o.)</t>
  </si>
  <si>
    <t>851
85195</t>
  </si>
  <si>
    <t>2017 - 2019</t>
  </si>
  <si>
    <t>PO WER 
Pomoc Techniczna</t>
  </si>
  <si>
    <t>Pomoc Techniczna Programu Operacyjnego Wiedza Edukacja Rozwój</t>
  </si>
  <si>
    <t>2015 - 2020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</si>
  <si>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</si>
  <si>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</si>
  <si>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</si>
  <si>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</si>
  <si>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</si>
  <si>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</si>
  <si>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</si>
  <si>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</si>
  <si>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</si>
  <si>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2016 - 2023</t>
  </si>
  <si>
    <t>PO IŚ
Działanie 2.4</t>
  </si>
  <si>
    <t>Edukacja społeczności zamieszkujących obszary chronione województwa kujawsko-pomorskiego: Lubię tu być na zielonym!</t>
  </si>
  <si>
    <t>900
90095</t>
  </si>
  <si>
    <t>2017 - 2020</t>
  </si>
  <si>
    <t>PO IŚ
Działanie 8.1</t>
  </si>
  <si>
    <t>Młyn Kultury - Przebudowa, rozbudowa i zmiana sposobu użytkowania budynku magazynowego przy ul. Kościuszki 77 w Toruniu - na budynek o funkcji użyteczności publicznej</t>
  </si>
  <si>
    <t>921
92195</t>
  </si>
  <si>
    <t>2016 - 2020</t>
  </si>
  <si>
    <t>INTERREG (Region Morza Bałtyckiego)</t>
  </si>
  <si>
    <t>EmpInno</t>
  </si>
  <si>
    <t>150
15095</t>
  </si>
  <si>
    <t>2016 - 2019</t>
  </si>
  <si>
    <t>EMMA</t>
  </si>
  <si>
    <t>600
60095</t>
  </si>
  <si>
    <t>Watertour</t>
  </si>
  <si>
    <t>630
63095</t>
  </si>
  <si>
    <t>INTERREG (Europa)</t>
  </si>
  <si>
    <t>Niche</t>
  </si>
  <si>
    <t>INTERREG (Europa Środkowa)</t>
  </si>
  <si>
    <t>SURFACE</t>
  </si>
  <si>
    <t>HICAPS</t>
  </si>
  <si>
    <t>Program 
COSME</t>
  </si>
  <si>
    <t>CREATIVE LOCI IACOBI</t>
  </si>
  <si>
    <t>630
63003</t>
  </si>
  <si>
    <t>2018 - 2019</t>
  </si>
  <si>
    <t>Digitourism</t>
  </si>
  <si>
    <t>2018 - 2023</t>
  </si>
  <si>
    <t>ECO-CICLE</t>
  </si>
  <si>
    <t>2018 - 2022</t>
  </si>
  <si>
    <t>Cult-CreaTE</t>
  </si>
  <si>
    <t>ThreeT</t>
  </si>
  <si>
    <t>Combine</t>
  </si>
  <si>
    <t>2019 - 2021</t>
  </si>
  <si>
    <t>Nr    /     /19 Sejmiku Województwa</t>
  </si>
  <si>
    <t>z dnia      .04.2019 r.</t>
  </si>
  <si>
    <t>Załącznik nr 7 do uchwały</t>
  </si>
  <si>
    <t>Załącznik nr 8 do uchwały</t>
  </si>
  <si>
    <t>Nr   /     /19 Sejmiku Województwa</t>
  </si>
  <si>
    <t xml:space="preserve">Nr       /        /19 Sejmiku Województwa </t>
  </si>
  <si>
    <t>z dnia   .04.2019 r.</t>
  </si>
  <si>
    <r>
      <t>W załączniku Nr 13</t>
    </r>
    <r>
      <rPr>
        <b/>
        <sz val="10"/>
        <rFont val="Times New Roman"/>
        <family val="1"/>
      </rPr>
      <t xml:space="preserve"> "Dochody gromadzone na wydzielonych rachunkach oraz wydatki nimi finansowane. Plan na 2019 rok"</t>
    </r>
    <r>
      <rPr>
        <sz val="10"/>
        <rFont val="Times New Roman"/>
        <family val="1"/>
      </rPr>
      <t xml:space="preserve"> do uchwały Nr  II/48/18 Sejmiku Województwa Kujawsko-Pomorskiego z dnia 17 grudnia 2018 r. w sprawie budżetu województwa na rok 2019, wprowadza się następujące zmiany:</t>
    </r>
  </si>
  <si>
    <t>Nazwa Jednostki</t>
  </si>
  <si>
    <t>Stan środków pieniężnych na początek okresu</t>
  </si>
  <si>
    <t>Stan środków pieniężnych na koniec 
okresu</t>
  </si>
  <si>
    <t>1.</t>
  </si>
  <si>
    <t>2.</t>
  </si>
  <si>
    <t>3.</t>
  </si>
  <si>
    <t>4.</t>
  </si>
  <si>
    <t>5.</t>
  </si>
  <si>
    <t>6.</t>
  </si>
  <si>
    <t>7.</t>
  </si>
  <si>
    <t xml:space="preserve">Biblioteka Pedagogiczna im. gen. bryg. prof. Elżbiety Zawackiej w Toruniu </t>
  </si>
  <si>
    <t>Kujawsko-Pomorskie Centrum Edukacji Nauczycieli w Toruniu</t>
  </si>
  <si>
    <t>Kujawsko-Pomorski Ośrodek Dokształcania i Doskonalenia Zawodowego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</si>
  <si>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</si>
  <si>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</si>
  <si>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</si>
  <si>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</si>
  <si>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</si>
  <si>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</si>
  <si>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</si>
  <si>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</si>
  <si>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</si>
  <si>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</si>
  <si>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</si>
  <si>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</si>
  <si>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a - plan na 2019 r.</t>
  </si>
  <si>
    <t>b - zmiany</t>
  </si>
  <si>
    <t>Załącznik nr 11 do uchwały</t>
  </si>
  <si>
    <t xml:space="preserve">                                                                                                                             </t>
  </si>
  <si>
    <t xml:space="preserve">Sejmiku Województwa z dnia   .   .2019 r.     </t>
  </si>
  <si>
    <r>
      <t>W załączniku nr 9</t>
    </r>
    <r>
      <rPr>
        <b/>
        <sz val="12"/>
        <rFont val="Times New Roman CE"/>
        <family val="0"/>
      </rPr>
      <t xml:space="preserve"> "Dotacje udzielane z budżetu Województwa Kujawsko - Pomorskiego. Plan na 2019 rok"</t>
    </r>
    <r>
      <rPr>
        <sz val="12"/>
        <rFont val="Times New Roman CE"/>
        <family val="0"/>
      </rPr>
      <t xml:space="preserve"> do uchwały II/48/18 Sejmiku Województwa Kujawsko-Pomorskiego z dnia 17 grudnia 2018 r. w sprawie budżetu województwa na rok 2019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</si>
  <si>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</si>
  <si>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</si>
  <si>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</si>
  <si>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</si>
  <si>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</si>
  <si>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Działanie</t>
  </si>
  <si>
    <t>inwestycje</t>
  </si>
  <si>
    <t>bieżące</t>
  </si>
  <si>
    <t xml:space="preserve"> I DOTACJE PRZEDMIOTOWE</t>
  </si>
  <si>
    <t>Dla przewoźników komunikacji kolejowej z tytułu świadczonych usług w zakresie publicznego transportu zbiorowego</t>
  </si>
  <si>
    <t xml:space="preserve"> II DOTACJE PODMIOTOWE</t>
  </si>
  <si>
    <t>Dotacje dla instytucji kultury</t>
  </si>
  <si>
    <t xml:space="preserve">Działalność statutowa  </t>
  </si>
  <si>
    <t xml:space="preserve">Zadanie remontowe - Remont budynku </t>
  </si>
  <si>
    <t>Zadanie remontowe - Teatr im. W. Horzycy w Toruniu - remonty</t>
  </si>
  <si>
    <t>Zadanie remontowe - Remont budynku</t>
  </si>
  <si>
    <t>Kujawsko-Pomorski Impresyjny Teatr Muzyczny w Toruniu</t>
  </si>
  <si>
    <t>Kujawsko-Pomorskie Centrum Kultury w Bydgoszczy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</si>
  <si>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</si>
  <si>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</si>
  <si>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</si>
  <si>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</si>
  <si>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Remont dachu</t>
  </si>
  <si>
    <t>Galeria Sztuki "Wozownia" w Toruniu</t>
  </si>
  <si>
    <t>92110</t>
  </si>
  <si>
    <t>Galeria i Ośrodek Plastycznej Twórczości Dziecka w Torunia</t>
  </si>
  <si>
    <t>Zadanie remontowe - Remont pomieszczeń piwnicznych przy Rynku Nowomiejskim 17 w Toruniu</t>
  </si>
  <si>
    <t>Centrum Sztuki Współczesnej "Znaki Czasu"</t>
  </si>
  <si>
    <t>92113</t>
  </si>
  <si>
    <t>Wojewódzka i Miejska Biblioteka Publiczna w Bydgoszczy</t>
  </si>
  <si>
    <t>92116</t>
  </si>
  <si>
    <t xml:space="preserve"> - ze środków Miasta Bydgoszczy</t>
  </si>
  <si>
    <t>Zadanie remontowe - Remont pomieszczeń magazynowych</t>
  </si>
  <si>
    <t>Zadanie remontowe - Droga do nowoczesności - remont dachu i adaptacja pomieszczeń magazynowych w zabytkowym budynku przy ul. Rynek 22 w Bydgoszczy</t>
  </si>
  <si>
    <t>Zadanie remontowe - Droga do nowoczesności - prace remontowo-konserwatorskie zabytkowej klatki schodowej budynku przy ul. Długiej 39 w Bydgoszczy</t>
  </si>
  <si>
    <t>Wojewódzka Biblioteka Publiczna - Książnica Kopernikańska w Toruniu</t>
  </si>
  <si>
    <t xml:space="preserve"> - ze środków Miasta Torunia</t>
  </si>
  <si>
    <t>Zadanie remontowe - Remont budynku Ośrodka Czytelnictwa Chorych i Niepełnosprawnych przy ul. Szczytnej 13 w Toruniu</t>
  </si>
  <si>
    <t>Zadanie remontowe - Remont amfiteatru</t>
  </si>
  <si>
    <t>Zadanie remontowe - Wymiana pokrycia dachowego na budynku "Zbiory Sztuki" oddziału Muzeum Ziemi Kujawskiej i Dobrzyńskiej we Włocławku</t>
  </si>
  <si>
    <t>Muzeum Archeologiczne w Biskupinie</t>
  </si>
  <si>
    <t xml:space="preserve"> III DOTACJE CELOWE</t>
  </si>
  <si>
    <t xml:space="preserve"> Na zadania realizowane w ramach Regionalnego Programu Operacyjnego WK-P 2007-2013</t>
  </si>
  <si>
    <t>5.2.2</t>
  </si>
  <si>
    <t>Wsparcie inwestycji przedsiębiorstw</t>
  </si>
  <si>
    <t xml:space="preserve"> Na zadania realizowane w ramach Regionalnego Programu Operacyjnego WK-P 2014-2020</t>
  </si>
  <si>
    <t>8.3</t>
  </si>
  <si>
    <t>Wsparcie przedsiębiorczości i samozatrudnienia w regionie</t>
  </si>
  <si>
    <t>10.4.1</t>
  </si>
  <si>
    <t>Edukacja dorosłych w zakresie kompetencji cyfrowych i języków obcych</t>
  </si>
  <si>
    <t>W Kujawsko-Pomorskiem Mówisz-masz - certyfikowane szkolenia językowe</t>
  </si>
  <si>
    <t>10.4.2</t>
  </si>
  <si>
    <t>Edukacja dorosłych na rzecz rynku pracy</t>
  </si>
  <si>
    <t>3.5.2</t>
  </si>
  <si>
    <t>Poprawa bezpieczeństwa i komfortu życia mieszkańców oraz wsparcie niskoemisyjnego transportu drogowego poprzez wybudowanie dróg dla rowerów (lider: powiat toruński)</t>
  </si>
  <si>
    <t>Poprawa bezpieczeństwa i komfortu życia mieszkańców oraz wsparcie niskoemisyjnego transportu drogowego poprzez wybudowanie dróg rowerowych na terenie powiatu bydgoskiego (lider gmina Koronowo, gmina Solec Kujawski, powiat bydgoski)</t>
  </si>
  <si>
    <t>Poprawa bezpieczeństwa i komfortu życia mieszkańców oraz wsparcie niskoemisyjnego transportu drogowego poprzez wybudowanie dróg dla rowerów - przy drodze wojewódzkiej Nr 551 Wybcz-Nawra, Nawra-Bogusławki oraz Zelgno (lider: Gmina Chełmża)</t>
  </si>
  <si>
    <t>Infostrada Kujaw i Pomorza 2.0</t>
  </si>
  <si>
    <t>Budowa kujawsko-pomorskiego systemu udostępniania elektronicznej dokumentacji medycznej - I etap</t>
  </si>
  <si>
    <t>Budowa kujawsko-pomorskiego systemu udostępniania elektronicznej dokumentacji medycznej - II etap</t>
  </si>
  <si>
    <t>Kultura w zasięgu 2.0</t>
  </si>
  <si>
    <t>1.5.2</t>
  </si>
  <si>
    <t>Invest in BiT CITY 2. Promocja potencjału gospodarczego oraz promocja atrakcyjności inwestycyjnej miast prezydenckich województwa kujawsko-pomorskiego</t>
  </si>
  <si>
    <t>Expressway - promocja terenów inwestycyjnych</t>
  </si>
  <si>
    <t>Wsparcie umiędzynarodowienia kujawsko-pomorskich MŚP oraz promocja potencjału gospodarczego regionu</t>
  </si>
  <si>
    <t>10.1.2</t>
  </si>
  <si>
    <t>Kształcenie ogólne w ramach ZIT</t>
  </si>
  <si>
    <t>10.1.3</t>
  </si>
  <si>
    <t>Kształcenie zawodowe w ramach ZIT</t>
  </si>
  <si>
    <t>10.2.2</t>
  </si>
  <si>
    <t>Region Nauk Ścisłych II - edukacja przyszłości</t>
  </si>
  <si>
    <t>Kształcenie ogólne</t>
  </si>
  <si>
    <t>Niebo nad Astrobazami - rozwijamy kompetencje kluczowe uczniów</t>
  </si>
  <si>
    <t>10.2.3</t>
  </si>
  <si>
    <t>Kształcenie zawodowe</t>
  </si>
  <si>
    <t>Szkoła Zawodowców</t>
  </si>
  <si>
    <t>6.1.1</t>
  </si>
  <si>
    <t>Inwestycje w infrastrukturę zdrowotną</t>
  </si>
  <si>
    <t>85149</t>
  </si>
  <si>
    <t>8.6.2</t>
  </si>
  <si>
    <t>Regionalne programy polityki zdrowotnej i profilaktyczne</t>
  </si>
  <si>
    <t>85195</t>
  </si>
  <si>
    <t>8.6.1</t>
  </si>
  <si>
    <t>Wsparcie na rzecz wydłużenia aktywności zawodowej</t>
  </si>
  <si>
    <t>9.3.1</t>
  </si>
  <si>
    <t>Rozwój usług zdrowotnych</t>
  </si>
  <si>
    <t>85203</t>
  </si>
  <si>
    <t>9.4.1</t>
  </si>
  <si>
    <t>Rozwój podmiotów sektora ekonomii społecznej</t>
  </si>
  <si>
    <t>85228</t>
  </si>
  <si>
    <t>9.1.2</t>
  </si>
  <si>
    <t>Rozwój usług opiekuńczych w ramach ZIT</t>
  </si>
  <si>
    <t>85295</t>
  </si>
  <si>
    <t>8.4.1</t>
  </si>
  <si>
    <t>Wsparcie zatrudnienia osób pełniących funkcje opiekuńcze</t>
  </si>
  <si>
    <t>Aktywna Mama, aktywny Tata</t>
  </si>
  <si>
    <t>9.2.2</t>
  </si>
  <si>
    <t>Trampolina 2</t>
  </si>
  <si>
    <t>Wykluczenie - nie ma MOWy!</t>
  </si>
  <si>
    <t>9.3.2</t>
  </si>
  <si>
    <t>Rozwój usług społecznych</t>
  </si>
  <si>
    <t>Rodzina w Centrum 2</t>
  </si>
  <si>
    <t>8.2.1</t>
  </si>
  <si>
    <t>Wsparcie na rzecz podniesienia poziomu aktywności zawodowej osób pozostających bez zatrudnienia</t>
  </si>
  <si>
    <t>8.2.2</t>
  </si>
  <si>
    <r>
      <rPr>
        <b/>
        <sz val="10"/>
        <color indexed="8"/>
        <rFont val="Times New Roman CE"/>
        <family val="0"/>
      </rPr>
      <t>Zmiana nazwy z:</t>
    </r>
    <r>
      <rPr>
        <sz val="10"/>
        <color indexed="8"/>
        <rFont val="Times New Roman CE"/>
        <family val="1"/>
      </rPr>
      <t xml:space="preserve">
Wsparcie osób odchodzących z rolnictwa i rybactwa
</t>
    </r>
    <r>
      <rPr>
        <b/>
        <sz val="10"/>
        <color indexed="8"/>
        <rFont val="Times New Roman CE"/>
        <family val="0"/>
      </rPr>
      <t xml:space="preserve">na:
</t>
    </r>
    <r>
      <rPr>
        <sz val="10"/>
        <color indexed="8"/>
        <rFont val="Times New Roman CE"/>
        <family val="0"/>
      </rPr>
      <t>Wsparcie osób pracujących znajdujących się w niekorzystnej sytuacji na rynku pracy</t>
    </r>
  </si>
  <si>
    <t>8.5.2</t>
  </si>
  <si>
    <t>Wsparcie outplacementowe</t>
  </si>
  <si>
    <t>85595</t>
  </si>
  <si>
    <t>90026</t>
  </si>
  <si>
    <t>Punkty selektywnego zbierania odpadów komunalnych w województwie kujawsko-pomorskim</t>
  </si>
  <si>
    <t>90095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</si>
  <si>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</si>
  <si>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</si>
  <si>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</si>
  <si>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</si>
  <si>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92120</t>
  </si>
  <si>
    <t>4.4</t>
  </si>
  <si>
    <t>Wsparcie opieki nad zabytkami województwa kujawsko-pomorskiego w 2018 roku</t>
  </si>
  <si>
    <t>Kujawsko-Pomorskie - rozwój poprzez kulturę 2017</t>
  </si>
  <si>
    <t>Kujawsko-Pomorskie - rozwój poprzez kulturę 2018</t>
  </si>
  <si>
    <t xml:space="preserve"> Na zadania realizowane w ramach Programu Operacyjnego Wiedza Edukacja i Rozwój</t>
  </si>
  <si>
    <t>2.5</t>
  </si>
  <si>
    <t>1.2.2</t>
  </si>
  <si>
    <t>Wsparcie udzielone z inicjatywy na rzecz zatrudnienia ludzi młodych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</si>
  <si>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</si>
  <si>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</si>
  <si>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</si>
  <si>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Bieżące utrzymanie wód i urządzeń wodnych - konserwacja, naprawa urządzeń melioracji wodnych (spółki wodne)</t>
  </si>
  <si>
    <t>Przywrócenie równowagi ekologicznej na terenach gmin województwa kujawsko-pomorskiego w związku z budową autostrady A-1 w latach 2011-2015</t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</si>
  <si>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</si>
  <si>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</si>
  <si>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</si>
  <si>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</si>
  <si>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</si>
  <si>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Times New Roman CE"/>
        <family val="0"/>
      </rPr>
      <t>wsparcie finansowe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</si>
  <si>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</si>
  <si>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family val="0"/>
      </rPr>
      <t xml:space="preserve"> (GRANTY)</t>
    </r>
  </si>
  <si>
    <t>Watertour (Interreg Region Morza Bałtyckiego)</t>
  </si>
  <si>
    <t>Rozbudowa kampusu UTP w Bydgoszczy w Fordonie (partycypacja do 30% kosztów realizacji zadania)</t>
  </si>
  <si>
    <r>
      <t>Działalność na rzecz organizacji pozarządowych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</si>
  <si>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Zakup ambulansów dla zespołów ratownictwa medycznego wraz z wyposażeniem medycznym w formie leasingu dla potrzeb Wojewódzkiego Szpitala Zespolonego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Wojewódzki Szpital Zespolony  im. L. Rydygiera w Toruniu</t>
    </r>
  </si>
  <si>
    <r>
      <t xml:space="preserve">Zakup ambulansów dla zespołów ratownictwa medycznego wraz z wyposażeniem medycznym w formie leasingu przez Wojewódzki Szpital Specjalistyczny we Włocławku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Wojewódzki Szpital Specjalistyczny we Włocławku</t>
    </r>
  </si>
  <si>
    <r>
      <t xml:space="preserve">Zakup ambulansów w formie leasingu przez Wojewódzką Stację Pogotowia Ratunkowego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Wojewódzka Stacja Pogotowia Ratunkowego w Bydgoszczy</t>
    </r>
  </si>
  <si>
    <r>
      <t xml:space="preserve">Wykonanie przyłącza wodociągowego do budynku przy ul. M. Skłodowskiej-Curie 61/67
</t>
    </r>
    <r>
      <rPr>
        <i/>
        <sz val="10"/>
        <color indexed="8"/>
        <rFont val="Times New Roman CE"/>
        <family val="0"/>
      </rPr>
      <t>Wojewódzki Ośrodek Medycyny Pracy w Toruniu</t>
    </r>
  </si>
  <si>
    <r>
      <t>Ochrona i promocja zdrowia -</t>
    </r>
    <r>
      <rPr>
        <b/>
        <i/>
        <sz val="10"/>
        <color indexed="8"/>
        <rFont val="Times New Roman CE"/>
        <family val="0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</si>
  <si>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</si>
  <si>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</si>
  <si>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</si>
  <si>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</si>
  <si>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family val="0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</si>
  <si>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</si>
  <si>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Budowa Całodobowego Młodzieżowego Oddziału Leczenia Uzależnień przy ul. Włocławskiej 233-235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Wojewódzki Ośrodek Terapii Uzależnień i Współuzależnienia w Toruniu</t>
    </r>
  </si>
  <si>
    <t>85205</t>
  </si>
  <si>
    <r>
      <t xml:space="preserve">Przeciwdziałanie przemocy w rodzinie - </t>
    </r>
    <r>
      <rPr>
        <b/>
        <i/>
        <sz val="10"/>
        <color indexed="8"/>
        <rFont val="Times New Roman CE"/>
        <family val="0"/>
      </rPr>
      <t>(GRANTY)</t>
    </r>
  </si>
  <si>
    <t>Wojewódzki Program przeciwdziałania przemocy w rodzinie dla województwa kujawsko-pomorskiego do roku 2020 - Kujawsko-Pomorska Niebieska Linia</t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</si>
  <si>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</si>
  <si>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</si>
  <si>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</si>
  <si>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family val="0"/>
      </rPr>
      <t xml:space="preserve"> (GRANTY)</t>
    </r>
  </si>
  <si>
    <t>85311</t>
  </si>
  <si>
    <t xml:space="preserve">Dofinansowanie kosztów działalności Zakładów Aktywności Zawodowej </t>
  </si>
  <si>
    <r>
      <t>Wsparcie działań z zakresu opieki nad osobami przewlekle chorymi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</si>
  <si>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family val="0"/>
      </rPr>
      <t xml:space="preserve"> (GRANTY)</t>
    </r>
  </si>
  <si>
    <t>85415</t>
  </si>
  <si>
    <t xml:space="preserve">Stypendia dla uczniów </t>
  </si>
  <si>
    <t>85495</t>
  </si>
  <si>
    <t>Remont nowej siedziby ZHR w Toruniu</t>
  </si>
  <si>
    <t>85509</t>
  </si>
  <si>
    <r>
      <t>Wspieranie działań z zakresu opieki adopcyjno-wychowawczej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</si>
  <si>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Edukacja społeczności zamieszkujących obszary chronione województwa kujawsko-pomorskiego: Lubię tu być na zielonym! </t>
    </r>
    <r>
      <rPr>
        <b/>
        <i/>
        <sz val="10"/>
        <color indexed="8"/>
        <rFont val="Times New Roman CE"/>
        <family val="0"/>
      </rPr>
      <t>(POIŚ)</t>
    </r>
  </si>
  <si>
    <t>92105</t>
  </si>
  <si>
    <r>
      <t xml:space="preserve">Rozbudowa Opery Nova w Bydgoszczy o IV krąg wraz z infrastrukturą parkingową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</si>
  <si>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Operowy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</si>
  <si>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</si>
  <si>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</si>
  <si>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</si>
  <si>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Zakup i montaż agregatu wody lodowej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</si>
  <si>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Modernizacja I i II balkonu w budynku głównym Teatru im. Wilama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</si>
  <si>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Kultura dostępna - "Oczy otwarte-spektakle z audiodeskrypcją i warsztatami"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</si>
  <si>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Edukacja kulturalna - "Mazagan-inspiracje"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</si>
  <si>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Teatr i taniec - "Jezus przyszedł - prapremiera na zamówienie Teatru Horzycy"
</t>
    </r>
    <r>
      <rPr>
        <i/>
        <sz val="10"/>
        <color indexed="8"/>
        <rFont val="Times New Roman CE"/>
        <family val="0"/>
      </rPr>
      <t>Teatr im. W. Horzycy w Toruniu</t>
    </r>
  </si>
  <si>
    <r>
      <rPr>
        <sz val="10"/>
        <color indexed="8"/>
        <rFont val="Times New Roman CE"/>
        <family val="0"/>
      </rPr>
      <t>Przebudowa i remont konserwatorski budynku Pałacu Dąmbskich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</si>
  <si>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</si>
  <si>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Zakup sprzętu i wyposażenia dla Filharmonii Pomorskiej im. Ignacego Jana Paderewskiego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</si>
  <si>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</si>
  <si>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Zakup wyposażenia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</si>
  <si>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Ochrona zabytków - "Lubostroń, pałac XVIII w. prace konserwatorsko-restauratorskie stolarki okiennej i drzwiowej"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</si>
  <si>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Muzyka - "Wakacje z Chopinem"
</t>
    </r>
    <r>
      <rPr>
        <i/>
        <sz val="10"/>
        <color indexed="8"/>
        <rFont val="Times New Roman CE"/>
        <family val="0"/>
      </rPr>
      <t>Ośrodek Chopinowski w Szafarni</t>
    </r>
  </si>
  <si>
    <r>
      <t xml:space="preserve">Ogólnopolski Konkurs Malarski im. Teofila Ociepki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</si>
  <si>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Infrastruktura domów kultury - "Zakup środka transportu służącego działalności edukacyjnej"
</t>
    </r>
    <r>
      <rPr>
        <i/>
        <sz val="10"/>
        <color indexed="8"/>
        <rFont val="Times New Roman CE"/>
        <family val="0"/>
      </rPr>
      <t>Wojewódzki Ośrodek Animacji Kultury w Toruniu</t>
    </r>
  </si>
  <si>
    <r>
      <t xml:space="preserve">Międzynarodowy Konkurs Twórczości Plastycznej Dzieci i Młodzieży - "Zawsze zielono, zawsze niebiesko"
</t>
    </r>
    <r>
      <rPr>
        <i/>
        <sz val="10"/>
        <color indexed="8"/>
        <rFont val="Times New Roman CE"/>
        <family val="0"/>
      </rPr>
      <t>Galeria i Ośrodek Plastycznej Twórczości Dziecka w Toruniu</t>
    </r>
  </si>
  <si>
    <r>
      <t xml:space="preserve">Kultura cyfrowa - Od skarbów renesansu do dwudziestowiecznej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</si>
  <si>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Dyskusyjne Kluby Książki podregionu bydgoskiego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</si>
  <si>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Partnerstwo dla książki - "Biblioteka na wynos"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</si>
  <si>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Partnerstwo dla książki - "Biblioteka-Twórczo i aktywnie"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</si>
  <si>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Partnerstwo dla książki - "Kompanijka"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</si>
  <si>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Dyskusyjne Kluby Książki w województwie kujawsko-pomorskim, w podregionie toruńsko-włocławskim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</si>
  <si>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Partnerstwo dla książki - "BIBLIOTEKA-PRZESTRZEŃ DODANA" - warsztaty dla ambitnych bibliotekarzy podregionu toruńsko-włocławskiego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</si>
  <si>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Edukacja kulturalna - RUCH-WYOBRAŹNIA-INTEGRACJA "Teatr bez barier"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</si>
  <si>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Promocja czytelnictwa - "Zabawa literaturą"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</si>
  <si>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Wydanie czasopisma naukowego "Folia Toruniensia"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</si>
  <si>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t>Dofinansowanie Muzeum Ziemi Pałuckiej w Żninie - wsparcie finansowe</t>
  </si>
  <si>
    <r>
      <t>Przygotowanie koncepcji upamiętnienia miejsca narodzin matki Fryderyka Chopina w Długiem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</si>
  <si>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Modernizacja amfiteatru Muzeum Etnograficznego w Toruniu
</t>
    </r>
    <r>
      <rPr>
        <i/>
        <sz val="10"/>
        <color indexed="8"/>
        <rFont val="Times New Roman CE"/>
        <family val="0"/>
      </rPr>
      <t>Muzeum Etnograficzne w Toruniu</t>
    </r>
  </si>
  <si>
    <r>
      <rPr>
        <sz val="10"/>
        <color indexed="8"/>
        <rFont val="Times New Roman CE"/>
        <family val="1"/>
      </rPr>
      <t xml:space="preserve">Kolekcje muzealne - "Zakup kolekcji rzeźb Józefa Soboty (1894-1979) artysty ludowego ze wsi Regut, w woj. mazowieckim"
</t>
    </r>
    <r>
      <rPr>
        <i/>
        <sz val="10"/>
        <color indexed="8"/>
        <rFont val="Times New Roman CE"/>
        <family val="0"/>
      </rPr>
      <t>Muzeum Etnograficzne w Toruniu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</si>
  <si>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</si>
  <si>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family val="0"/>
      </rPr>
      <t xml:space="preserve"> (GRANTY)</t>
    </r>
  </si>
  <si>
    <t>Upowszechnianie Kultury</t>
  </si>
  <si>
    <r>
      <t xml:space="preserve">Krzewienie pamięci historycznej poprzez renowację miejsc pamięci narodowej - </t>
    </r>
    <r>
      <rPr>
        <b/>
        <i/>
        <sz val="10"/>
        <color indexed="8"/>
        <rFont val="Times New Roman CE"/>
        <family val="0"/>
      </rPr>
      <t>pomoc finansowa</t>
    </r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</si>
  <si>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</si>
  <si>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Utworzenie Ośrodka Pamięci gen. Wł. Sikorskiego w Parchaniu - </t>
    </r>
    <r>
      <rPr>
        <b/>
        <i/>
        <sz val="10"/>
        <color indexed="8"/>
        <rFont val="Times New Roman CE"/>
        <family val="0"/>
      </rPr>
      <t>pomoc finansowa</t>
    </r>
  </si>
  <si>
    <r>
      <t xml:space="preserve">Festiwale organizowane przez Teatr im. W.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</si>
  <si>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</si>
  <si>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</si>
  <si>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</si>
  <si>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family val="0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</si>
  <si>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</si>
  <si>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</si>
  <si>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</si>
  <si>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</si>
  <si>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</si>
  <si>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</si>
  <si>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</si>
  <si>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>Załącznik nr 9 do uchwały Nr    /     /19</t>
  </si>
  <si>
    <t xml:space="preserve">                                                                                     Sejmiku Województwa z dnia   .04.2019 r.          </t>
  </si>
  <si>
    <t xml:space="preserve">                                                                                                </t>
  </si>
  <si>
    <r>
      <t xml:space="preserve">W załączniku nr 12 </t>
    </r>
    <r>
      <rPr>
        <b/>
        <sz val="10"/>
        <rFont val="Times New Roman CE"/>
        <family val="0"/>
      </rPr>
      <t>"Dochody i wydatki na zadania realizowane w drodze umów i porozumień między jednostkami samorządu terytorialnego. Plan na 2019 rok"</t>
    </r>
    <r>
      <rPr>
        <sz val="10"/>
        <rFont val="Times New Roman CE"/>
        <family val="1"/>
      </rPr>
      <t xml:space="preserve"> do uchwały II/48/18 Sejmiku Województwa Kujawsko-Pomorskiego z dnia 17 grudnia 2018 r.  w sprawie budżetu województwa na rok 2019 (z późn. zm.), wprowadza się następujące zmiany:</t>
    </r>
  </si>
  <si>
    <t>Dochody od JST</t>
  </si>
  <si>
    <t>Wydatki ogółem</t>
  </si>
  <si>
    <t>Jednostka Samorządu Terytorialnego</t>
  </si>
  <si>
    <t xml:space="preserve"> Rodzaj zadania</t>
  </si>
  <si>
    <t>Województwo Mazowieckie</t>
  </si>
  <si>
    <t>Województwo Pomorskie</t>
  </si>
  <si>
    <t>Gmina Dobrzyń nad Wisłą</t>
  </si>
  <si>
    <t>Opracowanie dokumentacji projektowej na przebudowę drogi wojewódzkiej Nr 562 Szpetal Górny - Dobrzyń nad Wisłą - Płock odc. Krojczyn - Szpiegowo od km 6+400 do km 9+400 dł. 3,000 km</t>
  </si>
  <si>
    <t>Gmina Osielsko</t>
  </si>
  <si>
    <t>Opracowanie dokumentacji projektowej dla rozbudowy drogi wojewódzkiej nr 244 Kamieniec-Strzelce Dolne m. Żołędowo ul. Jastrzębia od km 30+068 do km 33+342, dł. 3,274 km</t>
  </si>
  <si>
    <t>Gmina Bądkowo</t>
  </si>
  <si>
    <t>Opracowanie dokumentacji projektowej dla przebudowy drogi wojewódzkiej Nr 301 Janowice-Tadzin-Bądkowo-Krotoszyn-Osięciny na odc. od km 2+290 do km 18+295,5 oraz od km 18+892,5 do km 19+226 dł. 16,339 km</t>
  </si>
  <si>
    <t>Gminy
Powiaty</t>
  </si>
  <si>
    <r>
      <t xml:space="preserve">Ograniczenie emisji spalin poprzez rozbudowę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</si>
  <si>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</si>
  <si>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family val="0"/>
      </rPr>
      <t>RPO, Dz.3.5.2</t>
    </r>
  </si>
  <si>
    <t>Gminy</t>
  </si>
  <si>
    <r>
      <t>Przebudowa wraz z rozbudową drogi wojewódzkiej nr 265 Brześć Kujawski-Gostynin od km 0+003 do km 19+117 w zakresie budowy ciągów pieszo-rowerowych -</t>
    </r>
    <r>
      <rPr>
        <b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>RPO, Dz.3.4</t>
    </r>
  </si>
  <si>
    <r>
      <t>Rozbudowa drogi wojewódzkiej Nr 251 Kaliska-Inowrocław na odcinku od km 19+649 (od granicy województwa kujawsko-pomorskiego) do km 34+200 oraz od km 34+590,30 do km 35+290 wraz z przebudową mostu na rzece Gąsawka w miejscowości Żnin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</si>
  <si>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family val="0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</si>
  <si>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</si>
  <si>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family val="0"/>
      </rPr>
      <t>RPO, Dz.5.1</t>
    </r>
  </si>
  <si>
    <r>
      <t xml:space="preserve">Rozbudowa drogi wojewódzkiej Nr 240 Chojnice-Świecie od km 23+190 do km 36+817 i od km 62+877 do km 65+718 - </t>
    </r>
    <r>
      <rPr>
        <b/>
        <i/>
        <sz val="10"/>
        <rFont val="Times New Roman CE"/>
        <family val="0"/>
      </rPr>
      <t>RPO, Dz.5.1</t>
    </r>
  </si>
  <si>
    <t>Program "Przeciwdziałanie wykluczeniu cyfrowemu osób najuboższych oraz niepełnosprawnych"</t>
  </si>
  <si>
    <r>
      <t xml:space="preserve">Infostrada Kujaw i Pomorza 2.0 - </t>
    </r>
    <r>
      <rPr>
        <b/>
        <i/>
        <sz val="10"/>
        <rFont val="Times New Roman CE"/>
        <family val="0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</si>
  <si>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Times New Roman CE"/>
        <family val="0"/>
      </rPr>
      <t>RPO, Dz.1.5.2</t>
    </r>
  </si>
  <si>
    <r>
      <t xml:space="preserve">Expressway - promocja terenów inwestycyjnych - </t>
    </r>
    <r>
      <rPr>
        <b/>
        <i/>
        <sz val="10"/>
        <rFont val="Times New Roman CE"/>
        <family val="0"/>
      </rPr>
      <t>RPO, Dz.1.5.2</t>
    </r>
  </si>
  <si>
    <r>
      <t xml:space="preserve">Dokształcanie uczniów
</t>
    </r>
    <r>
      <rPr>
        <i/>
        <sz val="10"/>
        <rFont val="Times New Roman CE"/>
        <family val="0"/>
      </rPr>
      <t>Kujawsko-Pomorski Okręgowy Ośrodek Dokształcania i Doskonalenia Zawodowego w Bydgoszczy</t>
    </r>
  </si>
  <si>
    <t>Kujawsko-Pomorska Niebieska Linia - przeciwdziałanie przemocy w rodzinie</t>
  </si>
  <si>
    <t>92105
92106</t>
  </si>
  <si>
    <t>Miasto Bydgoszcz</t>
  </si>
  <si>
    <t>Rozbudowa Opery Nova w Bydgoszczy o IV krąg wraz z infrastrukturą parkingową</t>
  </si>
  <si>
    <t>92105
92195</t>
  </si>
  <si>
    <t>Bydgoski Festiwal Operowy
Opera NOVA w Bydgoszczy</t>
  </si>
  <si>
    <t>Bydgoski Festiwal Muzyczny
Filharmonia Pomorska w Bydgoszczy</t>
  </si>
  <si>
    <t>92105
92116</t>
  </si>
  <si>
    <t>Festiwal Książki Obrazkowej dla Dzieci "LiterObrazki"
Wojewódzka i Miejska Biblioteka Publiczna w Bydgoszczy</t>
  </si>
  <si>
    <t>92105
92109</t>
  </si>
  <si>
    <t>Kwartalnik Artystyczny, Kujawy i Pomorze
Kujawsko-Pomorskie Centrum Kultury w Bydgoszczy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</si>
  <si>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</si>
  <si>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</si>
  <si>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</si>
  <si>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</si>
  <si>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</si>
  <si>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92502</t>
  </si>
  <si>
    <t>Miasto Grudziądz</t>
  </si>
  <si>
    <r>
      <t xml:space="preserve">Modernizacja zagrody wiejskiej w Dusocinie na potrzeby ośrodka edukacji ekologicznej na terenie Parku Krajobrazowego "Góry Łosiowe" wraz z czynną ochroną przyrody na obszarze Natura 2000 - </t>
    </r>
    <r>
      <rPr>
        <b/>
        <i/>
        <sz val="10"/>
        <rFont val="Times New Roman CE"/>
        <family val="0"/>
      </rPr>
      <t>RPO, Dz.4.5</t>
    </r>
  </si>
  <si>
    <t>RPO - Regionalny Program Operacyjny Województwa Kujawsko-Pomorskiego</t>
  </si>
  <si>
    <t>a - plan przed zmianą</t>
  </si>
  <si>
    <t>b - zmiana</t>
  </si>
  <si>
    <t>c - plan po zmianie</t>
  </si>
  <si>
    <t xml:space="preserve">                                                                                     Załącznik nr 10 do uchwały Nr  /    /19</t>
  </si>
  <si>
    <t xml:space="preserve">Załącznik nr 6 do uchwały </t>
  </si>
  <si>
    <r>
      <rPr>
        <sz val="16"/>
        <rFont val="Times New Roman CE"/>
        <family val="0"/>
      </rPr>
      <t>W załączniku nr 6 pn</t>
    </r>
    <r>
      <rPr>
        <b/>
        <sz val="16"/>
        <rFont val="Times New Roman CE"/>
        <family val="0"/>
      </rPr>
      <t xml:space="preserve">. "Projekty i działania realizowane w ramach Regionalnego Programu Operacyjnego Województwa Kujawsko-Pomorskiego 2014-2020.  Plan na 2019 rok" </t>
    </r>
    <r>
      <rPr>
        <sz val="16"/>
        <rFont val="Times New Roman CE"/>
        <family val="0"/>
      </rPr>
      <t xml:space="preserve">do uchwały Nr II/48/18 Sejmiku Województwa Kujawsko-Pomorskiego 
z dnia 17 grudnia 2018 r. (z późn. zm.) w sprawie budżetu województwa na rok 2019 wprowadza się następujące zmiany: </t>
    </r>
  </si>
  <si>
    <t>Kategoria interwencji</t>
  </si>
  <si>
    <t>Nazwa Projektu/Działania</t>
  </si>
  <si>
    <t>Wydatki całkowite
na lata 2014-2023 w tym:</t>
  </si>
  <si>
    <t>Przewidywane wykonanie do końca 2018 r.</t>
  </si>
  <si>
    <t>Wkład krajowy</t>
  </si>
  <si>
    <t xml:space="preserve">Inne </t>
  </si>
  <si>
    <t>8a</t>
  </si>
  <si>
    <t xml:space="preserve">Wydatki realizowane i nadzorowane przez wojewódzkie jednostki organizacyjne </t>
  </si>
  <si>
    <t>066</t>
  </si>
  <si>
    <t>750
75075</t>
  </si>
  <si>
    <t>Kujawy + Pomorze - promocja potencjału gospodarczego regionu</t>
  </si>
  <si>
    <t>078, 081, 101</t>
  </si>
  <si>
    <t>720
72095</t>
  </si>
  <si>
    <t>079, 101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</si>
  <si>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</si>
  <si>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</si>
  <si>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</si>
  <si>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</t>
  </si>
  <si>
    <t>600                 60013</t>
  </si>
  <si>
    <t>600
60013</t>
  </si>
  <si>
    <t>Poprawa bezpieczeństwa i komfortu życia mieszkańców oraz wsparcie niskoemisyjnego transportu drogowego poprzez wybudowanie dróg rowerowych na terenie powiatu bydgoskiego (lider: gmina Koronowo, gmina Solec Kujawski, powiat bydgoski)</t>
  </si>
  <si>
    <t>2017 - 2022</t>
  </si>
  <si>
    <t>Poprawa bezpieczeństwa i komfortu życia mieszkańców oraz wsparcie niskoemisyjnego transportu drogowego poprzez wybudowanie dróg dla rowerów - przy drodze wojewódzkiej Nr 551 Wybcz - Nawra, Nawra - Bogusławki oraz Zelgno (lider: Gmina Chełmża)</t>
  </si>
  <si>
    <t>Ograniczenie emisji spalin poprzez rozbudowę sieci dróg rowerowych, znajdujących się w koncepcji rozwoju systemu transportu Bydgosko-Toruńskiego Obszaru Funkcjonalnego dla: Częsci nr 1 - Nawra - Kończewice - Chełmża - Zalesie - Kiełbasin - Mlewo - Mlewiec - Srebrniki - Sierakowo w ciągu dróg wojewódzkich nr: 551, 649, 554</t>
  </si>
  <si>
    <t>Ograniczenie emisji spalin poprzez rozbudowę sieci dróg rowerowych, znajdujących się w koncepcji rozwoju systemu transportu Bydgosko-Toruńskiego Obszaru Funkcjonalnego dla: Częsci nr 2 - Złotoria - Nowa Wieś - Lubicz Górny w ciągu drogi wojewódzkiej nr 657</t>
  </si>
  <si>
    <t>Ograniczenie emisji spalin poprzez rozbudowę sieci dróg rowerowych, znajdujących się w koncepcji rozwoju systemu transportu Bydgosko-Toruńskiego Obszaru Funkcjonalnego dla: Częsci nr 3 - Toruń - Mała Nieszawka - Wielka Nieszawka - Cierpice w ciągu drogi wojewódzkiej nr 273</t>
  </si>
  <si>
    <t>017, 018</t>
  </si>
  <si>
    <t>900
90026</t>
  </si>
  <si>
    <t>094, 095</t>
  </si>
  <si>
    <t>Kujawsko-Pomorskie - rozwój poprzez kulturę 2019</t>
  </si>
  <si>
    <t>094</t>
  </si>
  <si>
    <t>921
92120</t>
  </si>
  <si>
    <t>4.5</t>
  </si>
  <si>
    <t>085</t>
  </si>
  <si>
    <t>Ochrona czynna i monitoring obszarów Natura 2000 zlokalizowanych w granicach Brodnickiego Parku Krajobrazowego</t>
  </si>
  <si>
    <t>BPK</t>
  </si>
  <si>
    <t>925
92502</t>
  </si>
  <si>
    <t xml:space="preserve">Poprawa różnorodności biologicznej poprzez zarybianie j. Gopło oraz rozbudowa obiektu o część ekspozycji przyrodniczo-historycznej </t>
  </si>
  <si>
    <t>NPT</t>
  </si>
  <si>
    <t>Utworzenie ośrodka edukacji przyrodniczej Krajeńskiego Parku Krajobrazowego</t>
  </si>
  <si>
    <t>KPK</t>
  </si>
  <si>
    <t>Budowa stacji terenowo-badawczej "Podmoście"</t>
  </si>
  <si>
    <t>ZPKnDW</t>
  </si>
  <si>
    <t>Modernizacja zagrody wiejskiej w Dusocinie na potrzeby ośrodka edukacji ekologicznej na terenie Parku Krajobrazowego "Góry Łosiowe" wraz z czynną ochrona przyrody na obszarze Natura 2000</t>
  </si>
  <si>
    <t>034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</si>
  <si>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</si>
  <si>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Rozbudowa drogi wojewódzkiej Nr 548 Stolno-Wąbrzeźno od km 0+005 do km 29+619 z wyłączeniem węzła autostradowego w m. Lisewo od km 14+144 do km 15+146</t>
  </si>
  <si>
    <t>2016 - 2021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</si>
  <si>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</si>
  <si>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</si>
  <si>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Rozbudowa drogi wojewódzkiej Nr 240 Chojnice-Świecie od km 23+190 do km 36+817 i od km 62+877 do km 65+718</t>
  </si>
  <si>
    <t>Przebudowa i rozbudowa drogi wojewódzkiej Nr 255 Pakość - Strzelno od km 0+005 do km 21+910, Etap I - Rozbudowa drogi wojewódzkiej Nr 255 na odc. od km 0+005 do km 2+220, dł. 2,215 km"</t>
  </si>
  <si>
    <t>Przebudowa i rozbudowa drogi wojewódzkiej Nr 255 Pakość - Strzelno od km 0+005 do km 21+910, Etap II - Przebudowa drogi wojewódzkiej Nr 255 na odc. od km 2+220 do km 21+910, dł. 19,690 km</t>
  </si>
  <si>
    <t>Przebudowa wraz z rozbudową drogi wojewódzkiej Nr 266 Ciechocinek-Służewo-Radziejów-Sompolno-Konin</t>
  </si>
  <si>
    <t>2017 - 2021</t>
  </si>
  <si>
    <t>Przebudowa wraz z rozbudową drogi wojewódzkiej Nr 241 Tuchola - Rogoźno od km 0+005 do km 26+360 na odc. Tuchola - Sępólno Krajeńskie</t>
  </si>
  <si>
    <t>Przebudowa wraz z rozbudową drogi wojewódzkiej Nr 254 Brzoza-Łabiszyn-Barcin-Mogilno-Wylatowo (odcinek Brzoza-Barcin)</t>
  </si>
  <si>
    <t>Przebudowa wraz z rozbudową drogi wojewódzkiej Nr 254 Brzoza-Wylatowo (odcinek Barcin-Wylatowo)</t>
  </si>
  <si>
    <t>Przebudowa wraz z rozbudową drogi wojewódzkiej Nr 534 Grudziądz-Wąbrzeźno-Golub-Dobrzyń-Rypin od km 76+705 do km 81+719</t>
  </si>
  <si>
    <t>Przebudowa wraz z rozbudową drogi wojewódzkiej Nr 270 Brześć Kujawski-Izbica Kujawska-Koło od km 0+000 do km 29+023</t>
  </si>
  <si>
    <t>Przebudowa wraz z rozbudową drogi wojewódzkiej Nr 269 Szczerkowo-Kowal od km 12+170 do km 28+898 oraz od km 33+622 do km 59+194</t>
  </si>
  <si>
    <t>Przebudowa wraz z rozbudową drogi wojewódzkiej Nr 563 Rypin-Żuromin-Mława od km 2+475 do km 16+656</t>
  </si>
  <si>
    <t>Przebudowa drogi wojewódzkiej Nr 249 wraz z uruchomieniem przeprawy promowej przez Wisłę na wysokości Solca Kujawskiego i Czarnowa</t>
  </si>
  <si>
    <t>6.3.1</t>
  </si>
  <si>
    <t>052</t>
  </si>
  <si>
    <t>Tylko w Korczaku jest super dzieciaku</t>
  </si>
  <si>
    <t>854                 85403</t>
  </si>
  <si>
    <t>6.3.2</t>
  </si>
  <si>
    <t>Mistrz zawodu w nowoczesnym warsztacie - modernizacja warsztatów kształcenia zawodowego w Specjalnym Ośrodku Szkolno-Wychowawczym Nr 1 w Bydgoszczy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</si>
  <si>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</si>
  <si>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</si>
  <si>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Medyczne Centrum Przyszłości - utworzenie bazy kształcenia zawodowego dla Medyczno-Społecznego Centrum Kształcenia Zawodowego i Ustawicznego w Toruniu</t>
  </si>
  <si>
    <t>801                 80116</t>
  </si>
  <si>
    <t>Kwalifikacyjne Kursy Zawodowe twoją zawodowa szansą - nowe formy praktycznej nauki zawodu w Kujawsko-Pomorskim Ośrodku Dokształcania i Doskonalenia Zawodowego</t>
  </si>
  <si>
    <t>801                 80140</t>
  </si>
  <si>
    <t>6.5</t>
  </si>
  <si>
    <t>075, 093</t>
  </si>
  <si>
    <t>Utworzenie Centrum Czynnej Ochrony Przyrody Wdeckiego Parku Krajobrazowego</t>
  </si>
  <si>
    <t>WPK</t>
  </si>
  <si>
    <t>105</t>
  </si>
  <si>
    <t>ROPS w Toruniu</t>
  </si>
  <si>
    <t>851                 85195</t>
  </si>
  <si>
    <t>107</t>
  </si>
  <si>
    <t>Zdrowi i aktywni w pracy</t>
  </si>
  <si>
    <t>109</t>
  </si>
  <si>
    <t>ROPS</t>
  </si>
  <si>
    <t>112</t>
  </si>
  <si>
    <t>Pogodna jesień życia na Kujawach i Pomorzu - projekt pomocy środowiskowej dla seniorów (Lider Kujawsko-Pomorski Oddział Okręgowy Polskiego Czerwonego Krzyża w Bydgoszczy)</t>
  </si>
  <si>
    <t>9.4.2</t>
  </si>
  <si>
    <t>113</t>
  </si>
  <si>
    <t>Koordynacja rozwoju ekonomii społecznej w województwie kujawsko-pomorskim</t>
  </si>
  <si>
    <t>Koordynacja rozwoju ekonomii społecznej w województwie kujawsko-pomorskim (II)</t>
  </si>
  <si>
    <t>2019 - 2023</t>
  </si>
  <si>
    <t>10.2.1</t>
  </si>
  <si>
    <t>115</t>
  </si>
  <si>
    <t>Przedszkolaki - debeściaki - edukacja przedszkolna i terapia dla dzieci z niepełnosprawnościami</t>
  </si>
  <si>
    <t>801
80105</t>
  </si>
  <si>
    <t>118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</si>
  <si>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</si>
  <si>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</si>
  <si>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</si>
  <si>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</si>
  <si>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</si>
  <si>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</si>
  <si>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</si>
  <si>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</si>
  <si>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</si>
  <si>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</si>
  <si>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</si>
  <si>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</si>
  <si>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</si>
  <si>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2018-2020</t>
  </si>
  <si>
    <t>750
75018</t>
  </si>
  <si>
    <t>WUP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</si>
  <si>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</si>
  <si>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</si>
  <si>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</si>
  <si>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</si>
  <si>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053</t>
  </si>
  <si>
    <t>851
85111</t>
  </si>
  <si>
    <t>X</t>
  </si>
  <si>
    <t>034, 054, 055, 101</t>
  </si>
  <si>
    <t>853
85395</t>
  </si>
  <si>
    <t>102</t>
  </si>
  <si>
    <t>Zmiana nazwy działania z Wspieranie  osób odchodzących z rolnictwa i rybactwa na Wsparcie osób pracujących znajdujących się w niekorzystnej sytuacji na rynku pracy</t>
  </si>
  <si>
    <t>104</t>
  </si>
  <si>
    <t>106</t>
  </si>
  <si>
    <t>Wsparcie na rzecz wydłużania aktywności zawodowej mieszkańców</t>
  </si>
  <si>
    <t>851            85195</t>
  </si>
  <si>
    <t xml:space="preserve">Regionalne programy polityki zdrowotnej i profilaktyczne </t>
  </si>
  <si>
    <t>851            85149</t>
  </si>
  <si>
    <t>852            85228</t>
  </si>
  <si>
    <t>852            85295</t>
  </si>
  <si>
    <t>852            85203</t>
  </si>
  <si>
    <t>801 
80195</t>
  </si>
  <si>
    <t>150 
15013</t>
  </si>
  <si>
    <t>Działania i projekty realizowane przez beneficjentów zewnętrznych, którym samorząd województwa przekazuje dotacje na współfinansowanie krajowe</t>
  </si>
  <si>
    <t>852                 85295</t>
  </si>
  <si>
    <t>855
85595</t>
  </si>
  <si>
    <t>Nr   /   /19 Sejmiku Województwa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</si>
</sst>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.0000\ &quot;zł&quot;;[Red]\-#,##0.0000\ &quot;zł&quot;"/>
    <numFmt numFmtId="204" formatCode="[$-F400]h:mm:ss\ AM/PM"/>
  </numFmts>
  <fonts count="10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0"/>
    </font>
    <font>
      <b/>
      <sz val="13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0"/>
    </font>
    <font>
      <b/>
      <i/>
      <sz val="10"/>
      <name val="Times New Roman CE"/>
      <family val="0"/>
    </font>
    <font>
      <i/>
      <sz val="11"/>
      <name val="Times New Roman CE"/>
      <family val="0"/>
    </font>
    <font>
      <b/>
      <i/>
      <u val="single"/>
      <sz val="10"/>
      <name val="Times New Roman CE"/>
      <family val="0"/>
    </font>
    <font>
      <sz val="12"/>
      <name val="Times New Roman"/>
      <family val="1"/>
    </font>
    <font>
      <sz val="16"/>
      <name val="Times New Roman CE"/>
      <family val="0"/>
    </font>
    <font>
      <b/>
      <sz val="16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8"/>
      <name val="Times New Roman CE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u val="single"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8"/>
      <name val="Times New Roman CE"/>
      <family val="1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2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11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8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4" fillId="0" borderId="0" xfId="0" applyNumberFormat="1" applyFont="1" applyAlignment="1" applyProtection="1">
      <alignment horizontal="left"/>
      <protection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4" fontId="4" fillId="0" borderId="0" xfId="0" applyNumberFormat="1" applyFont="1" applyAlignment="1">
      <alignment vertical="top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center"/>
    </xf>
    <xf numFmtId="4" fontId="1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4" fillId="33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5" fillId="33" borderId="10" xfId="0" applyNumberFormat="1" applyFont="1" applyFill="1" applyBorder="1" applyAlignment="1">
      <alignment vertical="top"/>
    </xf>
    <xf numFmtId="3" fontId="15" fillId="0" borderId="10" xfId="0" applyNumberFormat="1" applyFont="1" applyFill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vertical="center"/>
    </xf>
    <xf numFmtId="3" fontId="15" fillId="34" borderId="10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top"/>
    </xf>
    <xf numFmtId="3" fontId="14" fillId="33" borderId="10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3" fontId="4" fillId="0" borderId="0" xfId="0" applyNumberFormat="1" applyFont="1" applyAlignment="1">
      <alignment vertical="top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vertical="top"/>
    </xf>
    <xf numFmtId="3" fontId="11" fillId="0" borderId="15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98" fillId="0" borderId="17" xfId="56" applyNumberFormat="1" applyFont="1" applyBorder="1" applyAlignment="1">
      <alignment horizontal="center" vertical="top" wrapText="1"/>
      <protection/>
    </xf>
    <xf numFmtId="49" fontId="98" fillId="0" borderId="0" xfId="56" applyNumberFormat="1" applyFont="1" applyBorder="1" applyAlignment="1">
      <alignment horizontal="center" vertical="top" wrapText="1"/>
      <protection/>
    </xf>
    <xf numFmtId="0" fontId="98" fillId="0" borderId="17" xfId="56" applyFont="1" applyBorder="1" applyAlignment="1">
      <alignment vertical="top" wrapText="1"/>
      <protection/>
    </xf>
    <xf numFmtId="3" fontId="98" fillId="0" borderId="0" xfId="56" applyNumberFormat="1" applyFont="1" applyBorder="1" applyAlignment="1">
      <alignment vertical="top" wrapText="1"/>
      <protection/>
    </xf>
    <xf numFmtId="3" fontId="98" fillId="0" borderId="17" xfId="56" applyNumberFormat="1" applyFont="1" applyBorder="1" applyAlignment="1">
      <alignment vertical="top" wrapText="1"/>
      <protection/>
    </xf>
    <xf numFmtId="49" fontId="98" fillId="0" borderId="13" xfId="56" applyNumberFormat="1" applyFont="1" applyBorder="1" applyAlignment="1">
      <alignment horizontal="center" vertical="top" wrapText="1"/>
      <protection/>
    </xf>
    <xf numFmtId="49" fontId="98" fillId="0" borderId="14" xfId="56" applyNumberFormat="1" applyFont="1" applyBorder="1" applyAlignment="1">
      <alignment horizontal="center" vertical="top" wrapText="1"/>
      <protection/>
    </xf>
    <xf numFmtId="0" fontId="98" fillId="0" borderId="13" xfId="56" applyFont="1" applyBorder="1" applyAlignment="1">
      <alignment vertical="top" wrapText="1"/>
      <protection/>
    </xf>
    <xf numFmtId="3" fontId="98" fillId="0" borderId="14" xfId="56" applyNumberFormat="1" applyFont="1" applyBorder="1" applyAlignment="1">
      <alignment vertical="top" wrapText="1"/>
      <protection/>
    </xf>
    <xf numFmtId="3" fontId="98" fillId="0" borderId="13" xfId="56" applyNumberFormat="1" applyFont="1" applyBorder="1" applyAlignment="1">
      <alignment vertical="top" wrapText="1"/>
      <protection/>
    </xf>
    <xf numFmtId="49" fontId="99" fillId="0" borderId="17" xfId="56" applyNumberFormat="1" applyFont="1" applyBorder="1" applyAlignment="1">
      <alignment horizontal="center" vertical="top" wrapText="1"/>
      <protection/>
    </xf>
    <xf numFmtId="49" fontId="99" fillId="0" borderId="0" xfId="56" applyNumberFormat="1" applyFont="1" applyBorder="1" applyAlignment="1">
      <alignment horizontal="center" vertical="top" wrapText="1"/>
      <protection/>
    </xf>
    <xf numFmtId="0" fontId="99" fillId="0" borderId="17" xfId="56" applyFont="1" applyBorder="1" applyAlignment="1">
      <alignment vertical="top" wrapText="1"/>
      <protection/>
    </xf>
    <xf numFmtId="3" fontId="99" fillId="0" borderId="0" xfId="56" applyNumberFormat="1" applyFont="1" applyBorder="1" applyAlignment="1">
      <alignment vertical="top" wrapText="1"/>
      <protection/>
    </xf>
    <xf numFmtId="0" fontId="99" fillId="0" borderId="0" xfId="0" applyFont="1" applyAlignment="1">
      <alignment/>
    </xf>
    <xf numFmtId="3" fontId="99" fillId="0" borderId="17" xfId="56" applyNumberFormat="1" applyFont="1" applyBorder="1" applyAlignment="1">
      <alignment vertical="top" wrapText="1"/>
      <protection/>
    </xf>
    <xf numFmtId="49" fontId="99" fillId="0" borderId="10" xfId="56" applyNumberFormat="1" applyFont="1" applyBorder="1" applyAlignment="1">
      <alignment horizontal="center" vertical="top" wrapText="1"/>
      <protection/>
    </xf>
    <xf numFmtId="49" fontId="99" fillId="0" borderId="15" xfId="56" applyNumberFormat="1" applyFont="1" applyBorder="1" applyAlignment="1">
      <alignment horizontal="center" vertical="top" wrapText="1"/>
      <protection/>
    </xf>
    <xf numFmtId="0" fontId="99" fillId="0" borderId="10" xfId="56" applyFont="1" applyBorder="1" applyAlignment="1">
      <alignment vertical="top" wrapText="1"/>
      <protection/>
    </xf>
    <xf numFmtId="3" fontId="99" fillId="0" borderId="15" xfId="56" applyNumberFormat="1" applyFont="1" applyBorder="1" applyAlignment="1">
      <alignment vertical="top" wrapText="1"/>
      <protection/>
    </xf>
    <xf numFmtId="3" fontId="99" fillId="0" borderId="10" xfId="56" applyNumberFormat="1" applyFont="1" applyBorder="1" applyAlignment="1">
      <alignment vertical="top" wrapText="1"/>
      <protection/>
    </xf>
    <xf numFmtId="49" fontId="9" fillId="0" borderId="0" xfId="72" applyNumberFormat="1" applyFont="1" applyFill="1" applyAlignment="1">
      <alignment horizontal="center" vertical="center"/>
      <protection/>
    </xf>
    <xf numFmtId="49" fontId="8" fillId="0" borderId="0" xfId="72" applyNumberFormat="1" applyFont="1" applyFill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Alignment="1">
      <alignment vertical="center"/>
      <protection/>
    </xf>
    <xf numFmtId="0" fontId="8" fillId="0" borderId="0" xfId="72" applyNumberFormat="1" applyFont="1" applyFill="1" applyAlignment="1">
      <alignment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2" fontId="8" fillId="0" borderId="0" xfId="72" applyNumberFormat="1" applyFont="1" applyFill="1" applyBorder="1" applyAlignment="1">
      <alignment horizontal="center" vertical="center"/>
      <protection/>
    </xf>
    <xf numFmtId="49" fontId="9" fillId="0" borderId="18" xfId="72" applyNumberFormat="1" applyFont="1" applyFill="1" applyBorder="1" applyAlignment="1">
      <alignment horizontal="center" vertical="center" wrapText="1"/>
      <protection/>
    </xf>
    <xf numFmtId="2" fontId="9" fillId="0" borderId="0" xfId="72" applyNumberFormat="1" applyFont="1" applyFill="1" applyAlignment="1">
      <alignment horizontal="center" vertical="center" wrapText="1"/>
      <protection/>
    </xf>
    <xf numFmtId="49" fontId="9" fillId="0" borderId="19" xfId="72" applyNumberFormat="1" applyFont="1" applyFill="1" applyBorder="1" applyAlignment="1">
      <alignment horizontal="center" vertical="center" wrapText="1"/>
      <protection/>
    </xf>
    <xf numFmtId="49" fontId="9" fillId="0" borderId="20" xfId="72" applyNumberFormat="1" applyFont="1" applyFill="1" applyBorder="1" applyAlignment="1">
      <alignment horizontal="center" vertical="center" wrapText="1"/>
      <protection/>
    </xf>
    <xf numFmtId="2" fontId="8" fillId="0" borderId="10" xfId="72" applyNumberFormat="1" applyFont="1" applyFill="1" applyBorder="1" applyAlignment="1">
      <alignment horizontal="center" vertical="center" wrapText="1"/>
      <protection/>
    </xf>
    <xf numFmtId="2" fontId="8" fillId="0" borderId="16" xfId="72" applyNumberFormat="1" applyFont="1" applyFill="1" applyBorder="1" applyAlignment="1">
      <alignment horizontal="center" vertical="center" wrapText="1"/>
      <protection/>
    </xf>
    <xf numFmtId="49" fontId="25" fillId="0" borderId="21" xfId="72" applyNumberFormat="1" applyFont="1" applyFill="1" applyBorder="1" applyAlignment="1">
      <alignment horizontal="center" vertical="center" wrapText="1"/>
      <protection/>
    </xf>
    <xf numFmtId="49" fontId="10" fillId="0" borderId="22" xfId="72" applyNumberFormat="1" applyFont="1" applyFill="1" applyBorder="1" applyAlignment="1">
      <alignment horizontal="center" vertical="center" wrapText="1"/>
      <protection/>
    </xf>
    <xf numFmtId="49" fontId="25" fillId="0" borderId="10" xfId="72" applyNumberFormat="1" applyFont="1" applyFill="1" applyBorder="1" applyAlignment="1">
      <alignment horizontal="center" vertical="center" wrapText="1"/>
      <protection/>
    </xf>
    <xf numFmtId="49" fontId="25" fillId="0" borderId="22" xfId="72" applyNumberFormat="1" applyFont="1" applyFill="1" applyBorder="1" applyAlignment="1">
      <alignment horizontal="center" vertical="center" wrapText="1"/>
      <protection/>
    </xf>
    <xf numFmtId="49" fontId="25" fillId="0" borderId="16" xfId="72" applyNumberFormat="1" applyFont="1" applyFill="1" applyBorder="1" applyAlignment="1">
      <alignment horizontal="center" vertical="center" wrapText="1"/>
      <protection/>
    </xf>
    <xf numFmtId="49" fontId="25" fillId="0" borderId="23" xfId="72" applyNumberFormat="1" applyFont="1" applyFill="1" applyBorder="1" applyAlignment="1">
      <alignment horizontal="center" vertical="center" wrapText="1"/>
      <protection/>
    </xf>
    <xf numFmtId="49" fontId="25" fillId="0" borderId="0" xfId="72" applyNumberFormat="1" applyFont="1" applyFill="1" applyAlignment="1">
      <alignment horizontal="center" vertical="center" wrapText="1"/>
      <protection/>
    </xf>
    <xf numFmtId="49" fontId="25" fillId="0" borderId="24" xfId="72" applyNumberFormat="1" applyFont="1" applyFill="1" applyBorder="1" applyAlignment="1">
      <alignment horizontal="center" vertical="center" wrapText="1"/>
      <protection/>
    </xf>
    <xf numFmtId="49" fontId="26" fillId="0" borderId="12" xfId="72" applyNumberFormat="1" applyFont="1" applyFill="1" applyBorder="1" applyAlignment="1">
      <alignment horizontal="center" vertical="center" wrapText="1"/>
      <protection/>
    </xf>
    <xf numFmtId="49" fontId="27" fillId="0" borderId="12" xfId="72" applyNumberFormat="1" applyFont="1" applyFill="1" applyBorder="1" applyAlignment="1">
      <alignment horizontal="center" vertical="center" wrapText="1"/>
      <protection/>
    </xf>
    <xf numFmtId="49" fontId="25" fillId="0" borderId="12" xfId="72" applyNumberFormat="1" applyFont="1" applyFill="1" applyBorder="1" applyAlignment="1">
      <alignment horizontal="center" vertical="center" wrapText="1"/>
      <protection/>
    </xf>
    <xf numFmtId="49" fontId="25" fillId="0" borderId="11" xfId="72" applyNumberFormat="1" applyFont="1" applyFill="1" applyBorder="1" applyAlignment="1">
      <alignment horizontal="center" vertical="center" wrapText="1"/>
      <protection/>
    </xf>
    <xf numFmtId="49" fontId="25" fillId="0" borderId="25" xfId="72" applyNumberFormat="1" applyFont="1" applyFill="1" applyBorder="1" applyAlignment="1">
      <alignment horizontal="center" vertical="center" wrapText="1"/>
      <protection/>
    </xf>
    <xf numFmtId="49" fontId="25" fillId="0" borderId="0" xfId="72" applyNumberFormat="1" applyFont="1" applyAlignment="1">
      <alignment horizontal="center" vertical="center" wrapText="1"/>
      <protection/>
    </xf>
    <xf numFmtId="3" fontId="11" fillId="35" borderId="26" xfId="72" applyNumberFormat="1" applyFont="1" applyFill="1" applyBorder="1" applyAlignment="1">
      <alignment horizontal="center" vertical="center" wrapText="1"/>
      <protection/>
    </xf>
    <xf numFmtId="3" fontId="9" fillId="35" borderId="27" xfId="72" applyNumberFormat="1" applyFont="1" applyFill="1" applyBorder="1" applyAlignment="1">
      <alignment horizontal="right" vertical="center" wrapText="1"/>
      <protection/>
    </xf>
    <xf numFmtId="3" fontId="9" fillId="35" borderId="26" xfId="72" applyNumberFormat="1" applyFont="1" applyFill="1" applyBorder="1" applyAlignment="1">
      <alignment horizontal="right" vertical="center" wrapText="1"/>
      <protection/>
    </xf>
    <xf numFmtId="3" fontId="9" fillId="35" borderId="28" xfId="72" applyNumberFormat="1" applyFont="1" applyFill="1" applyBorder="1" applyAlignment="1">
      <alignment horizontal="right" vertical="center" wrapText="1"/>
      <protection/>
    </xf>
    <xf numFmtId="3" fontId="9" fillId="35" borderId="29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Alignment="1">
      <alignment vertical="center" wrapText="1"/>
      <protection/>
    </xf>
    <xf numFmtId="4" fontId="8" fillId="0" borderId="0" xfId="72" applyNumberFormat="1" applyFont="1" applyAlignment="1">
      <alignment vertical="center" wrapText="1"/>
      <protection/>
    </xf>
    <xf numFmtId="3" fontId="11" fillId="35" borderId="10" xfId="72" applyNumberFormat="1" applyFont="1" applyFill="1" applyBorder="1" applyAlignment="1">
      <alignment horizontal="center" vertical="center" wrapText="1"/>
      <protection/>
    </xf>
    <xf numFmtId="3" fontId="9" fillId="35" borderId="10" xfId="72" applyNumberFormat="1" applyFont="1" applyFill="1" applyBorder="1" applyAlignment="1">
      <alignment horizontal="right" vertical="center" wrapText="1"/>
      <protection/>
    </xf>
    <xf numFmtId="3" fontId="9" fillId="35" borderId="22" xfId="72" applyNumberFormat="1" applyFont="1" applyFill="1" applyBorder="1" applyAlignment="1">
      <alignment horizontal="right" vertical="center" wrapText="1"/>
      <protection/>
    </xf>
    <xf numFmtId="3" fontId="9" fillId="35" borderId="23" xfId="72" applyNumberFormat="1" applyFont="1" applyFill="1" applyBorder="1" applyAlignment="1">
      <alignment horizontal="right" vertical="center" wrapText="1"/>
      <protection/>
    </xf>
    <xf numFmtId="3" fontId="11" fillId="35" borderId="30" xfId="72" applyNumberFormat="1" applyFont="1" applyFill="1" applyBorder="1" applyAlignment="1">
      <alignment horizontal="center" vertical="center" wrapText="1"/>
      <protection/>
    </xf>
    <xf numFmtId="3" fontId="9" fillId="35" borderId="30" xfId="72" applyNumberFormat="1" applyFont="1" applyFill="1" applyBorder="1" applyAlignment="1">
      <alignment horizontal="right" vertical="center" wrapText="1"/>
      <protection/>
    </xf>
    <xf numFmtId="3" fontId="9" fillId="35" borderId="31" xfId="72" applyNumberFormat="1" applyFont="1" applyFill="1" applyBorder="1" applyAlignment="1">
      <alignment horizontal="right" vertical="center" wrapText="1"/>
      <protection/>
    </xf>
    <xf numFmtId="3" fontId="9" fillId="35" borderId="32" xfId="72" applyNumberFormat="1" applyFont="1" applyFill="1" applyBorder="1" applyAlignment="1">
      <alignment horizontal="right" vertical="center" wrapText="1"/>
      <protection/>
    </xf>
    <xf numFmtId="49" fontId="9" fillId="0" borderId="33" xfId="72" applyNumberFormat="1" applyFont="1" applyBorder="1" applyAlignment="1">
      <alignment horizontal="center" vertical="center" wrapText="1"/>
      <protection/>
    </xf>
    <xf numFmtId="3" fontId="28" fillId="0" borderId="34" xfId="72" applyNumberFormat="1" applyFont="1" applyBorder="1" applyAlignment="1">
      <alignment horizontal="center" vertical="center" wrapText="1"/>
      <protection/>
    </xf>
    <xf numFmtId="3" fontId="9" fillId="0" borderId="0" xfId="72" applyNumberFormat="1" applyFont="1" applyFill="1" applyBorder="1" applyAlignment="1">
      <alignment vertical="center" wrapText="1"/>
      <protection/>
    </xf>
    <xf numFmtId="3" fontId="28" fillId="0" borderId="0" xfId="72" applyNumberFormat="1" applyFont="1" applyBorder="1" applyAlignment="1">
      <alignment vertical="center" wrapText="1"/>
      <protection/>
    </xf>
    <xf numFmtId="3" fontId="9" fillId="0" borderId="0" xfId="72" applyNumberFormat="1" applyFont="1" applyBorder="1" applyAlignment="1">
      <alignment horizontal="right" vertical="center" wrapText="1"/>
      <protection/>
    </xf>
    <xf numFmtId="3" fontId="9" fillId="0" borderId="17" xfId="72" applyNumberFormat="1" applyFont="1" applyBorder="1" applyAlignment="1">
      <alignment horizontal="right" vertical="center" wrapText="1"/>
      <protection/>
    </xf>
    <xf numFmtId="3" fontId="9" fillId="0" borderId="35" xfId="72" applyNumberFormat="1" applyFont="1" applyBorder="1" applyAlignment="1">
      <alignment horizontal="right" vertical="center" wrapText="1"/>
      <protection/>
    </xf>
    <xf numFmtId="3" fontId="9" fillId="0" borderId="36" xfId="72" applyNumberFormat="1" applyFont="1" applyBorder="1" applyAlignment="1">
      <alignment horizontal="right" vertical="center" wrapText="1"/>
      <protection/>
    </xf>
    <xf numFmtId="3" fontId="8" fillId="0" borderId="0" xfId="72" applyNumberFormat="1" applyFont="1" applyAlignment="1">
      <alignment horizontal="center" vertical="center" wrapText="1"/>
      <protection/>
    </xf>
    <xf numFmtId="4" fontId="8" fillId="0" borderId="0" xfId="72" applyNumberFormat="1" applyFont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horizontal="center" vertical="center" wrapText="1"/>
      <protection/>
    </xf>
    <xf numFmtId="3" fontId="9" fillId="0" borderId="10" xfId="72" applyNumberFormat="1" applyFont="1" applyFill="1" applyBorder="1" applyAlignment="1">
      <alignment horizontal="right" vertical="center" wrapText="1"/>
      <protection/>
    </xf>
    <xf numFmtId="3" fontId="8" fillId="0" borderId="10" xfId="72" applyNumberFormat="1" applyFont="1" applyFill="1" applyBorder="1" applyAlignment="1">
      <alignment horizontal="right" vertical="center" wrapText="1"/>
      <protection/>
    </xf>
    <xf numFmtId="3" fontId="8" fillId="0" borderId="22" xfId="72" applyNumberFormat="1" applyFont="1" applyFill="1" applyBorder="1" applyAlignment="1">
      <alignment horizontal="right" vertical="center" wrapText="1"/>
      <protection/>
    </xf>
    <xf numFmtId="3" fontId="8" fillId="0" borderId="15" xfId="72" applyNumberFormat="1" applyFont="1" applyFill="1" applyBorder="1" applyAlignment="1">
      <alignment horizontal="right" vertical="center" wrapText="1"/>
      <protection/>
    </xf>
    <xf numFmtId="3" fontId="8" fillId="0" borderId="16" xfId="72" applyNumberFormat="1" applyFont="1" applyFill="1" applyBorder="1" applyAlignment="1">
      <alignment horizontal="right" vertical="center" wrapText="1"/>
      <protection/>
    </xf>
    <xf numFmtId="3" fontId="8" fillId="0" borderId="23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Fill="1" applyAlignment="1">
      <alignment vertical="center" wrapText="1"/>
      <protection/>
    </xf>
    <xf numFmtId="4" fontId="8" fillId="0" borderId="0" xfId="72" applyNumberFormat="1" applyFont="1" applyFill="1" applyAlignment="1">
      <alignment vertical="center" wrapText="1"/>
      <protection/>
    </xf>
    <xf numFmtId="3" fontId="8" fillId="0" borderId="13" xfId="72" applyNumberFormat="1" applyFont="1" applyFill="1" applyBorder="1" applyAlignment="1">
      <alignment horizontal="right" vertical="center" wrapText="1"/>
      <protection/>
    </xf>
    <xf numFmtId="3" fontId="8" fillId="0" borderId="14" xfId="72" applyNumberFormat="1" applyFont="1" applyFill="1" applyBorder="1" applyAlignment="1">
      <alignment horizontal="right" vertical="center" wrapText="1"/>
      <protection/>
    </xf>
    <xf numFmtId="3" fontId="8" fillId="0" borderId="37" xfId="72" applyNumberFormat="1" applyFont="1" applyFill="1" applyBorder="1" applyAlignment="1">
      <alignment horizontal="right" vertical="center" wrapText="1"/>
      <protection/>
    </xf>
    <xf numFmtId="3" fontId="8" fillId="0" borderId="20" xfId="72" applyNumberFormat="1" applyFont="1" applyFill="1" applyBorder="1" applyAlignment="1">
      <alignment horizontal="right" vertical="center" wrapText="1"/>
      <protection/>
    </xf>
    <xf numFmtId="3" fontId="8" fillId="0" borderId="38" xfId="72" applyNumberFormat="1" applyFont="1" applyFill="1" applyBorder="1" applyAlignment="1">
      <alignment horizontal="right" vertical="center" wrapText="1"/>
      <protection/>
    </xf>
    <xf numFmtId="49" fontId="8" fillId="0" borderId="39" xfId="72" applyNumberFormat="1" applyFont="1" applyFill="1" applyBorder="1" applyAlignment="1">
      <alignment horizontal="center" vertical="center" wrapText="1"/>
      <protection/>
    </xf>
    <xf numFmtId="3" fontId="8" fillId="0" borderId="15" xfId="72" applyNumberFormat="1" applyFont="1" applyFill="1" applyBorder="1" applyAlignment="1">
      <alignment horizontal="left" vertical="center" wrapText="1"/>
      <protection/>
    </xf>
    <xf numFmtId="3" fontId="8" fillId="0" borderId="12" xfId="72" applyNumberFormat="1" applyFont="1" applyFill="1" applyBorder="1" applyAlignment="1">
      <alignment horizontal="left" vertical="center" wrapText="1"/>
      <protection/>
    </xf>
    <xf numFmtId="3" fontId="9" fillId="0" borderId="15" xfId="72" applyNumberFormat="1" applyFont="1" applyFill="1" applyBorder="1" applyAlignment="1">
      <alignment horizontal="right" vertical="center" wrapText="1"/>
      <protection/>
    </xf>
    <xf numFmtId="49" fontId="8" fillId="0" borderId="24" xfId="72" applyNumberFormat="1" applyFont="1" applyFill="1" applyBorder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vertical="center"/>
      <protection/>
    </xf>
    <xf numFmtId="3" fontId="8" fillId="0" borderId="15" xfId="72" applyNumberFormat="1" applyFont="1" applyFill="1" applyBorder="1" applyAlignment="1">
      <alignment vertical="center"/>
      <protection/>
    </xf>
    <xf numFmtId="3" fontId="8" fillId="0" borderId="16" xfId="72" applyNumberFormat="1" applyFont="1" applyFill="1" applyBorder="1" applyAlignment="1">
      <alignment vertical="center"/>
      <protection/>
    </xf>
    <xf numFmtId="3" fontId="8" fillId="0" borderId="23" xfId="72" applyNumberFormat="1" applyFont="1" applyFill="1" applyBorder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4" fontId="9" fillId="0" borderId="0" xfId="72" applyNumberFormat="1" applyFont="1" applyFill="1" applyAlignment="1">
      <alignment vertical="center"/>
      <protection/>
    </xf>
    <xf numFmtId="49" fontId="8" fillId="0" borderId="39" xfId="72" applyNumberFormat="1" applyFont="1" applyFill="1" applyBorder="1" applyAlignment="1">
      <alignment horizontal="center" vertical="center"/>
      <protection/>
    </xf>
    <xf numFmtId="49" fontId="8" fillId="0" borderId="15" xfId="72" applyNumberFormat="1" applyFont="1" applyFill="1" applyBorder="1" applyAlignment="1">
      <alignment horizontal="left" vertical="center" wrapText="1"/>
      <protection/>
    </xf>
    <xf numFmtId="49" fontId="8" fillId="0" borderId="39" xfId="72" applyNumberFormat="1" applyFont="1" applyFill="1" applyBorder="1" applyAlignment="1">
      <alignment vertical="center"/>
      <protection/>
    </xf>
    <xf numFmtId="49" fontId="8" fillId="0" borderId="15" xfId="72" applyNumberFormat="1" applyFont="1" applyFill="1" applyBorder="1" applyAlignment="1">
      <alignment vertical="center"/>
      <protection/>
    </xf>
    <xf numFmtId="49" fontId="8" fillId="0" borderId="16" xfId="72" applyNumberFormat="1" applyFont="1" applyFill="1" applyBorder="1" applyAlignment="1">
      <alignment vertical="center"/>
      <protection/>
    </xf>
    <xf numFmtId="0" fontId="9" fillId="0" borderId="36" xfId="72" applyFont="1" applyFill="1" applyBorder="1" applyAlignment="1">
      <alignment vertical="center"/>
      <protection/>
    </xf>
    <xf numFmtId="4" fontId="9" fillId="0" borderId="0" xfId="72" applyNumberFormat="1" applyFont="1" applyFill="1" applyAlignment="1">
      <alignment vertical="center"/>
      <protection/>
    </xf>
    <xf numFmtId="49" fontId="8" fillId="0" borderId="24" xfId="72" applyNumberFormat="1" applyFont="1" applyFill="1" applyBorder="1" applyAlignment="1">
      <alignment horizontal="center" vertical="center"/>
      <protection/>
    </xf>
    <xf numFmtId="49" fontId="8" fillId="0" borderId="12" xfId="72" applyNumberFormat="1" applyFont="1" applyFill="1" applyBorder="1" applyAlignment="1">
      <alignment horizontal="center" vertical="center"/>
      <protection/>
    </xf>
    <xf numFmtId="49" fontId="8" fillId="0" borderId="15" xfId="72" applyNumberFormat="1" applyFont="1" applyFill="1" applyBorder="1" applyAlignment="1">
      <alignment horizontal="center" vertical="center"/>
      <protection/>
    </xf>
    <xf numFmtId="49" fontId="8" fillId="0" borderId="23" xfId="72" applyNumberFormat="1" applyFont="1" applyFill="1" applyBorder="1" applyAlignment="1">
      <alignment horizontal="center" vertical="center"/>
      <protection/>
    </xf>
    <xf numFmtId="49" fontId="8" fillId="0" borderId="23" xfId="72" applyNumberFormat="1" applyFont="1" applyFill="1" applyBorder="1" applyAlignment="1">
      <alignment vertical="center"/>
      <protection/>
    </xf>
    <xf numFmtId="3" fontId="8" fillId="0" borderId="22" xfId="72" applyNumberFormat="1" applyFont="1" applyFill="1" applyBorder="1" applyAlignment="1">
      <alignment vertical="center"/>
      <protection/>
    </xf>
    <xf numFmtId="49" fontId="8" fillId="0" borderId="12" xfId="72" applyNumberFormat="1" applyFont="1" applyFill="1" applyBorder="1" applyAlignment="1">
      <alignment horizontal="left" vertical="center" wrapText="1"/>
      <protection/>
    </xf>
    <xf numFmtId="49" fontId="9" fillId="0" borderId="40" xfId="72" applyNumberFormat="1" applyFont="1" applyBorder="1" applyAlignment="1">
      <alignment horizontal="center" vertical="center" wrapText="1"/>
      <protection/>
    </xf>
    <xf numFmtId="3" fontId="28" fillId="0" borderId="0" xfId="72" applyNumberFormat="1" applyFont="1" applyBorder="1" applyAlignment="1">
      <alignment horizontal="center" vertical="center" wrapText="1"/>
      <protection/>
    </xf>
    <xf numFmtId="3" fontId="11" fillId="35" borderId="41" xfId="72" applyNumberFormat="1" applyFont="1" applyFill="1" applyBorder="1" applyAlignment="1">
      <alignment horizontal="center" vertical="center" wrapText="1"/>
      <protection/>
    </xf>
    <xf numFmtId="3" fontId="9" fillId="35" borderId="42" xfId="72" applyNumberFormat="1" applyFont="1" applyFill="1" applyBorder="1" applyAlignment="1">
      <alignment horizontal="right" vertical="center" wrapText="1"/>
      <protection/>
    </xf>
    <xf numFmtId="3" fontId="9" fillId="35" borderId="18" xfId="72" applyNumberFormat="1" applyFont="1" applyFill="1" applyBorder="1" applyAlignment="1">
      <alignment horizontal="right" vertical="center" wrapText="1"/>
      <protection/>
    </xf>
    <xf numFmtId="3" fontId="9" fillId="35" borderId="43" xfId="72" applyNumberFormat="1" applyFont="1" applyFill="1" applyBorder="1" applyAlignment="1">
      <alignment horizontal="right" vertical="center" wrapText="1"/>
      <protection/>
    </xf>
    <xf numFmtId="3" fontId="11" fillId="35" borderId="16" xfId="72" applyNumberFormat="1" applyFont="1" applyFill="1" applyBorder="1" applyAlignment="1">
      <alignment horizontal="center" vertical="center" wrapText="1"/>
      <protection/>
    </xf>
    <xf numFmtId="3" fontId="11" fillId="35" borderId="44" xfId="72" applyNumberFormat="1" applyFont="1" applyFill="1" applyBorder="1" applyAlignment="1">
      <alignment horizontal="center" vertical="center" wrapText="1"/>
      <protection/>
    </xf>
    <xf numFmtId="49" fontId="9" fillId="0" borderId="45" xfId="72" applyNumberFormat="1" applyFont="1" applyBorder="1" applyAlignment="1">
      <alignment horizontal="center" vertical="center" wrapText="1"/>
      <protection/>
    </xf>
    <xf numFmtId="49" fontId="8" fillId="0" borderId="22" xfId="72" applyNumberFormat="1" applyFont="1" applyFill="1" applyBorder="1" applyAlignment="1">
      <alignment horizontal="center" vertical="center"/>
      <protection/>
    </xf>
    <xf numFmtId="3" fontId="8" fillId="0" borderId="0" xfId="72" applyNumberFormat="1" applyFont="1" applyFill="1" applyBorder="1" applyAlignment="1">
      <alignment vertical="center"/>
      <protection/>
    </xf>
    <xf numFmtId="3" fontId="8" fillId="0" borderId="36" xfId="72" applyNumberFormat="1" applyFont="1" applyFill="1" applyBorder="1" applyAlignment="1">
      <alignment vertical="center"/>
      <protection/>
    </xf>
    <xf numFmtId="3" fontId="8" fillId="0" borderId="11" xfId="72" applyNumberFormat="1" applyFont="1" applyFill="1" applyBorder="1" applyAlignment="1">
      <alignment vertical="center"/>
      <protection/>
    </xf>
    <xf numFmtId="3" fontId="8" fillId="0" borderId="46" xfId="72" applyNumberFormat="1" applyFont="1" applyFill="1" applyBorder="1" applyAlignment="1">
      <alignment vertical="center"/>
      <protection/>
    </xf>
    <xf numFmtId="3" fontId="8" fillId="0" borderId="12" xfId="72" applyNumberFormat="1" applyFont="1" applyFill="1" applyBorder="1" applyAlignment="1">
      <alignment vertical="center"/>
      <protection/>
    </xf>
    <xf numFmtId="3" fontId="8" fillId="0" borderId="47" xfId="72" applyNumberFormat="1" applyFont="1" applyFill="1" applyBorder="1" applyAlignment="1">
      <alignment vertical="center"/>
      <protection/>
    </xf>
    <xf numFmtId="3" fontId="8" fillId="0" borderId="25" xfId="72" applyNumberFormat="1" applyFont="1" applyFill="1" applyBorder="1" applyAlignment="1">
      <alignment vertical="center"/>
      <protection/>
    </xf>
    <xf numFmtId="49" fontId="8" fillId="0" borderId="48" xfId="72" applyNumberFormat="1" applyFont="1" applyFill="1" applyBorder="1" applyAlignment="1">
      <alignment horizontal="center" vertical="center"/>
      <protection/>
    </xf>
    <xf numFmtId="3" fontId="9" fillId="0" borderId="12" xfId="72" applyNumberFormat="1" applyFont="1" applyFill="1" applyBorder="1" applyAlignment="1">
      <alignment horizontal="right" vertical="center" wrapText="1"/>
      <protection/>
    </xf>
    <xf numFmtId="49" fontId="29" fillId="35" borderId="26" xfId="72" applyNumberFormat="1" applyFont="1" applyFill="1" applyBorder="1" applyAlignment="1">
      <alignment horizontal="center" vertical="center"/>
      <protection/>
    </xf>
    <xf numFmtId="3" fontId="11" fillId="35" borderId="26" xfId="72" applyNumberFormat="1" applyFont="1" applyFill="1" applyBorder="1" applyAlignment="1">
      <alignment vertical="center"/>
      <protection/>
    </xf>
    <xf numFmtId="3" fontId="11" fillId="35" borderId="28" xfId="72" applyNumberFormat="1" applyFont="1" applyFill="1" applyBorder="1" applyAlignment="1">
      <alignment vertical="center"/>
      <protection/>
    </xf>
    <xf numFmtId="3" fontId="11" fillId="35" borderId="29" xfId="72" applyNumberFormat="1" applyFont="1" applyFill="1" applyBorder="1" applyAlignment="1">
      <alignment vertical="center"/>
      <protection/>
    </xf>
    <xf numFmtId="0" fontId="29" fillId="36" borderId="0" xfId="72" applyFont="1" applyFill="1" applyAlignment="1">
      <alignment vertical="center"/>
      <protection/>
    </xf>
    <xf numFmtId="4" fontId="29" fillId="36" borderId="0" xfId="72" applyNumberFormat="1" applyFont="1" applyFill="1" applyAlignment="1">
      <alignment vertical="center"/>
      <protection/>
    </xf>
    <xf numFmtId="49" fontId="29" fillId="35" borderId="10" xfId="72" applyNumberFormat="1" applyFont="1" applyFill="1" applyBorder="1" applyAlignment="1">
      <alignment horizontal="center" vertical="center"/>
      <protection/>
    </xf>
    <xf numFmtId="3" fontId="11" fillId="35" borderId="10" xfId="72" applyNumberFormat="1" applyFont="1" applyFill="1" applyBorder="1" applyAlignment="1">
      <alignment vertical="center"/>
      <protection/>
    </xf>
    <xf numFmtId="3" fontId="11" fillId="35" borderId="22" xfId="72" applyNumberFormat="1" applyFont="1" applyFill="1" applyBorder="1" applyAlignment="1">
      <alignment vertical="center"/>
      <protection/>
    </xf>
    <xf numFmtId="3" fontId="11" fillId="35" borderId="23" xfId="72" applyNumberFormat="1" applyFont="1" applyFill="1" applyBorder="1" applyAlignment="1">
      <alignment vertical="center"/>
      <protection/>
    </xf>
    <xf numFmtId="49" fontId="29" fillId="35" borderId="30" xfId="72" applyNumberFormat="1" applyFont="1" applyFill="1" applyBorder="1" applyAlignment="1">
      <alignment horizontal="center" vertical="center"/>
      <protection/>
    </xf>
    <xf numFmtId="3" fontId="11" fillId="35" borderId="30" xfId="72" applyNumberFormat="1" applyFont="1" applyFill="1" applyBorder="1" applyAlignment="1">
      <alignment vertical="center"/>
      <protection/>
    </xf>
    <xf numFmtId="3" fontId="11" fillId="35" borderId="31" xfId="72" applyNumberFormat="1" applyFont="1" applyFill="1" applyBorder="1" applyAlignment="1">
      <alignment vertical="center"/>
      <protection/>
    </xf>
    <xf numFmtId="3" fontId="11" fillId="35" borderId="32" xfId="72" applyNumberFormat="1" applyFont="1" applyFill="1" applyBorder="1" applyAlignment="1">
      <alignment vertical="center"/>
      <protection/>
    </xf>
    <xf numFmtId="49" fontId="29" fillId="0" borderId="0" xfId="72" applyNumberFormat="1" applyFont="1" applyFill="1" applyBorder="1" applyAlignment="1">
      <alignment horizontal="center" vertical="center"/>
      <protection/>
    </xf>
    <xf numFmtId="3" fontId="11" fillId="0" borderId="0" xfId="72" applyNumberFormat="1" applyFont="1" applyFill="1" applyBorder="1" applyAlignment="1">
      <alignment vertical="center"/>
      <protection/>
    </xf>
    <xf numFmtId="49" fontId="8" fillId="0" borderId="0" xfId="72" applyNumberFormat="1" applyFont="1" applyFill="1" applyBorder="1" applyAlignment="1">
      <alignment horizontal="right" vertical="center"/>
      <protection/>
    </xf>
    <xf numFmtId="49" fontId="8" fillId="0" borderId="0" xfId="72" applyNumberFormat="1" applyFont="1" applyFill="1" applyBorder="1" applyAlignment="1">
      <alignment horizontal="left" vertical="center"/>
      <protection/>
    </xf>
    <xf numFmtId="49" fontId="8" fillId="0" borderId="0" xfId="72" applyNumberFormat="1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vertical="center"/>
      <protection/>
    </xf>
    <xf numFmtId="49" fontId="9" fillId="0" borderId="0" xfId="72" applyNumberFormat="1" applyFont="1" applyAlignment="1">
      <alignment horizontal="center" vertical="center"/>
      <protection/>
    </xf>
    <xf numFmtId="49" fontId="8" fillId="0" borderId="0" xfId="72" applyNumberFormat="1" applyFont="1" applyAlignment="1">
      <alignment horizontal="center" vertical="center" wrapText="1"/>
      <protection/>
    </xf>
    <xf numFmtId="0" fontId="9" fillId="37" borderId="0" xfId="72" applyFont="1" applyFill="1" applyAlignment="1">
      <alignment vertical="center"/>
      <protection/>
    </xf>
    <xf numFmtId="49" fontId="1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99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vertical="top" wrapText="1"/>
    </xf>
    <xf numFmtId="3" fontId="99" fillId="0" borderId="10" xfId="0" applyNumberFormat="1" applyFont="1" applyBorder="1" applyAlignment="1">
      <alignment vertical="top"/>
    </xf>
    <xf numFmtId="49" fontId="99" fillId="0" borderId="17" xfId="0" applyNumberFormat="1" applyFont="1" applyBorder="1" applyAlignment="1">
      <alignment horizontal="center" vertical="top"/>
    </xf>
    <xf numFmtId="0" fontId="99" fillId="0" borderId="17" xfId="0" applyFont="1" applyBorder="1" applyAlignment="1">
      <alignment vertical="top" wrapText="1"/>
    </xf>
    <xf numFmtId="3" fontId="99" fillId="0" borderId="17" xfId="0" applyNumberFormat="1" applyFont="1" applyBorder="1" applyAlignment="1">
      <alignment vertical="top"/>
    </xf>
    <xf numFmtId="49" fontId="98" fillId="0" borderId="17" xfId="0" applyNumberFormat="1" applyFont="1" applyBorder="1" applyAlignment="1">
      <alignment horizontal="center" vertical="top"/>
    </xf>
    <xf numFmtId="0" fontId="98" fillId="0" borderId="17" xfId="0" applyFont="1" applyBorder="1" applyAlignment="1">
      <alignment vertical="top" wrapText="1"/>
    </xf>
    <xf numFmtId="3" fontId="98" fillId="0" borderId="17" xfId="0" applyNumberFormat="1" applyFont="1" applyBorder="1" applyAlignment="1">
      <alignment vertical="top"/>
    </xf>
    <xf numFmtId="49" fontId="99" fillId="0" borderId="10" xfId="0" applyNumberFormat="1" applyFont="1" applyBorder="1" applyAlignment="1">
      <alignment horizontal="center" vertical="top"/>
    </xf>
    <xf numFmtId="49" fontId="98" fillId="0" borderId="13" xfId="0" applyNumberFormat="1" applyFont="1" applyBorder="1" applyAlignment="1">
      <alignment horizontal="center" vertical="top"/>
    </xf>
    <xf numFmtId="0" fontId="98" fillId="0" borderId="13" xfId="0" applyFont="1" applyBorder="1" applyAlignment="1">
      <alignment vertical="top" wrapText="1"/>
    </xf>
    <xf numFmtId="3" fontId="98" fillId="0" borderId="13" xfId="0" applyNumberFormat="1" applyFont="1" applyBorder="1" applyAlignment="1">
      <alignment vertical="top"/>
    </xf>
    <xf numFmtId="49" fontId="98" fillId="0" borderId="11" xfId="0" applyNumberFormat="1" applyFont="1" applyBorder="1" applyAlignment="1">
      <alignment horizontal="center" vertical="top"/>
    </xf>
    <xf numFmtId="0" fontId="98" fillId="0" borderId="11" xfId="0" applyFont="1" applyBorder="1" applyAlignment="1">
      <alignment vertical="top" wrapText="1"/>
    </xf>
    <xf numFmtId="3" fontId="98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49" fontId="98" fillId="0" borderId="10" xfId="0" applyNumberFormat="1" applyFont="1" applyBorder="1" applyAlignment="1">
      <alignment horizontal="center" vertical="top"/>
    </xf>
    <xf numFmtId="0" fontId="98" fillId="0" borderId="10" xfId="0" applyFont="1" applyBorder="1" applyAlignment="1">
      <alignment vertical="top" wrapText="1"/>
    </xf>
    <xf numFmtId="3" fontId="98" fillId="0" borderId="10" xfId="0" applyNumberFormat="1" applyFont="1" applyBorder="1" applyAlignment="1">
      <alignment vertical="top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49" fontId="98" fillId="0" borderId="11" xfId="56" applyNumberFormat="1" applyFont="1" applyBorder="1" applyAlignment="1">
      <alignment horizontal="center" vertical="top" wrapText="1"/>
      <protection/>
    </xf>
    <xf numFmtId="49" fontId="98" fillId="0" borderId="12" xfId="56" applyNumberFormat="1" applyFont="1" applyBorder="1" applyAlignment="1">
      <alignment horizontal="center" vertical="top" wrapText="1"/>
      <protection/>
    </xf>
    <xf numFmtId="0" fontId="98" fillId="0" borderId="11" xfId="56" applyFont="1" applyBorder="1" applyAlignment="1">
      <alignment vertical="top" wrapText="1"/>
      <protection/>
    </xf>
    <xf numFmtId="3" fontId="98" fillId="0" borderId="12" xfId="56" applyNumberFormat="1" applyFont="1" applyBorder="1" applyAlignment="1">
      <alignment vertical="top" wrapText="1"/>
      <protection/>
    </xf>
    <xf numFmtId="3" fontId="98" fillId="0" borderId="11" xfId="56" applyNumberFormat="1" applyFont="1" applyBorder="1" applyAlignment="1">
      <alignment vertical="top" wrapText="1"/>
      <protection/>
    </xf>
    <xf numFmtId="49" fontId="99" fillId="0" borderId="11" xfId="56" applyNumberFormat="1" applyFont="1" applyBorder="1" applyAlignment="1">
      <alignment horizontal="center" vertical="top" wrapText="1"/>
      <protection/>
    </xf>
    <xf numFmtId="49" fontId="99" fillId="0" borderId="12" xfId="56" applyNumberFormat="1" applyFont="1" applyBorder="1" applyAlignment="1">
      <alignment horizontal="center" vertical="top" wrapText="1"/>
      <protection/>
    </xf>
    <xf numFmtId="0" fontId="99" fillId="0" borderId="11" xfId="56" applyFont="1" applyBorder="1" applyAlignment="1">
      <alignment vertical="top" wrapText="1"/>
      <protection/>
    </xf>
    <xf numFmtId="3" fontId="99" fillId="0" borderId="12" xfId="56" applyNumberFormat="1" applyFont="1" applyBorder="1" applyAlignment="1">
      <alignment vertical="top" wrapText="1"/>
      <protection/>
    </xf>
    <xf numFmtId="3" fontId="99" fillId="0" borderId="11" xfId="56" applyNumberFormat="1" applyFont="1" applyBorder="1" applyAlignment="1">
      <alignment vertical="top" wrapText="1"/>
      <protection/>
    </xf>
    <xf numFmtId="49" fontId="98" fillId="0" borderId="10" xfId="56" applyNumberFormat="1" applyFont="1" applyBorder="1" applyAlignment="1">
      <alignment horizontal="center" vertical="top" wrapText="1"/>
      <protection/>
    </xf>
    <xf numFmtId="49" fontId="98" fillId="0" borderId="15" xfId="56" applyNumberFormat="1" applyFont="1" applyBorder="1" applyAlignment="1">
      <alignment horizontal="center" vertical="top" wrapText="1"/>
      <protection/>
    </xf>
    <xf numFmtId="0" fontId="98" fillId="0" borderId="10" xfId="56" applyFont="1" applyBorder="1" applyAlignment="1">
      <alignment vertical="top" wrapText="1"/>
      <protection/>
    </xf>
    <xf numFmtId="3" fontId="98" fillId="0" borderId="15" xfId="56" applyNumberFormat="1" applyFont="1" applyBorder="1" applyAlignment="1">
      <alignment vertical="top" wrapText="1"/>
      <protection/>
    </xf>
    <xf numFmtId="3" fontId="98" fillId="0" borderId="10" xfId="56" applyNumberFormat="1" applyFont="1" applyBorder="1" applyAlignment="1">
      <alignment vertical="top" wrapText="1"/>
      <protection/>
    </xf>
    <xf numFmtId="0" fontId="16" fillId="0" borderId="0" xfId="77" applyFont="1" applyAlignment="1">
      <alignment wrapText="1"/>
      <protection/>
    </xf>
    <xf numFmtId="0" fontId="16" fillId="0" borderId="0" xfId="77" applyFont="1" applyAlignment="1">
      <alignment horizontal="left" wrapText="1"/>
      <protection/>
    </xf>
    <xf numFmtId="0" fontId="16" fillId="0" borderId="0" xfId="73" applyFont="1" applyAlignment="1">
      <alignment horizontal="left" vertical="center" wrapText="1"/>
      <protection/>
    </xf>
    <xf numFmtId="0" fontId="22" fillId="0" borderId="0" xfId="77" applyFont="1" applyAlignment="1">
      <alignment horizontal="center" wrapText="1"/>
      <protection/>
    </xf>
    <xf numFmtId="0" fontId="16" fillId="0" borderId="0" xfId="73" applyFont="1" applyAlignment="1">
      <alignment horizontal="left" vertical="center" wrapText="1"/>
      <protection/>
    </xf>
    <xf numFmtId="0" fontId="16" fillId="0" borderId="0" xfId="73" applyFont="1" applyAlignment="1">
      <alignment wrapText="1"/>
      <protection/>
    </xf>
    <xf numFmtId="0" fontId="16" fillId="0" borderId="0" xfId="73" applyFont="1" applyFill="1" applyAlignment="1">
      <alignment wrapText="1"/>
      <protection/>
    </xf>
    <xf numFmtId="0" fontId="17" fillId="0" borderId="0" xfId="77" applyFont="1" applyAlignment="1">
      <alignment wrapText="1"/>
      <protection/>
    </xf>
    <xf numFmtId="0" fontId="17" fillId="0" borderId="0" xfId="77" applyFont="1" applyAlignment="1">
      <alignment horizontal="center" vertical="center" wrapText="1"/>
      <protection/>
    </xf>
    <xf numFmtId="0" fontId="18" fillId="0" borderId="49" xfId="77" applyFont="1" applyBorder="1" applyAlignment="1">
      <alignment horizontal="center" vertical="center" wrapText="1"/>
      <protection/>
    </xf>
    <xf numFmtId="0" fontId="18" fillId="0" borderId="50" xfId="77" applyFont="1" applyBorder="1" applyAlignment="1">
      <alignment horizontal="center" vertical="center" wrapText="1"/>
      <protection/>
    </xf>
    <xf numFmtId="0" fontId="18" fillId="0" borderId="51" xfId="77" applyFont="1" applyBorder="1" applyAlignment="1">
      <alignment horizontal="center" vertical="center" wrapText="1"/>
      <protection/>
    </xf>
    <xf numFmtId="0" fontId="18" fillId="0" borderId="52" xfId="77" applyFont="1" applyFill="1" applyBorder="1" applyAlignment="1">
      <alignment horizontal="center" vertical="center" wrapText="1"/>
      <protection/>
    </xf>
    <xf numFmtId="0" fontId="18" fillId="0" borderId="53" xfId="77" applyFont="1" applyBorder="1" applyAlignment="1">
      <alignment horizontal="center" vertical="center" wrapText="1"/>
      <protection/>
    </xf>
    <xf numFmtId="0" fontId="18" fillId="0" borderId="54" xfId="77" applyFont="1" applyBorder="1" applyAlignment="1">
      <alignment horizontal="center" vertical="center" wrapText="1"/>
      <protection/>
    </xf>
    <xf numFmtId="0" fontId="18" fillId="0" borderId="0" xfId="77" applyFont="1" applyAlignment="1">
      <alignment wrapText="1"/>
      <protection/>
    </xf>
    <xf numFmtId="0" fontId="18" fillId="0" borderId="55" xfId="77" applyFont="1" applyBorder="1" applyAlignment="1">
      <alignment wrapText="1"/>
      <protection/>
    </xf>
    <xf numFmtId="0" fontId="18" fillId="0" borderId="56" xfId="77" applyFont="1" applyBorder="1" applyAlignment="1">
      <alignment wrapText="1"/>
      <protection/>
    </xf>
    <xf numFmtId="0" fontId="18" fillId="0" borderId="52" xfId="77" applyFont="1" applyFill="1" applyBorder="1" applyAlignment="1">
      <alignment wrapText="1"/>
      <protection/>
    </xf>
    <xf numFmtId="0" fontId="18" fillId="0" borderId="54" xfId="77" applyFont="1" applyBorder="1" applyAlignment="1">
      <alignment wrapText="1"/>
      <protection/>
    </xf>
    <xf numFmtId="0" fontId="30" fillId="0" borderId="49" xfId="77" applyFont="1" applyBorder="1" applyAlignment="1">
      <alignment horizontal="center" vertical="center" wrapText="1"/>
      <protection/>
    </xf>
    <xf numFmtId="0" fontId="30" fillId="0" borderId="50" xfId="77" applyFont="1" applyBorder="1" applyAlignment="1">
      <alignment horizontal="center" vertical="center" wrapText="1"/>
      <protection/>
    </xf>
    <xf numFmtId="0" fontId="30" fillId="0" borderId="51" xfId="77" applyFont="1" applyBorder="1" applyAlignment="1">
      <alignment vertical="center" wrapText="1"/>
      <protection/>
    </xf>
    <xf numFmtId="3" fontId="30" fillId="0" borderId="52" xfId="77" applyNumberFormat="1" applyFont="1" applyFill="1" applyBorder="1" applyAlignment="1">
      <alignment vertical="center" wrapText="1"/>
      <protection/>
    </xf>
    <xf numFmtId="3" fontId="30" fillId="0" borderId="54" xfId="77" applyNumberFormat="1" applyFont="1" applyFill="1" applyBorder="1" applyAlignment="1">
      <alignment vertical="center" wrapText="1"/>
      <protection/>
    </xf>
    <xf numFmtId="0" fontId="30" fillId="0" borderId="0" xfId="77" applyFont="1" applyAlignment="1">
      <alignment wrapText="1"/>
      <protection/>
    </xf>
    <xf numFmtId="0" fontId="31" fillId="0" borderId="49" xfId="77" applyFont="1" applyBorder="1" applyAlignment="1">
      <alignment horizontal="center" vertical="center" wrapText="1"/>
      <protection/>
    </xf>
    <xf numFmtId="0" fontId="31" fillId="0" borderId="50" xfId="77" applyFont="1" applyBorder="1" applyAlignment="1">
      <alignment horizontal="center" vertical="center" wrapText="1"/>
      <protection/>
    </xf>
    <xf numFmtId="0" fontId="31" fillId="0" borderId="51" xfId="77" applyFont="1" applyBorder="1" applyAlignment="1">
      <alignment vertical="center" wrapText="1"/>
      <protection/>
    </xf>
    <xf numFmtId="3" fontId="31" fillId="0" borderId="52" xfId="77" applyNumberFormat="1" applyFont="1" applyFill="1" applyBorder="1" applyAlignment="1">
      <alignment vertical="center" wrapText="1"/>
      <protection/>
    </xf>
    <xf numFmtId="3" fontId="31" fillId="0" borderId="54" xfId="77" applyNumberFormat="1" applyFont="1" applyFill="1" applyBorder="1" applyAlignment="1">
      <alignment vertical="center" wrapText="1"/>
      <protection/>
    </xf>
    <xf numFmtId="0" fontId="31" fillId="0" borderId="0" xfId="77" applyFont="1" applyAlignment="1">
      <alignment wrapText="1"/>
      <protection/>
    </xf>
    <xf numFmtId="0" fontId="16" fillId="0" borderId="57" xfId="77" applyFont="1" applyBorder="1" applyAlignment="1">
      <alignment horizontal="center" vertical="center" wrapText="1"/>
      <protection/>
    </xf>
    <xf numFmtId="0" fontId="16" fillId="0" borderId="47" xfId="77" applyFont="1" applyBorder="1" applyAlignment="1">
      <alignment horizontal="center" vertical="center" wrapText="1"/>
      <protection/>
    </xf>
    <xf numFmtId="0" fontId="16" fillId="0" borderId="46" xfId="77" applyFont="1" applyBorder="1" applyAlignment="1">
      <alignment vertical="center" wrapText="1"/>
      <protection/>
    </xf>
    <xf numFmtId="3" fontId="16" fillId="0" borderId="58" xfId="77" applyNumberFormat="1" applyFont="1" applyFill="1" applyBorder="1" applyAlignment="1">
      <alignment vertical="center" wrapText="1"/>
      <protection/>
    </xf>
    <xf numFmtId="3" fontId="16" fillId="0" borderId="25" xfId="77" applyNumberFormat="1" applyFont="1" applyBorder="1" applyAlignment="1">
      <alignment vertical="center" wrapText="1"/>
      <protection/>
    </xf>
    <xf numFmtId="0" fontId="16" fillId="0" borderId="0" xfId="77" applyFont="1" applyAlignment="1">
      <alignment vertical="top" wrapText="1"/>
      <protection/>
    </xf>
    <xf numFmtId="0" fontId="18" fillId="0" borderId="21" xfId="77" applyFont="1" applyBorder="1" applyAlignment="1">
      <alignment horizontal="center" vertical="center" wrapText="1"/>
      <protection/>
    </xf>
    <xf numFmtId="0" fontId="18" fillId="0" borderId="16" xfId="77" applyFont="1" applyBorder="1" applyAlignment="1">
      <alignment horizontal="center" vertical="center" wrapText="1"/>
      <protection/>
    </xf>
    <xf numFmtId="0" fontId="18" fillId="0" borderId="22" xfId="77" applyFont="1" applyBorder="1" applyAlignment="1">
      <alignment vertical="center" wrapText="1"/>
      <protection/>
    </xf>
    <xf numFmtId="3" fontId="18" fillId="0" borderId="58" xfId="77" applyNumberFormat="1" applyFont="1" applyFill="1" applyBorder="1" applyAlignment="1">
      <alignment vertical="center" wrapText="1"/>
      <protection/>
    </xf>
    <xf numFmtId="3" fontId="18" fillId="0" borderId="25" xfId="77" applyNumberFormat="1" applyFont="1" applyBorder="1" applyAlignment="1">
      <alignment vertical="center" wrapText="1"/>
      <protection/>
    </xf>
    <xf numFmtId="0" fontId="18" fillId="0" borderId="59" xfId="77" applyFont="1" applyBorder="1" applyAlignment="1">
      <alignment horizontal="center" vertical="center" wrapText="1"/>
      <protection/>
    </xf>
    <xf numFmtId="0" fontId="18" fillId="0" borderId="37" xfId="77" applyFont="1" applyBorder="1" applyAlignment="1">
      <alignment horizontal="center" vertical="center" wrapText="1"/>
      <protection/>
    </xf>
    <xf numFmtId="0" fontId="18" fillId="0" borderId="20" xfId="77" applyFont="1" applyFill="1" applyBorder="1" applyAlignment="1">
      <alignment vertical="center" wrapText="1"/>
      <protection/>
    </xf>
    <xf numFmtId="3" fontId="18" fillId="0" borderId="60" xfId="77" applyNumberFormat="1" applyFont="1" applyFill="1" applyBorder="1" applyAlignment="1">
      <alignment vertical="center" wrapText="1"/>
      <protection/>
    </xf>
    <xf numFmtId="3" fontId="18" fillId="0" borderId="25" xfId="77" applyNumberFormat="1" applyFont="1" applyFill="1" applyBorder="1" applyAlignment="1">
      <alignment vertical="center" wrapText="1"/>
      <protection/>
    </xf>
    <xf numFmtId="3" fontId="16" fillId="0" borderId="32" xfId="77" applyNumberFormat="1" applyFont="1" applyBorder="1" applyAlignment="1">
      <alignment vertical="center" wrapText="1"/>
      <protection/>
    </xf>
    <xf numFmtId="0" fontId="32" fillId="0" borderId="49" xfId="77" applyFont="1" applyBorder="1" applyAlignment="1">
      <alignment horizontal="center" vertical="center" wrapText="1"/>
      <protection/>
    </xf>
    <xf numFmtId="0" fontId="32" fillId="0" borderId="56" xfId="77" applyFont="1" applyBorder="1" applyAlignment="1">
      <alignment horizontal="center" vertical="center" wrapText="1"/>
      <protection/>
    </xf>
    <xf numFmtId="0" fontId="32" fillId="0" borderId="56" xfId="77" applyFont="1" applyBorder="1" applyAlignment="1">
      <alignment vertical="center" wrapText="1"/>
      <protection/>
    </xf>
    <xf numFmtId="3" fontId="30" fillId="0" borderId="52" xfId="77" applyNumberFormat="1" applyFont="1" applyFill="1" applyBorder="1" applyAlignment="1">
      <alignment vertical="center" wrapText="1"/>
      <protection/>
    </xf>
    <xf numFmtId="3" fontId="30" fillId="0" borderId="54" xfId="77" applyNumberFormat="1" applyFont="1" applyBorder="1" applyAlignment="1">
      <alignment vertical="center" wrapText="1"/>
      <protection/>
    </xf>
    <xf numFmtId="0" fontId="32" fillId="0" borderId="0" xfId="77" applyFont="1" applyAlignment="1">
      <alignment wrapText="1"/>
      <protection/>
    </xf>
    <xf numFmtId="0" fontId="16" fillId="0" borderId="55" xfId="77" applyFont="1" applyBorder="1" applyAlignment="1">
      <alignment horizontal="center" vertical="center" wrapText="1"/>
      <protection/>
    </xf>
    <xf numFmtId="0" fontId="16" fillId="0" borderId="56" xfId="77" applyFont="1" applyBorder="1" applyAlignment="1">
      <alignment horizontal="center" vertical="center" wrapText="1"/>
      <protection/>
    </xf>
    <xf numFmtId="0" fontId="16" fillId="0" borderId="56" xfId="77" applyFont="1" applyBorder="1" applyAlignment="1">
      <alignment vertical="center" wrapText="1"/>
      <protection/>
    </xf>
    <xf numFmtId="3" fontId="18" fillId="0" borderId="52" xfId="77" applyNumberFormat="1" applyFont="1" applyFill="1" applyBorder="1" applyAlignment="1">
      <alignment vertical="center" wrapText="1"/>
      <protection/>
    </xf>
    <xf numFmtId="3" fontId="18" fillId="0" borderId="54" xfId="77" applyNumberFormat="1" applyFont="1" applyBorder="1" applyAlignment="1">
      <alignment vertical="center" wrapText="1"/>
      <protection/>
    </xf>
    <xf numFmtId="0" fontId="30" fillId="0" borderId="49" xfId="77" applyFont="1" applyBorder="1" applyAlignment="1">
      <alignment horizontal="center" vertical="center" wrapText="1"/>
      <protection/>
    </xf>
    <xf numFmtId="0" fontId="30" fillId="0" borderId="50" xfId="77" applyFont="1" applyBorder="1" applyAlignment="1">
      <alignment horizontal="center" vertical="center" wrapText="1"/>
      <protection/>
    </xf>
    <xf numFmtId="0" fontId="30" fillId="0" borderId="51" xfId="77" applyFont="1" applyBorder="1" applyAlignment="1">
      <alignment vertical="center" wrapText="1"/>
      <protection/>
    </xf>
    <xf numFmtId="3" fontId="30" fillId="0" borderId="61" xfId="77" applyNumberFormat="1" applyFont="1" applyFill="1" applyBorder="1" applyAlignment="1">
      <alignment vertical="center" wrapText="1"/>
      <protection/>
    </xf>
    <xf numFmtId="3" fontId="30" fillId="0" borderId="36" xfId="77" applyNumberFormat="1" applyFont="1" applyFill="1" applyBorder="1" applyAlignment="1">
      <alignment vertical="center" wrapText="1"/>
      <protection/>
    </xf>
    <xf numFmtId="0" fontId="30" fillId="0" borderId="0" xfId="77" applyFont="1" applyAlignment="1">
      <alignment wrapText="1"/>
      <protection/>
    </xf>
    <xf numFmtId="0" fontId="33" fillId="0" borderId="49" xfId="77" applyFont="1" applyBorder="1" applyAlignment="1">
      <alignment horizontal="center" vertical="center" wrapText="1"/>
      <protection/>
    </xf>
    <xf numFmtId="0" fontId="33" fillId="0" borderId="50" xfId="77" applyFont="1" applyBorder="1" applyAlignment="1">
      <alignment horizontal="center" vertical="center" wrapText="1"/>
      <protection/>
    </xf>
    <xf numFmtId="0" fontId="33" fillId="0" borderId="51" xfId="77" applyFont="1" applyBorder="1" applyAlignment="1">
      <alignment vertical="center" wrapText="1"/>
      <protection/>
    </xf>
    <xf numFmtId="3" fontId="33" fillId="0" borderId="52" xfId="77" applyNumberFormat="1" applyFont="1" applyFill="1" applyBorder="1" applyAlignment="1">
      <alignment vertical="center" wrapText="1"/>
      <protection/>
    </xf>
    <xf numFmtId="3" fontId="33" fillId="0" borderId="54" xfId="77" applyNumberFormat="1" applyFont="1" applyFill="1" applyBorder="1" applyAlignment="1">
      <alignment vertical="center" wrapText="1"/>
      <protection/>
    </xf>
    <xf numFmtId="0" fontId="33" fillId="0" borderId="0" xfId="77" applyFont="1" applyAlignment="1">
      <alignment wrapText="1"/>
      <protection/>
    </xf>
    <xf numFmtId="3" fontId="30" fillId="0" borderId="54" xfId="77" applyNumberFormat="1" applyFont="1" applyBorder="1" applyAlignment="1">
      <alignment vertical="center" wrapText="1"/>
      <protection/>
    </xf>
    <xf numFmtId="0" fontId="16" fillId="0" borderId="59" xfId="77" applyFont="1" applyBorder="1" applyAlignment="1">
      <alignment horizontal="center" vertical="center" wrapText="1"/>
      <protection/>
    </xf>
    <xf numFmtId="0" fontId="16" fillId="0" borderId="37" xfId="77" applyFont="1" applyBorder="1" applyAlignment="1">
      <alignment horizontal="center" vertical="center" wrapText="1"/>
      <protection/>
    </xf>
    <xf numFmtId="0" fontId="16" fillId="0" borderId="20" xfId="77" applyFont="1" applyBorder="1" applyAlignment="1">
      <alignment vertical="center" wrapText="1"/>
      <protection/>
    </xf>
    <xf numFmtId="3" fontId="16" fillId="0" borderId="60" xfId="77" applyNumberFormat="1" applyFont="1" applyFill="1" applyBorder="1" applyAlignment="1">
      <alignment vertical="center" wrapText="1"/>
      <protection/>
    </xf>
    <xf numFmtId="3" fontId="16" fillId="0" borderId="23" xfId="77" applyNumberFormat="1" applyFont="1" applyBorder="1" applyAlignment="1">
      <alignment vertical="center" wrapText="1"/>
      <protection/>
    </xf>
    <xf numFmtId="0" fontId="32" fillId="0" borderId="55" xfId="77" applyFont="1" applyBorder="1" applyAlignment="1">
      <alignment horizontal="center" vertical="center" wrapText="1"/>
      <protection/>
    </xf>
    <xf numFmtId="0" fontId="30" fillId="0" borderId="55" xfId="77" applyFont="1" applyBorder="1" applyAlignment="1">
      <alignment horizontal="center" vertical="center" wrapText="1"/>
      <protection/>
    </xf>
    <xf numFmtId="0" fontId="30" fillId="0" borderId="56" xfId="77" applyFont="1" applyBorder="1" applyAlignment="1">
      <alignment horizontal="center" vertical="center" wrapText="1"/>
      <protection/>
    </xf>
    <xf numFmtId="0" fontId="30" fillId="0" borderId="56" xfId="77" applyFont="1" applyBorder="1" applyAlignment="1">
      <alignment vertical="center" wrapText="1"/>
      <protection/>
    </xf>
    <xf numFmtId="3" fontId="18" fillId="0" borderId="61" xfId="77" applyNumberFormat="1" applyFont="1" applyFill="1" applyBorder="1" applyAlignment="1">
      <alignment vertical="center" wrapText="1"/>
      <protection/>
    </xf>
    <xf numFmtId="3" fontId="18" fillId="0" borderId="36" xfId="77" applyNumberFormat="1" applyFont="1" applyBorder="1" applyAlignment="1">
      <alignment vertical="center" wrapText="1"/>
      <protection/>
    </xf>
    <xf numFmtId="3" fontId="30" fillId="0" borderId="52" xfId="77" applyNumberFormat="1" applyFont="1" applyBorder="1" applyAlignment="1">
      <alignment vertical="center" wrapText="1"/>
      <protection/>
    </xf>
    <xf numFmtId="0" fontId="16" fillId="0" borderId="62" xfId="77" applyFont="1" applyBorder="1" applyAlignment="1">
      <alignment horizontal="center" vertical="center" wrapText="1"/>
      <protection/>
    </xf>
    <xf numFmtId="0" fontId="16" fillId="0" borderId="26" xfId="77" applyFont="1" applyBorder="1" applyAlignment="1">
      <alignment horizontal="center" vertical="center" wrapText="1"/>
      <protection/>
    </xf>
    <xf numFmtId="0" fontId="16" fillId="0" borderId="28" xfId="77" applyFont="1" applyBorder="1" applyAlignment="1">
      <alignment vertical="center" wrapText="1"/>
      <protection/>
    </xf>
    <xf numFmtId="3" fontId="18" fillId="0" borderId="63" xfId="77" applyNumberFormat="1" applyFont="1" applyFill="1" applyBorder="1" applyAlignment="1">
      <alignment vertical="center" wrapText="1"/>
      <protection/>
    </xf>
    <xf numFmtId="3" fontId="18" fillId="0" borderId="29" xfId="77" applyNumberFormat="1" applyFont="1" applyBorder="1" applyAlignment="1">
      <alignment vertical="center" wrapText="1"/>
      <protection/>
    </xf>
    <xf numFmtId="0" fontId="16" fillId="0" borderId="64" xfId="77" applyFont="1" applyBorder="1" applyAlignment="1">
      <alignment horizontal="center" vertical="center" wrapText="1"/>
      <protection/>
    </xf>
    <xf numFmtId="0" fontId="16" fillId="0" borderId="65" xfId="77" applyFont="1" applyBorder="1" applyAlignment="1">
      <alignment horizontal="center" vertical="center" wrapText="1"/>
      <protection/>
    </xf>
    <xf numFmtId="0" fontId="16" fillId="0" borderId="19" xfId="77" applyFont="1" applyBorder="1" applyAlignment="1">
      <alignment vertical="center" wrapText="1"/>
      <protection/>
    </xf>
    <xf numFmtId="3" fontId="18" fillId="0" borderId="66" xfId="77" applyNumberFormat="1" applyFont="1" applyFill="1" applyBorder="1" applyAlignment="1">
      <alignment vertical="center" wrapText="1"/>
      <protection/>
    </xf>
    <xf numFmtId="3" fontId="18" fillId="0" borderId="67" xfId="77" applyNumberFormat="1" applyFont="1" applyBorder="1" applyAlignment="1">
      <alignment vertical="center" wrapText="1"/>
      <protection/>
    </xf>
    <xf numFmtId="0" fontId="16" fillId="0" borderId="68" xfId="77" applyFont="1" applyBorder="1" applyAlignment="1">
      <alignment horizontal="center" vertical="center" wrapText="1"/>
      <protection/>
    </xf>
    <xf numFmtId="0" fontId="16" fillId="0" borderId="30" xfId="77" applyFont="1" applyBorder="1" applyAlignment="1">
      <alignment horizontal="center" vertical="center" wrapText="1"/>
      <protection/>
    </xf>
    <xf numFmtId="0" fontId="16" fillId="0" borderId="45" xfId="77" applyFont="1" applyBorder="1" applyAlignment="1">
      <alignment horizontal="center" vertical="center" wrapText="1"/>
      <protection/>
    </xf>
    <xf numFmtId="0" fontId="16" fillId="0" borderId="0" xfId="77" applyFont="1" applyBorder="1" applyAlignment="1">
      <alignment horizontal="center" vertical="center" wrapText="1"/>
      <protection/>
    </xf>
    <xf numFmtId="0" fontId="16" fillId="0" borderId="34" xfId="77" applyFont="1" applyBorder="1" applyAlignment="1">
      <alignment vertical="center" wrapText="1"/>
      <protection/>
    </xf>
    <xf numFmtId="3" fontId="18" fillId="0" borderId="69" xfId="77" applyNumberFormat="1" applyFont="1" applyFill="1" applyBorder="1" applyAlignment="1">
      <alignment vertical="center" wrapText="1"/>
      <protection/>
    </xf>
    <xf numFmtId="3" fontId="18" fillId="0" borderId="70" xfId="77" applyNumberFormat="1" applyFont="1" applyBorder="1" applyAlignment="1">
      <alignment vertical="center" wrapText="1"/>
      <protection/>
    </xf>
    <xf numFmtId="0" fontId="16" fillId="0" borderId="33" xfId="77" applyFont="1" applyBorder="1" applyAlignment="1">
      <alignment wrapText="1"/>
      <protection/>
    </xf>
    <xf numFmtId="0" fontId="16" fillId="0" borderId="34" xfId="77" applyFont="1" applyBorder="1" applyAlignment="1">
      <alignment wrapText="1"/>
      <protection/>
    </xf>
    <xf numFmtId="0" fontId="16" fillId="0" borderId="70" xfId="77" applyFont="1" applyBorder="1" applyAlignment="1">
      <alignment wrapText="1"/>
      <protection/>
    </xf>
    <xf numFmtId="3" fontId="16" fillId="0" borderId="69" xfId="77" applyNumberFormat="1" applyFont="1" applyFill="1" applyBorder="1" applyAlignment="1">
      <alignment wrapText="1"/>
      <protection/>
    </xf>
    <xf numFmtId="3" fontId="16" fillId="0" borderId="70" xfId="77" applyNumberFormat="1" applyFont="1" applyBorder="1" applyAlignment="1">
      <alignment wrapText="1"/>
      <protection/>
    </xf>
    <xf numFmtId="3" fontId="32" fillId="0" borderId="61" xfId="77" applyNumberFormat="1" applyFont="1" applyFill="1" applyBorder="1" applyAlignment="1">
      <alignment wrapText="1"/>
      <protection/>
    </xf>
    <xf numFmtId="3" fontId="32" fillId="0" borderId="71" xfId="77" applyNumberFormat="1" applyFont="1" applyBorder="1" applyAlignment="1">
      <alignment wrapText="1"/>
      <protection/>
    </xf>
    <xf numFmtId="3" fontId="16" fillId="0" borderId="61" xfId="77" applyNumberFormat="1" applyFont="1" applyFill="1" applyBorder="1" applyAlignment="1">
      <alignment wrapText="1"/>
      <protection/>
    </xf>
    <xf numFmtId="3" fontId="16" fillId="0" borderId="71" xfId="77" applyNumberFormat="1" applyFont="1" applyBorder="1" applyAlignment="1">
      <alignment wrapText="1"/>
      <protection/>
    </xf>
    <xf numFmtId="0" fontId="32" fillId="0" borderId="40" xfId="77" applyFont="1" applyBorder="1" applyAlignment="1">
      <alignment wrapText="1"/>
      <protection/>
    </xf>
    <xf numFmtId="0" fontId="32" fillId="0" borderId="72" xfId="77" applyFont="1" applyBorder="1" applyAlignment="1">
      <alignment wrapText="1"/>
      <protection/>
    </xf>
    <xf numFmtId="0" fontId="32" fillId="0" borderId="73" xfId="77" applyFont="1" applyBorder="1" applyAlignment="1">
      <alignment wrapText="1"/>
      <protection/>
    </xf>
    <xf numFmtId="3" fontId="32" fillId="0" borderId="66" xfId="77" applyNumberFormat="1" applyFont="1" applyFill="1" applyBorder="1" applyAlignment="1">
      <alignment wrapText="1"/>
      <protection/>
    </xf>
    <xf numFmtId="3" fontId="32" fillId="0" borderId="73" xfId="77" applyNumberFormat="1" applyFont="1" applyBorder="1" applyAlignment="1">
      <alignment wrapText="1"/>
      <protection/>
    </xf>
    <xf numFmtId="0" fontId="17" fillId="0" borderId="45" xfId="77" applyFont="1" applyBorder="1" applyAlignment="1">
      <alignment wrapText="1"/>
      <protection/>
    </xf>
    <xf numFmtId="0" fontId="17" fillId="0" borderId="0" xfId="77" applyFont="1" applyBorder="1" applyAlignment="1">
      <alignment wrapText="1"/>
      <protection/>
    </xf>
    <xf numFmtId="0" fontId="17" fillId="0" borderId="71" xfId="77" applyFont="1" applyBorder="1" applyAlignment="1">
      <alignment wrapText="1"/>
      <protection/>
    </xf>
    <xf numFmtId="3" fontId="17" fillId="0" borderId="61" xfId="77" applyNumberFormat="1" applyFont="1" applyFill="1" applyBorder="1" applyAlignment="1">
      <alignment wrapText="1"/>
      <protection/>
    </xf>
    <xf numFmtId="3" fontId="17" fillId="0" borderId="71" xfId="77" applyNumberFormat="1" applyFont="1" applyBorder="1" applyAlignment="1">
      <alignment wrapText="1"/>
      <protection/>
    </xf>
    <xf numFmtId="3" fontId="16" fillId="0" borderId="66" xfId="77" applyNumberFormat="1" applyFont="1" applyFill="1" applyBorder="1" applyAlignment="1">
      <alignment wrapText="1"/>
      <protection/>
    </xf>
    <xf numFmtId="3" fontId="16" fillId="0" borderId="73" xfId="77" applyNumberFormat="1" applyFont="1" applyBorder="1" applyAlignment="1">
      <alignment wrapText="1"/>
      <protection/>
    </xf>
    <xf numFmtId="4" fontId="16" fillId="0" borderId="34" xfId="77" applyNumberFormat="1" applyFont="1" applyFill="1" applyBorder="1" applyAlignment="1">
      <alignment wrapText="1"/>
      <protection/>
    </xf>
    <xf numFmtId="4" fontId="16" fillId="0" borderId="34" xfId="77" applyNumberFormat="1" applyFont="1" applyBorder="1" applyAlignment="1">
      <alignment wrapText="1"/>
      <protection/>
    </xf>
    <xf numFmtId="0" fontId="16" fillId="0" borderId="0" xfId="77" applyFont="1" applyFill="1" applyAlignment="1">
      <alignment wrapText="1"/>
      <protection/>
    </xf>
    <xf numFmtId="0" fontId="2" fillId="0" borderId="0" xfId="71" applyFill="1" applyAlignment="1">
      <alignment horizontal="center"/>
      <protection/>
    </xf>
    <xf numFmtId="0" fontId="2" fillId="0" borderId="0" xfId="71" applyFill="1">
      <alignment/>
      <protection/>
    </xf>
    <xf numFmtId="0" fontId="36" fillId="0" borderId="0" xfId="71" applyNumberFormat="1" applyFont="1" applyFill="1" applyAlignment="1">
      <alignment wrapText="1"/>
      <protection/>
    </xf>
    <xf numFmtId="0" fontId="16" fillId="0" borderId="0" xfId="71" applyFont="1" applyFill="1">
      <alignment/>
      <protection/>
    </xf>
    <xf numFmtId="0" fontId="17" fillId="0" borderId="10" xfId="71" applyFont="1" applyFill="1" applyBorder="1" applyAlignment="1">
      <alignment horizontal="center" vertical="center" wrapText="1"/>
      <protection/>
    </xf>
    <xf numFmtId="0" fontId="40" fillId="0" borderId="10" xfId="71" applyFont="1" applyFill="1" applyBorder="1" applyAlignment="1">
      <alignment horizontal="center"/>
      <protection/>
    </xf>
    <xf numFmtId="0" fontId="40" fillId="0" borderId="0" xfId="71" applyFont="1" applyFill="1" applyAlignment="1">
      <alignment horizontal="center"/>
      <protection/>
    </xf>
    <xf numFmtId="0" fontId="24" fillId="0" borderId="0" xfId="71" applyFont="1" applyFill="1" applyBorder="1" applyAlignment="1">
      <alignment/>
      <protection/>
    </xf>
    <xf numFmtId="0" fontId="24" fillId="0" borderId="0" xfId="71" applyFont="1" applyFill="1" applyBorder="1" applyAlignment="1">
      <alignment horizontal="center"/>
      <protection/>
    </xf>
    <xf numFmtId="3" fontId="16" fillId="0" borderId="10" xfId="71" applyNumberFormat="1" applyFont="1" applyFill="1" applyBorder="1" applyAlignment="1">
      <alignment horizontal="right" vertical="center" wrapText="1"/>
      <protection/>
    </xf>
    <xf numFmtId="0" fontId="23" fillId="0" borderId="0" xfId="67" applyAlignment="1">
      <alignment vertical="center"/>
      <protection/>
    </xf>
    <xf numFmtId="3" fontId="41" fillId="0" borderId="10" xfId="67" applyNumberFormat="1" applyFont="1" applyFill="1" applyBorder="1" applyAlignment="1">
      <alignment vertical="center"/>
      <protection/>
    </xf>
    <xf numFmtId="3" fontId="42" fillId="0" borderId="10" xfId="67" applyNumberFormat="1" applyFont="1" applyFill="1" applyBorder="1" applyAlignment="1">
      <alignment vertical="center"/>
      <protection/>
    </xf>
    <xf numFmtId="3" fontId="17" fillId="0" borderId="10" xfId="71" applyNumberFormat="1" applyFont="1" applyFill="1" applyBorder="1" applyAlignment="1">
      <alignment horizontal="right" vertical="center"/>
      <protection/>
    </xf>
    <xf numFmtId="0" fontId="43" fillId="0" borderId="0" xfId="67" applyFont="1" applyAlignment="1">
      <alignment vertical="center"/>
      <protection/>
    </xf>
    <xf numFmtId="3" fontId="15" fillId="0" borderId="10" xfId="67" applyNumberFormat="1" applyFont="1" applyFill="1" applyBorder="1" applyAlignment="1">
      <alignment vertical="center"/>
      <protection/>
    </xf>
    <xf numFmtId="0" fontId="23" fillId="0" borderId="0" xfId="67">
      <alignment/>
      <protection/>
    </xf>
    <xf numFmtId="0" fontId="22" fillId="0" borderId="0" xfId="71" applyFont="1" applyFill="1" applyAlignment="1">
      <alignment horizontal="center" vertical="center"/>
      <protection/>
    </xf>
    <xf numFmtId="0" fontId="2" fillId="0" borderId="0" xfId="71" applyFill="1" applyAlignment="1">
      <alignment vertical="center"/>
      <protection/>
    </xf>
    <xf numFmtId="0" fontId="35" fillId="0" borderId="0" xfId="71" applyFont="1" applyFill="1" applyAlignment="1">
      <alignment horizontal="center" vertical="center"/>
      <protection/>
    </xf>
    <xf numFmtId="0" fontId="8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2" fillId="0" borderId="0" xfId="57" applyFill="1">
      <alignment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>
      <alignment/>
      <protection/>
    </xf>
    <xf numFmtId="0" fontId="8" fillId="0" borderId="0" xfId="69" applyFont="1" applyFill="1" applyAlignment="1">
      <alignment horizontal="center"/>
      <protection/>
    </xf>
    <xf numFmtId="0" fontId="8" fillId="0" borderId="0" xfId="69" applyFont="1" applyFill="1" applyAlignment="1">
      <alignment horizontal="center" wrapText="1"/>
      <protection/>
    </xf>
    <xf numFmtId="0" fontId="8" fillId="0" borderId="0" xfId="69" applyFont="1" applyFill="1" applyAlignment="1">
      <alignment horizontal="center" vertical="center" wrapText="1"/>
      <protection/>
    </xf>
    <xf numFmtId="0" fontId="8" fillId="0" borderId="0" xfId="69" applyFont="1" applyFill="1">
      <alignment/>
      <protection/>
    </xf>
    <xf numFmtId="0" fontId="6" fillId="0" borderId="0" xfId="69" applyFill="1">
      <alignment/>
      <protection/>
    </xf>
    <xf numFmtId="0" fontId="9" fillId="0" borderId="10" xfId="69" applyFont="1" applyFill="1" applyBorder="1" applyAlignment="1">
      <alignment horizontal="center" vertical="top" wrapText="1"/>
      <protection/>
    </xf>
    <xf numFmtId="0" fontId="6" fillId="0" borderId="0" xfId="69" applyFill="1" applyAlignment="1">
      <alignment horizontal="center" vertical="top" wrapText="1"/>
      <protection/>
    </xf>
    <xf numFmtId="0" fontId="26" fillId="0" borderId="10" xfId="69" applyFont="1" applyFill="1" applyBorder="1" applyAlignment="1">
      <alignment horizontal="center" wrapText="1"/>
      <protection/>
    </xf>
    <xf numFmtId="0" fontId="45" fillId="0" borderId="0" xfId="69" applyFont="1" applyFill="1" applyAlignment="1">
      <alignment horizontal="center"/>
      <protection/>
    </xf>
    <xf numFmtId="0" fontId="46" fillId="0" borderId="16" xfId="69" applyFont="1" applyFill="1" applyBorder="1" applyAlignment="1">
      <alignment horizontal="center" vertical="center" wrapText="1"/>
      <protection/>
    </xf>
    <xf numFmtId="3" fontId="44" fillId="0" borderId="10" xfId="69" applyNumberFormat="1" applyFont="1" applyFill="1" applyBorder="1" applyAlignment="1">
      <alignment vertical="center"/>
      <protection/>
    </xf>
    <xf numFmtId="3" fontId="44" fillId="0" borderId="10" xfId="69" applyNumberFormat="1" applyFont="1" applyBorder="1" applyAlignment="1">
      <alignment vertical="center"/>
      <protection/>
    </xf>
    <xf numFmtId="0" fontId="47" fillId="0" borderId="0" xfId="69" applyFont="1" applyFill="1" applyAlignment="1">
      <alignment vertical="center"/>
      <protection/>
    </xf>
    <xf numFmtId="0" fontId="44" fillId="0" borderId="19" xfId="69" applyFont="1" applyFill="1" applyBorder="1" applyAlignment="1">
      <alignment horizontal="left" vertical="top" wrapText="1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3" fontId="26" fillId="0" borderId="10" xfId="69" applyNumberFormat="1" applyFont="1" applyFill="1" applyBorder="1" applyAlignment="1">
      <alignment vertical="center"/>
      <protection/>
    </xf>
    <xf numFmtId="0" fontId="48" fillId="0" borderId="0" xfId="69" applyFont="1" applyFill="1" applyAlignment="1">
      <alignment vertical="center"/>
      <protection/>
    </xf>
    <xf numFmtId="0" fontId="8" fillId="0" borderId="17" xfId="69" applyFont="1" applyFill="1" applyBorder="1" applyAlignment="1">
      <alignment horizontal="left" vertical="top" wrapText="1"/>
      <protection/>
    </xf>
    <xf numFmtId="0" fontId="8" fillId="0" borderId="19" xfId="69" applyFont="1" applyFill="1" applyBorder="1" applyAlignment="1">
      <alignment horizontal="left" vertical="top" wrapText="1"/>
      <protection/>
    </xf>
    <xf numFmtId="0" fontId="10" fillId="0" borderId="16" xfId="69" applyFont="1" applyFill="1" applyBorder="1" applyAlignment="1">
      <alignment horizontal="center" vertical="center" wrapText="1"/>
      <protection/>
    </xf>
    <xf numFmtId="0" fontId="47" fillId="0" borderId="0" xfId="69" applyFont="1" applyFill="1" applyAlignment="1">
      <alignment/>
      <protection/>
    </xf>
    <xf numFmtId="0" fontId="47" fillId="0" borderId="0" xfId="69" applyFont="1" applyFill="1">
      <alignment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3" fontId="11" fillId="0" borderId="10" xfId="57" applyNumberFormat="1" applyFont="1" applyFill="1" applyBorder="1" applyAlignment="1">
      <alignment vertical="center"/>
      <protection/>
    </xf>
    <xf numFmtId="0" fontId="49" fillId="0" borderId="0" xfId="57" applyFont="1" applyFill="1" applyAlignment="1">
      <alignment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0" borderId="0" xfId="57" applyFont="1" applyFill="1">
      <alignment/>
      <protection/>
    </xf>
    <xf numFmtId="0" fontId="16" fillId="0" borderId="0" xfId="76" applyFont="1" applyFill="1" applyAlignment="1">
      <alignment vertical="center"/>
      <protection/>
    </xf>
    <xf numFmtId="3" fontId="16" fillId="0" borderId="0" xfId="76" applyNumberFormat="1" applyFont="1" applyFill="1" applyAlignment="1">
      <alignment horizontal="center" vertical="center" wrapText="1"/>
      <protection/>
    </xf>
    <xf numFmtId="3" fontId="16" fillId="0" borderId="0" xfId="76" applyNumberFormat="1" applyFont="1" applyFill="1" applyAlignment="1">
      <alignment horizontal="center" vertical="center"/>
      <protection/>
    </xf>
    <xf numFmtId="3" fontId="16" fillId="0" borderId="0" xfId="76" applyNumberFormat="1" applyFont="1" applyFill="1" applyAlignment="1">
      <alignment horizontal="left" vertical="center"/>
      <protection/>
    </xf>
    <xf numFmtId="3" fontId="44" fillId="0" borderId="0" xfId="76" applyNumberFormat="1" applyFont="1" applyFill="1" applyAlignment="1">
      <alignment horizontal="left" vertical="center"/>
      <protection/>
    </xf>
    <xf numFmtId="3" fontId="16" fillId="0" borderId="0" xfId="76" applyNumberFormat="1" applyFont="1" applyFill="1" applyAlignment="1">
      <alignment horizontal="left" vertical="center" wrapText="1"/>
      <protection/>
    </xf>
    <xf numFmtId="0" fontId="16" fillId="0" borderId="0" xfId="76" applyFont="1" applyFill="1" applyAlignment="1">
      <alignment vertical="center" wrapText="1"/>
      <protection/>
    </xf>
    <xf numFmtId="0" fontId="16" fillId="0" borderId="0" xfId="76" applyFont="1" applyFill="1" applyAlignment="1">
      <alignment horizontal="center" vertical="center"/>
      <protection/>
    </xf>
    <xf numFmtId="0" fontId="16" fillId="0" borderId="0" xfId="76" applyFont="1" applyFill="1" applyAlignment="1">
      <alignment horizontal="center" vertical="center" wrapText="1"/>
      <protection/>
    </xf>
    <xf numFmtId="0" fontId="44" fillId="0" borderId="0" xfId="76" applyFont="1" applyFill="1" applyAlignment="1">
      <alignment vertical="center" wrapText="1"/>
      <protection/>
    </xf>
    <xf numFmtId="3" fontId="30" fillId="0" borderId="15" xfId="76" applyNumberFormat="1" applyFont="1" applyFill="1" applyBorder="1" applyAlignment="1">
      <alignment horizontal="center" vertical="top" wrapText="1"/>
      <protection/>
    </xf>
    <xf numFmtId="3" fontId="30" fillId="0" borderId="16" xfId="76" applyNumberFormat="1" applyFont="1" applyFill="1" applyBorder="1" applyAlignment="1">
      <alignment horizontal="center" vertical="top" wrapText="1"/>
      <protection/>
    </xf>
    <xf numFmtId="0" fontId="17" fillId="0" borderId="0" xfId="76" applyFont="1" applyFill="1" applyAlignment="1">
      <alignment vertical="center"/>
      <protection/>
    </xf>
    <xf numFmtId="0" fontId="30" fillId="0" borderId="11" xfId="76" applyFont="1" applyFill="1" applyBorder="1" applyAlignment="1">
      <alignment horizontal="center" vertical="top" wrapText="1"/>
      <protection/>
    </xf>
    <xf numFmtId="0" fontId="30" fillId="0" borderId="13" xfId="76" applyFont="1" applyFill="1" applyBorder="1" applyAlignment="1">
      <alignment horizontal="center" vertical="top" wrapText="1"/>
      <protection/>
    </xf>
    <xf numFmtId="3" fontId="30" fillId="0" borderId="10" xfId="76" applyNumberFormat="1" applyFont="1" applyFill="1" applyBorder="1" applyAlignment="1">
      <alignment horizontal="center" vertical="top" wrapText="1"/>
      <protection/>
    </xf>
    <xf numFmtId="0" fontId="25" fillId="0" borderId="10" xfId="76" applyFont="1" applyFill="1" applyBorder="1" applyAlignment="1">
      <alignment horizontal="center" vertical="center" wrapText="1"/>
      <protection/>
    </xf>
    <xf numFmtId="3" fontId="25" fillId="0" borderId="10" xfId="76" applyNumberFormat="1" applyFont="1" applyFill="1" applyBorder="1" applyAlignment="1">
      <alignment horizontal="center" vertical="center" wrapText="1"/>
      <protection/>
    </xf>
    <xf numFmtId="0" fontId="25" fillId="0" borderId="0" xfId="76" applyFont="1" applyFill="1" applyAlignment="1">
      <alignment horizontal="center" vertical="center"/>
      <protection/>
    </xf>
    <xf numFmtId="0" fontId="50" fillId="0" borderId="19" xfId="76" applyFont="1" applyFill="1" applyBorder="1" applyAlignment="1">
      <alignment horizontal="center" vertical="center"/>
      <protection/>
    </xf>
    <xf numFmtId="0" fontId="50" fillId="0" borderId="12" xfId="76" applyFont="1" applyFill="1" applyBorder="1" applyAlignment="1">
      <alignment horizontal="center" vertical="center"/>
      <protection/>
    </xf>
    <xf numFmtId="0" fontId="50" fillId="0" borderId="12" xfId="76" applyFont="1" applyFill="1" applyBorder="1" applyAlignment="1">
      <alignment horizontal="center" vertical="center" wrapText="1"/>
      <protection/>
    </xf>
    <xf numFmtId="0" fontId="51" fillId="0" borderId="12" xfId="76" applyFont="1" applyFill="1" applyBorder="1" applyAlignment="1">
      <alignment horizontal="center" vertical="center" wrapText="1"/>
      <protection/>
    </xf>
    <xf numFmtId="3" fontId="50" fillId="0" borderId="12" xfId="76" applyNumberFormat="1" applyFont="1" applyFill="1" applyBorder="1" applyAlignment="1">
      <alignment horizontal="center" vertical="center" wrapText="1"/>
      <protection/>
    </xf>
    <xf numFmtId="3" fontId="50" fillId="0" borderId="47" xfId="76" applyNumberFormat="1" applyFont="1" applyFill="1" applyBorder="1" applyAlignment="1">
      <alignment horizontal="center" vertical="center" wrapText="1"/>
      <protection/>
    </xf>
    <xf numFmtId="0" fontId="50" fillId="0" borderId="0" xfId="76" applyFont="1" applyFill="1" applyAlignment="1">
      <alignment horizontal="center" vertical="center"/>
      <protection/>
    </xf>
    <xf numFmtId="0" fontId="52" fillId="0" borderId="10" xfId="76" applyFont="1" applyFill="1" applyBorder="1" applyAlignment="1">
      <alignment horizontal="center" vertical="center" wrapText="1"/>
      <protection/>
    </xf>
    <xf numFmtId="3" fontId="52" fillId="0" borderId="10" xfId="76" applyNumberFormat="1" applyFont="1" applyFill="1" applyBorder="1" applyAlignment="1">
      <alignment horizontal="right" vertical="center" wrapText="1"/>
      <protection/>
    </xf>
    <xf numFmtId="0" fontId="52" fillId="0" borderId="0" xfId="76" applyFont="1" applyFill="1" applyAlignment="1">
      <alignment horizontal="center" vertical="center"/>
      <protection/>
    </xf>
    <xf numFmtId="0" fontId="50" fillId="0" borderId="22" xfId="76" applyFont="1" applyFill="1" applyBorder="1" applyAlignment="1">
      <alignment horizontal="center"/>
      <protection/>
    </xf>
    <xf numFmtId="0" fontId="50" fillId="0" borderId="15" xfId="76" applyFont="1" applyFill="1" applyBorder="1" applyAlignment="1">
      <alignment horizontal="center"/>
      <protection/>
    </xf>
    <xf numFmtId="0" fontId="50" fillId="0" borderId="15" xfId="76" applyFont="1" applyFill="1" applyBorder="1" applyAlignment="1">
      <alignment horizontal="center" wrapText="1"/>
      <protection/>
    </xf>
    <xf numFmtId="0" fontId="50" fillId="0" borderId="15" xfId="76" applyFont="1" applyFill="1" applyBorder="1" applyAlignment="1">
      <alignment horizontal="left" wrapText="1"/>
      <protection/>
    </xf>
    <xf numFmtId="0" fontId="51" fillId="0" borderId="15" xfId="76" applyFont="1" applyFill="1" applyBorder="1" applyAlignment="1">
      <alignment horizontal="center" wrapText="1"/>
      <protection/>
    </xf>
    <xf numFmtId="3" fontId="50" fillId="0" borderId="15" xfId="76" applyNumberFormat="1" applyFont="1" applyFill="1" applyBorder="1" applyAlignment="1">
      <alignment horizontal="center" wrapText="1"/>
      <protection/>
    </xf>
    <xf numFmtId="3" fontId="50" fillId="0" borderId="16" xfId="76" applyNumberFormat="1" applyFont="1" applyFill="1" applyBorder="1" applyAlignment="1">
      <alignment horizontal="center" wrapText="1"/>
      <protection/>
    </xf>
    <xf numFmtId="0" fontId="50" fillId="0" borderId="0" xfId="76" applyFont="1" applyFill="1" applyAlignment="1">
      <alignment horizontal="center"/>
      <protection/>
    </xf>
    <xf numFmtId="0" fontId="20" fillId="0" borderId="10" xfId="76" applyFont="1" applyFill="1" applyBorder="1" applyAlignment="1">
      <alignment horizontal="center" vertical="center"/>
      <protection/>
    </xf>
    <xf numFmtId="3" fontId="20" fillId="0" borderId="10" xfId="76" applyNumberFormat="1" applyFont="1" applyFill="1" applyBorder="1" applyAlignment="1">
      <alignment horizontal="right" vertical="center"/>
      <protection/>
    </xf>
    <xf numFmtId="0" fontId="20" fillId="0" borderId="10" xfId="76" applyFont="1" applyFill="1" applyBorder="1" applyAlignment="1">
      <alignment horizontal="right" vertical="center"/>
      <protection/>
    </xf>
    <xf numFmtId="0" fontId="20" fillId="0" borderId="0" xfId="76" applyFont="1" applyFill="1" applyAlignment="1">
      <alignment vertical="center"/>
      <protection/>
    </xf>
    <xf numFmtId="0" fontId="50" fillId="0" borderId="20" xfId="76" applyFont="1" applyFill="1" applyBorder="1" applyAlignment="1">
      <alignment horizontal="center"/>
      <protection/>
    </xf>
    <xf numFmtId="0" fontId="50" fillId="0" borderId="14" xfId="76" applyFont="1" applyFill="1" applyBorder="1" applyAlignment="1">
      <alignment horizontal="center"/>
      <protection/>
    </xf>
    <xf numFmtId="0" fontId="50" fillId="0" borderId="14" xfId="76" applyFont="1" applyFill="1" applyBorder="1" applyAlignment="1">
      <alignment horizontal="center" wrapText="1"/>
      <protection/>
    </xf>
    <xf numFmtId="0" fontId="51" fillId="0" borderId="14" xfId="76" applyFont="1" applyFill="1" applyBorder="1" applyAlignment="1">
      <alignment horizontal="center" wrapText="1"/>
      <protection/>
    </xf>
    <xf numFmtId="3" fontId="50" fillId="0" borderId="14" xfId="76" applyNumberFormat="1" applyFont="1" applyFill="1" applyBorder="1" applyAlignment="1">
      <alignment horizontal="center" wrapText="1"/>
      <protection/>
    </xf>
    <xf numFmtId="3" fontId="50" fillId="0" borderId="37" xfId="76" applyNumberFormat="1" applyFont="1" applyFill="1" applyBorder="1" applyAlignment="1">
      <alignment horizontal="center" wrapText="1"/>
      <protection/>
    </xf>
    <xf numFmtId="0" fontId="53" fillId="0" borderId="47" xfId="76" applyFont="1" applyFill="1" applyBorder="1" applyAlignment="1">
      <alignment horizontal="center" vertical="center" wrapText="1"/>
      <protection/>
    </xf>
    <xf numFmtId="3" fontId="4" fillId="0" borderId="10" xfId="76" applyNumberFormat="1" applyFont="1" applyFill="1" applyBorder="1" applyAlignment="1">
      <alignment vertical="center" wrapText="1"/>
      <protection/>
    </xf>
    <xf numFmtId="3" fontId="53" fillId="0" borderId="10" xfId="76" applyNumberFormat="1" applyFont="1" applyFill="1" applyBorder="1" applyAlignment="1">
      <alignment vertical="center" wrapText="1"/>
      <protection/>
    </xf>
    <xf numFmtId="0" fontId="30" fillId="0" borderId="0" xfId="76" applyFont="1" applyFill="1" applyAlignment="1">
      <alignment vertical="top"/>
      <protection/>
    </xf>
    <xf numFmtId="0" fontId="50" fillId="0" borderId="46" xfId="76" applyFont="1" applyFill="1" applyBorder="1" applyAlignment="1">
      <alignment horizontal="center"/>
      <protection/>
    </xf>
    <xf numFmtId="0" fontId="50" fillId="0" borderId="12" xfId="76" applyFont="1" applyFill="1" applyBorder="1" applyAlignment="1">
      <alignment horizontal="center"/>
      <protection/>
    </xf>
    <xf numFmtId="0" fontId="50" fillId="0" borderId="12" xfId="76" applyFont="1" applyFill="1" applyBorder="1" applyAlignment="1">
      <alignment horizontal="center" wrapText="1"/>
      <protection/>
    </xf>
    <xf numFmtId="0" fontId="50" fillId="0" borderId="12" xfId="76" applyFont="1" applyFill="1" applyBorder="1" applyAlignment="1">
      <alignment horizontal="left" wrapText="1"/>
      <protection/>
    </xf>
    <xf numFmtId="0" fontId="51" fillId="0" borderId="12" xfId="76" applyFont="1" applyFill="1" applyBorder="1" applyAlignment="1">
      <alignment horizontal="center" wrapText="1"/>
      <protection/>
    </xf>
    <xf numFmtId="3" fontId="50" fillId="0" borderId="12" xfId="76" applyNumberFormat="1" applyFont="1" applyFill="1" applyBorder="1" applyAlignment="1">
      <alignment horizontal="center" wrapText="1"/>
      <protection/>
    </xf>
    <xf numFmtId="3" fontId="50" fillId="0" borderId="47" xfId="76" applyNumberFormat="1" applyFont="1" applyFill="1" applyBorder="1" applyAlignment="1">
      <alignment horizontal="center" wrapText="1"/>
      <protection/>
    </xf>
    <xf numFmtId="0" fontId="20" fillId="0" borderId="11" xfId="76" applyFont="1" applyFill="1" applyBorder="1" applyAlignment="1">
      <alignment horizontal="center" vertical="center"/>
      <protection/>
    </xf>
    <xf numFmtId="3" fontId="52" fillId="0" borderId="11" xfId="76" applyNumberFormat="1" applyFont="1" applyFill="1" applyBorder="1" applyAlignment="1">
      <alignment vertical="center"/>
      <protection/>
    </xf>
    <xf numFmtId="3" fontId="20" fillId="0" borderId="11" xfId="76" applyNumberFormat="1" applyFont="1" applyFill="1" applyBorder="1" applyAlignment="1">
      <alignment vertical="center"/>
      <protection/>
    </xf>
    <xf numFmtId="3" fontId="52" fillId="0" borderId="10" xfId="76" applyNumberFormat="1" applyFont="1" applyFill="1" applyBorder="1" applyAlignment="1">
      <alignment vertical="center"/>
      <protection/>
    </xf>
    <xf numFmtId="3" fontId="20" fillId="0" borderId="10" xfId="76" applyNumberFormat="1" applyFont="1" applyFill="1" applyBorder="1" applyAlignment="1">
      <alignment vertical="center"/>
      <protection/>
    </xf>
    <xf numFmtId="0" fontId="20" fillId="0" borderId="13" xfId="76" applyFont="1" applyFill="1" applyBorder="1" applyAlignment="1">
      <alignment horizontal="center" vertical="center"/>
      <protection/>
    </xf>
    <xf numFmtId="3" fontId="52" fillId="0" borderId="13" xfId="76" applyNumberFormat="1" applyFont="1" applyFill="1" applyBorder="1" applyAlignment="1">
      <alignment vertical="center"/>
      <protection/>
    </xf>
    <xf numFmtId="3" fontId="20" fillId="0" borderId="13" xfId="76" applyNumberFormat="1" applyFont="1" applyFill="1" applyBorder="1" applyAlignment="1">
      <alignment vertical="center"/>
      <protection/>
    </xf>
    <xf numFmtId="49" fontId="54" fillId="0" borderId="11" xfId="76" applyNumberFormat="1" applyFont="1" applyFill="1" applyBorder="1" applyAlignment="1">
      <alignment horizontal="center" vertical="center"/>
      <protection/>
    </xf>
    <xf numFmtId="3" fontId="55" fillId="0" borderId="10" xfId="76" applyNumberFormat="1" applyFont="1" applyFill="1" applyBorder="1" applyAlignment="1">
      <alignment vertical="center" wrapText="1"/>
      <protection/>
    </xf>
    <xf numFmtId="3" fontId="54" fillId="0" borderId="10" xfId="76" applyNumberFormat="1" applyFont="1" applyFill="1" applyBorder="1" applyAlignment="1">
      <alignment vertical="center" wrapText="1"/>
      <protection/>
    </xf>
    <xf numFmtId="0" fontId="32" fillId="0" borderId="0" xfId="76" applyFont="1" applyFill="1" applyAlignment="1">
      <alignment vertical="center"/>
      <protection/>
    </xf>
    <xf numFmtId="49" fontId="56" fillId="0" borderId="22" xfId="76" applyNumberFormat="1" applyFont="1" applyFill="1" applyBorder="1" applyAlignment="1">
      <alignment horizontal="left" vertical="center"/>
      <protection/>
    </xf>
    <xf numFmtId="49" fontId="56" fillId="0" borderId="15" xfId="76" applyNumberFormat="1" applyFont="1" applyFill="1" applyBorder="1" applyAlignment="1">
      <alignment horizontal="left" vertical="center"/>
      <protection/>
    </xf>
    <xf numFmtId="49" fontId="56" fillId="0" borderId="15" xfId="76" applyNumberFormat="1" applyFont="1" applyFill="1" applyBorder="1" applyAlignment="1">
      <alignment horizontal="center" vertical="center"/>
      <protection/>
    </xf>
    <xf numFmtId="0" fontId="41" fillId="0" borderId="15" xfId="76" applyFont="1" applyFill="1" applyBorder="1" applyAlignment="1">
      <alignment vertical="center" wrapText="1"/>
      <protection/>
    </xf>
    <xf numFmtId="3" fontId="53" fillId="0" borderId="15" xfId="76" applyNumberFormat="1" applyFont="1" applyFill="1" applyBorder="1" applyAlignment="1">
      <alignment vertical="center" wrapText="1"/>
      <protection/>
    </xf>
    <xf numFmtId="3" fontId="53" fillId="0" borderId="16" xfId="76" applyNumberFormat="1" applyFont="1" applyFill="1" applyBorder="1" applyAlignment="1">
      <alignment vertical="center" wrapText="1"/>
      <protection/>
    </xf>
    <xf numFmtId="0" fontId="30" fillId="0" borderId="0" xfId="76" applyFont="1" applyFill="1" applyAlignment="1">
      <alignment vertical="center"/>
      <protection/>
    </xf>
    <xf numFmtId="0" fontId="56" fillId="0" borderId="47" xfId="76" applyFont="1" applyFill="1" applyBorder="1" applyAlignment="1">
      <alignment horizontal="center" vertical="center" wrapText="1"/>
      <protection/>
    </xf>
    <xf numFmtId="3" fontId="12" fillId="0" borderId="10" xfId="76" applyNumberFormat="1" applyFont="1" applyFill="1" applyBorder="1" applyAlignment="1">
      <alignment vertical="center" wrapText="1"/>
      <protection/>
    </xf>
    <xf numFmtId="3" fontId="56" fillId="0" borderId="10" xfId="76" applyNumberFormat="1" applyFont="1" applyFill="1" applyBorder="1" applyAlignment="1">
      <alignment vertical="center" wrapText="1"/>
      <protection/>
    </xf>
    <xf numFmtId="3" fontId="4" fillId="0" borderId="11" xfId="76" applyNumberFormat="1" applyFont="1" applyFill="1" applyBorder="1" applyAlignment="1">
      <alignment vertical="center" wrapText="1"/>
      <protection/>
    </xf>
    <xf numFmtId="3" fontId="53" fillId="0" borderId="11" xfId="76" applyNumberFormat="1" applyFont="1" applyFill="1" applyBorder="1" applyAlignment="1">
      <alignment vertical="center" wrapText="1"/>
      <protection/>
    </xf>
    <xf numFmtId="0" fontId="53" fillId="0" borderId="16" xfId="76" applyFont="1" applyFill="1" applyBorder="1" applyAlignment="1">
      <alignment horizontal="center" vertical="center" wrapText="1"/>
      <protection/>
    </xf>
    <xf numFmtId="0" fontId="57" fillId="0" borderId="47" xfId="76" applyFont="1" applyFill="1" applyBorder="1" applyAlignment="1">
      <alignment horizontal="center" vertical="center" wrapText="1"/>
      <protection/>
    </xf>
    <xf numFmtId="3" fontId="13" fillId="0" borderId="11" xfId="76" applyNumberFormat="1" applyFont="1" applyFill="1" applyBorder="1" applyAlignment="1">
      <alignment vertical="center" wrapText="1"/>
      <protection/>
    </xf>
    <xf numFmtId="3" fontId="57" fillId="0" borderId="11" xfId="76" applyNumberFormat="1" applyFont="1" applyFill="1" applyBorder="1" applyAlignment="1">
      <alignment vertical="center" wrapText="1"/>
      <protection/>
    </xf>
    <xf numFmtId="0" fontId="18" fillId="0" borderId="0" xfId="76" applyFont="1" applyFill="1" applyAlignment="1">
      <alignment vertical="center"/>
      <protection/>
    </xf>
    <xf numFmtId="3" fontId="57" fillId="0" borderId="10" xfId="76" applyNumberFormat="1" applyFont="1" applyFill="1" applyBorder="1" applyAlignment="1">
      <alignment vertical="center" wrapText="1"/>
      <protection/>
    </xf>
    <xf numFmtId="0" fontId="56" fillId="0" borderId="16" xfId="76" applyFont="1" applyFill="1" applyBorder="1" applyAlignment="1">
      <alignment horizontal="center" vertical="center" wrapText="1"/>
      <protection/>
    </xf>
    <xf numFmtId="0" fontId="16" fillId="0" borderId="0" xfId="76" applyFont="1" applyFill="1" applyAlignment="1">
      <alignment vertical="top"/>
      <protection/>
    </xf>
    <xf numFmtId="49" fontId="58" fillId="0" borderId="11" xfId="76" applyNumberFormat="1" applyFont="1" applyFill="1" applyBorder="1" applyAlignment="1">
      <alignment horizontal="center" vertical="center"/>
      <protection/>
    </xf>
    <xf numFmtId="3" fontId="59" fillId="0" borderId="10" xfId="76" applyNumberFormat="1" applyFont="1" applyFill="1" applyBorder="1" applyAlignment="1">
      <alignment vertical="center" wrapText="1"/>
      <protection/>
    </xf>
    <xf numFmtId="3" fontId="58" fillId="0" borderId="10" xfId="76" applyNumberFormat="1" applyFont="1" applyFill="1" applyBorder="1" applyAlignment="1">
      <alignment vertical="center" wrapText="1"/>
      <protection/>
    </xf>
    <xf numFmtId="0" fontId="31" fillId="0" borderId="0" xfId="76" applyFont="1" applyFill="1" applyAlignment="1">
      <alignment vertical="center"/>
      <protection/>
    </xf>
    <xf numFmtId="49" fontId="58" fillId="0" borderId="10" xfId="76" applyNumberFormat="1" applyFont="1" applyFill="1" applyBorder="1" applyAlignment="1">
      <alignment horizontal="center" vertical="center"/>
      <protection/>
    </xf>
    <xf numFmtId="49" fontId="56" fillId="0" borderId="46" xfId="76" applyNumberFormat="1" applyFont="1" applyFill="1" applyBorder="1" applyAlignment="1">
      <alignment horizontal="left" vertical="center"/>
      <protection/>
    </xf>
    <xf numFmtId="49" fontId="56" fillId="0" borderId="12" xfId="76" applyNumberFormat="1" applyFont="1" applyFill="1" applyBorder="1" applyAlignment="1">
      <alignment horizontal="left" vertical="center"/>
      <protection/>
    </xf>
    <xf numFmtId="0" fontId="53" fillId="0" borderId="11" xfId="76" applyFont="1" applyFill="1" applyBorder="1" applyAlignment="1">
      <alignment horizontal="center" vertical="center" wrapText="1"/>
      <protection/>
    </xf>
    <xf numFmtId="0" fontId="53" fillId="0" borderId="17" xfId="76" applyFont="1" applyFill="1" applyBorder="1" applyAlignment="1">
      <alignment horizontal="center" vertical="center" wrapText="1"/>
      <protection/>
    </xf>
    <xf numFmtId="0" fontId="53" fillId="0" borderId="17" xfId="76" applyFont="1" applyFill="1" applyBorder="1" applyAlignment="1">
      <alignment horizontal="center" vertical="top" wrapText="1"/>
      <protection/>
    </xf>
    <xf numFmtId="0" fontId="53" fillId="0" borderId="13" xfId="76" applyFont="1" applyFill="1" applyBorder="1" applyAlignment="1">
      <alignment horizontal="center" vertical="center" wrapText="1"/>
      <protection/>
    </xf>
    <xf numFmtId="0" fontId="53" fillId="0" borderId="10" xfId="76" applyFont="1" applyFill="1" applyBorder="1" applyAlignment="1">
      <alignment horizontal="center" vertical="center" wrapText="1"/>
      <protection/>
    </xf>
    <xf numFmtId="3" fontId="4" fillId="0" borderId="13" xfId="76" applyNumberFormat="1" applyFont="1" applyFill="1" applyBorder="1" applyAlignment="1">
      <alignment vertical="center" wrapText="1"/>
      <protection/>
    </xf>
    <xf numFmtId="3" fontId="53" fillId="0" borderId="13" xfId="76" applyNumberFormat="1" applyFont="1" applyFill="1" applyBorder="1" applyAlignment="1">
      <alignment vertical="center" wrapText="1"/>
      <protection/>
    </xf>
    <xf numFmtId="0" fontId="53" fillId="0" borderId="11" xfId="76" applyFont="1" applyFill="1" applyBorder="1" applyAlignment="1">
      <alignment horizontal="center" vertical="top" wrapText="1"/>
      <protection/>
    </xf>
    <xf numFmtId="0" fontId="53" fillId="0" borderId="22" xfId="76" applyFont="1" applyFill="1" applyBorder="1" applyAlignment="1">
      <alignment horizontal="center" vertical="center" wrapText="1"/>
      <protection/>
    </xf>
    <xf numFmtId="0" fontId="53" fillId="0" borderId="46" xfId="76" applyFont="1" applyFill="1" applyBorder="1" applyAlignment="1">
      <alignment horizontal="center" vertical="center" wrapText="1"/>
      <protection/>
    </xf>
    <xf numFmtId="3" fontId="4" fillId="0" borderId="11" xfId="76" applyNumberFormat="1" applyFont="1" applyFill="1" applyBorder="1" applyAlignment="1">
      <alignment horizontal="center" vertical="center" wrapText="1"/>
      <protection/>
    </xf>
    <xf numFmtId="49" fontId="54" fillId="0" borderId="10" xfId="76" applyNumberFormat="1" applyFont="1" applyFill="1" applyBorder="1" applyAlignment="1">
      <alignment horizontal="center" vertical="center"/>
      <protection/>
    </xf>
    <xf numFmtId="3" fontId="4" fillId="0" borderId="10" xfId="76" applyNumberFormat="1" applyFont="1" applyFill="1" applyBorder="1" applyAlignment="1">
      <alignment horizontal="center" vertical="center" wrapText="1"/>
      <protection/>
    </xf>
    <xf numFmtId="0" fontId="53" fillId="0" borderId="16" xfId="76" applyFont="1" applyFill="1" applyBorder="1" applyAlignment="1">
      <alignment horizontal="center" vertical="center" wrapText="1"/>
      <protection/>
    </xf>
    <xf numFmtId="49" fontId="56" fillId="0" borderId="12" xfId="76" applyNumberFormat="1" applyFont="1" applyFill="1" applyBorder="1" applyAlignment="1">
      <alignment horizontal="center" vertical="center"/>
      <protection/>
    </xf>
    <xf numFmtId="0" fontId="41" fillId="0" borderId="12" xfId="76" applyFont="1" applyFill="1" applyBorder="1" applyAlignment="1">
      <alignment vertical="center" wrapText="1"/>
      <protection/>
    </xf>
    <xf numFmtId="3" fontId="53" fillId="0" borderId="12" xfId="76" applyNumberFormat="1" applyFont="1" applyFill="1" applyBorder="1" applyAlignment="1">
      <alignment vertical="center" wrapText="1"/>
      <protection/>
    </xf>
    <xf numFmtId="3" fontId="53" fillId="0" borderId="47" xfId="76" applyNumberFormat="1" applyFont="1" applyFill="1" applyBorder="1" applyAlignment="1">
      <alignment vertical="center" wrapText="1"/>
      <protection/>
    </xf>
    <xf numFmtId="0" fontId="20" fillId="0" borderId="10" xfId="76" applyFont="1" applyFill="1" applyBorder="1" applyAlignment="1">
      <alignment horizontal="center" vertical="center" wrapText="1"/>
      <protection/>
    </xf>
    <xf numFmtId="0" fontId="20" fillId="0" borderId="0" xfId="76" applyFont="1" applyFill="1" applyAlignment="1">
      <alignment horizontal="center" vertical="center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16" fillId="0" borderId="0" xfId="76" applyFont="1" applyFill="1" applyBorder="1" applyAlignment="1">
      <alignment horizontal="center" vertical="center" wrapText="1"/>
      <protection/>
    </xf>
    <xf numFmtId="0" fontId="16" fillId="0" borderId="0" xfId="76" applyFont="1" applyFill="1" applyBorder="1" applyAlignment="1">
      <alignment vertical="center" wrapText="1"/>
      <protection/>
    </xf>
    <xf numFmtId="0" fontId="44" fillId="0" borderId="0" xfId="76" applyFont="1" applyFill="1" applyBorder="1" applyAlignment="1">
      <alignment vertical="center" wrapText="1"/>
      <protection/>
    </xf>
    <xf numFmtId="3" fontId="16" fillId="0" borderId="0" xfId="76" applyNumberFormat="1" applyFont="1" applyFill="1" applyBorder="1" applyAlignment="1">
      <alignment vertical="center" wrapText="1"/>
      <protection/>
    </xf>
    <xf numFmtId="0" fontId="60" fillId="0" borderId="0" xfId="76" applyFont="1" applyFill="1" applyAlignment="1">
      <alignment horizontal="left"/>
      <protection/>
    </xf>
    <xf numFmtId="0" fontId="60" fillId="0" borderId="0" xfId="76" applyFont="1" applyFill="1" applyAlignment="1">
      <alignment horizontal="center"/>
      <protection/>
    </xf>
    <xf numFmtId="0" fontId="61" fillId="0" borderId="0" xfId="76" applyFont="1" applyFill="1" applyAlignment="1">
      <alignment wrapText="1"/>
      <protection/>
    </xf>
    <xf numFmtId="0" fontId="16" fillId="0" borderId="0" xfId="76" applyFont="1" applyFill="1" applyAlignment="1">
      <alignment wrapText="1"/>
      <protection/>
    </xf>
    <xf numFmtId="0" fontId="16" fillId="0" borderId="0" xfId="76" applyFont="1" applyFill="1" applyAlignment="1">
      <alignment horizontal="center" wrapText="1"/>
      <protection/>
    </xf>
    <xf numFmtId="0" fontId="44" fillId="0" borderId="0" xfId="76" applyFont="1" applyFill="1" applyAlignment="1">
      <alignment wrapText="1"/>
      <protection/>
    </xf>
    <xf numFmtId="3" fontId="16" fillId="0" borderId="0" xfId="76" applyNumberFormat="1" applyFont="1" applyFill="1" applyAlignment="1">
      <alignment wrapText="1"/>
      <protection/>
    </xf>
    <xf numFmtId="0" fontId="16" fillId="0" borderId="0" xfId="76" applyFont="1" applyFill="1">
      <alignment/>
      <protection/>
    </xf>
    <xf numFmtId="0" fontId="61" fillId="0" borderId="0" xfId="76" applyFont="1" applyFill="1" applyAlignment="1">
      <alignment horizontal="left" vertical="center"/>
      <protection/>
    </xf>
    <xf numFmtId="0" fontId="61" fillId="0" borderId="0" xfId="76" applyFont="1" applyFill="1" applyAlignment="1">
      <alignment horizontal="center" vertical="center"/>
      <protection/>
    </xf>
    <xf numFmtId="0" fontId="61" fillId="0" borderId="0" xfId="76" applyFont="1" applyFill="1" applyAlignment="1">
      <alignment vertical="center" wrapText="1"/>
      <protection/>
    </xf>
    <xf numFmtId="0" fontId="16" fillId="0" borderId="0" xfId="76" applyFont="1" applyFill="1" applyAlignment="1">
      <alignment horizontal="center"/>
      <protection/>
    </xf>
    <xf numFmtId="0" fontId="16" fillId="0" borderId="0" xfId="76" applyFont="1" applyFill="1" applyAlignment="1">
      <alignment horizontal="left"/>
      <protection/>
    </xf>
    <xf numFmtId="0" fontId="16" fillId="0" borderId="0" xfId="76" applyFont="1" applyFill="1" applyAlignment="1" applyProtection="1">
      <alignment horizontal="center"/>
      <protection/>
    </xf>
    <xf numFmtId="3" fontId="16" fillId="0" borderId="0" xfId="76" applyNumberFormat="1" applyFont="1" applyFill="1" applyAlignment="1" applyProtection="1">
      <alignment horizontal="left" wrapText="1"/>
      <protection/>
    </xf>
    <xf numFmtId="0" fontId="16" fillId="0" borderId="0" xfId="76" applyFont="1" applyFill="1" applyAlignment="1" applyProtection="1">
      <alignment wrapText="1"/>
      <protection/>
    </xf>
    <xf numFmtId="0" fontId="16" fillId="0" borderId="0" xfId="76" applyFont="1" applyFill="1" applyProtection="1">
      <alignment/>
      <protection/>
    </xf>
    <xf numFmtId="3" fontId="16" fillId="0" borderId="0" xfId="76" applyNumberFormat="1" applyFont="1" applyFill="1" applyAlignment="1">
      <alignment horizontal="left" wrapText="1"/>
      <protection/>
    </xf>
    <xf numFmtId="3" fontId="16" fillId="0" borderId="0" xfId="76" applyNumberFormat="1" applyFont="1" applyFill="1" applyAlignment="1">
      <alignment horizontal="center" wrapText="1"/>
      <protection/>
    </xf>
    <xf numFmtId="0" fontId="17" fillId="0" borderId="47" xfId="76" applyFont="1" applyFill="1" applyBorder="1" applyAlignment="1">
      <alignment horizontal="center" vertical="top" wrapText="1"/>
      <protection/>
    </xf>
    <xf numFmtId="0" fontId="17" fillId="0" borderId="11" xfId="76" applyFont="1" applyFill="1" applyBorder="1" applyAlignment="1">
      <alignment horizontal="center" vertical="top" wrapText="1"/>
      <protection/>
    </xf>
    <xf numFmtId="0" fontId="17" fillId="0" borderId="0" xfId="76" applyFont="1" applyFill="1" applyAlignment="1">
      <alignment vertical="center" wrapText="1"/>
      <protection/>
    </xf>
    <xf numFmtId="0" fontId="17" fillId="0" borderId="17" xfId="76" applyFont="1" applyFill="1" applyBorder="1" applyAlignment="1">
      <alignment horizontal="center" vertical="top" wrapText="1"/>
      <protection/>
    </xf>
    <xf numFmtId="0" fontId="50" fillId="0" borderId="10" xfId="76" applyFont="1" applyFill="1" applyBorder="1" applyAlignment="1">
      <alignment horizontal="center"/>
      <protection/>
    </xf>
    <xf numFmtId="0" fontId="50" fillId="0" borderId="10" xfId="76" applyFont="1" applyFill="1" applyBorder="1" applyAlignment="1">
      <alignment horizontal="center" wrapText="1"/>
      <protection/>
    </xf>
    <xf numFmtId="0" fontId="50" fillId="0" borderId="22" xfId="76" applyFont="1" applyFill="1" applyBorder="1" applyAlignment="1">
      <alignment horizontal="center" wrapText="1"/>
      <protection/>
    </xf>
    <xf numFmtId="3" fontId="50" fillId="0" borderId="10" xfId="76" applyNumberFormat="1" applyFont="1" applyFill="1" applyBorder="1" applyAlignment="1">
      <alignment horizontal="center" wrapText="1"/>
      <protection/>
    </xf>
    <xf numFmtId="0" fontId="50" fillId="0" borderId="0" xfId="76" applyFont="1" applyFill="1" applyAlignment="1">
      <alignment horizontal="center" wrapText="1"/>
      <protection/>
    </xf>
    <xf numFmtId="0" fontId="19" fillId="0" borderId="11" xfId="76" applyFont="1" applyFill="1" applyBorder="1" applyAlignment="1">
      <alignment horizontal="center" vertical="center" wrapText="1"/>
      <protection/>
    </xf>
    <xf numFmtId="3" fontId="19" fillId="0" borderId="10" xfId="76" applyNumberFormat="1" applyFont="1" applyFill="1" applyBorder="1" applyAlignment="1">
      <alignment horizontal="right" vertical="center" wrapText="1"/>
      <protection/>
    </xf>
    <xf numFmtId="0" fontId="19" fillId="0" borderId="0" xfId="76" applyFont="1" applyFill="1" applyAlignment="1">
      <alignment horizontal="center" vertical="center"/>
      <protection/>
    </xf>
    <xf numFmtId="49" fontId="16" fillId="0" borderId="11" xfId="76" applyNumberFormat="1" applyFont="1" applyFill="1" applyBorder="1" applyAlignment="1">
      <alignment horizontal="center" vertical="top"/>
      <protection/>
    </xf>
    <xf numFmtId="0" fontId="16" fillId="0" borderId="11" xfId="76" applyFont="1" applyFill="1" applyBorder="1" applyAlignment="1">
      <alignment horizontal="center" vertical="center" wrapText="1"/>
      <protection/>
    </xf>
    <xf numFmtId="3" fontId="16" fillId="0" borderId="10" xfId="76" applyNumberFormat="1" applyFont="1" applyFill="1" applyBorder="1" applyAlignment="1">
      <alignment horizontal="right" vertical="center"/>
      <protection/>
    </xf>
    <xf numFmtId="3" fontId="16" fillId="0" borderId="10" xfId="76" applyNumberFormat="1" applyFont="1" applyFill="1" applyBorder="1" applyAlignment="1">
      <alignment vertical="center" wrapText="1"/>
      <protection/>
    </xf>
    <xf numFmtId="0" fontId="16" fillId="0" borderId="0" xfId="76" applyFont="1" applyFill="1" applyAlignment="1">
      <alignment vertical="top" wrapText="1"/>
      <protection/>
    </xf>
    <xf numFmtId="49" fontId="16" fillId="0" borderId="17" xfId="76" applyNumberFormat="1" applyFont="1" applyFill="1" applyBorder="1" applyAlignment="1">
      <alignment horizontal="center" vertical="top"/>
      <protection/>
    </xf>
    <xf numFmtId="9" fontId="16" fillId="0" borderId="17" xfId="82" applyFont="1" applyFill="1" applyBorder="1" applyAlignment="1">
      <alignment horizontal="center" vertical="top"/>
    </xf>
    <xf numFmtId="1" fontId="16" fillId="0" borderId="11" xfId="82" applyNumberFormat="1" applyFont="1" applyFill="1" applyBorder="1" applyAlignment="1">
      <alignment horizontal="center" vertical="top"/>
    </xf>
    <xf numFmtId="9" fontId="16" fillId="0" borderId="11" xfId="82" applyFont="1" applyFill="1" applyBorder="1" applyAlignment="1">
      <alignment horizontal="center" vertical="center" wrapText="1"/>
    </xf>
    <xf numFmtId="3" fontId="16" fillId="0" borderId="10" xfId="82" applyNumberFormat="1" applyFont="1" applyFill="1" applyBorder="1" applyAlignment="1">
      <alignment horizontal="right" vertical="center"/>
    </xf>
    <xf numFmtId="3" fontId="16" fillId="0" borderId="10" xfId="82" applyNumberFormat="1" applyFont="1" applyFill="1" applyBorder="1" applyAlignment="1">
      <alignment vertical="center" wrapText="1"/>
    </xf>
    <xf numFmtId="9" fontId="16" fillId="0" borderId="0" xfId="82" applyFont="1" applyFill="1" applyAlignment="1">
      <alignment vertical="top" wrapText="1"/>
    </xf>
    <xf numFmtId="9" fontId="16" fillId="0" borderId="0" xfId="82" applyFont="1" applyFill="1" applyAlignment="1">
      <alignment vertical="top"/>
    </xf>
    <xf numFmtId="1" fontId="16" fillId="0" borderId="17" xfId="82" applyNumberFormat="1" applyFont="1" applyFill="1" applyBorder="1" applyAlignment="1">
      <alignment horizontal="center" vertical="top"/>
    </xf>
    <xf numFmtId="0" fontId="8" fillId="0" borderId="10" xfId="76" applyFont="1" applyFill="1" applyBorder="1" applyAlignment="1" applyProtection="1">
      <alignment horizontal="center" vertical="center" wrapText="1"/>
      <protection/>
    </xf>
    <xf numFmtId="3" fontId="8" fillId="0" borderId="10" xfId="76" applyNumberFormat="1" applyFont="1" applyFill="1" applyBorder="1" applyAlignment="1" applyProtection="1">
      <alignment horizontal="right" vertical="center"/>
      <protection/>
    </xf>
    <xf numFmtId="3" fontId="8" fillId="0" borderId="10" xfId="76" applyNumberFormat="1" applyFont="1" applyFill="1" applyBorder="1" applyAlignment="1" applyProtection="1">
      <alignment vertical="center" wrapText="1"/>
      <protection/>
    </xf>
    <xf numFmtId="0" fontId="16" fillId="0" borderId="0" xfId="76" applyFont="1" applyFill="1" applyAlignment="1" applyProtection="1">
      <alignment vertical="top" wrapText="1"/>
      <protection/>
    </xf>
    <xf numFmtId="0" fontId="16" fillId="0" borderId="0" xfId="76" applyFont="1" applyFill="1" applyAlignment="1" applyProtection="1">
      <alignment vertical="top"/>
      <protection/>
    </xf>
    <xf numFmtId="0" fontId="98" fillId="0" borderId="10" xfId="0" applyFont="1" applyFill="1" applyBorder="1" applyAlignment="1" applyProtection="1">
      <alignment horizontal="center" vertical="center" wrapText="1"/>
      <protection/>
    </xf>
    <xf numFmtId="9" fontId="8" fillId="0" borderId="10" xfId="82" applyFont="1" applyFill="1" applyBorder="1" applyAlignment="1" applyProtection="1">
      <alignment horizontal="center" vertical="center" wrapText="1"/>
      <protection/>
    </xf>
    <xf numFmtId="3" fontId="8" fillId="0" borderId="10" xfId="82" applyNumberFormat="1" applyFont="1" applyFill="1" applyBorder="1" applyAlignment="1" applyProtection="1">
      <alignment horizontal="right" vertical="center"/>
      <protection/>
    </xf>
    <xf numFmtId="3" fontId="8" fillId="0" borderId="10" xfId="82" applyNumberFormat="1" applyFont="1" applyFill="1" applyBorder="1" applyAlignment="1" applyProtection="1">
      <alignment vertical="center" wrapText="1"/>
      <protection/>
    </xf>
    <xf numFmtId="9" fontId="16" fillId="0" borderId="0" xfId="82" applyFont="1" applyFill="1" applyAlignment="1" applyProtection="1">
      <alignment vertical="top" wrapText="1"/>
      <protection/>
    </xf>
    <xf numFmtId="9" fontId="16" fillId="0" borderId="0" xfId="82" applyFont="1" applyFill="1" applyAlignment="1" applyProtection="1">
      <alignment vertical="top"/>
      <protection/>
    </xf>
    <xf numFmtId="49" fontId="16" fillId="0" borderId="11" xfId="76" applyNumberFormat="1" applyFont="1" applyFill="1" applyBorder="1" applyAlignment="1">
      <alignment horizontal="center" vertical="top" wrapText="1"/>
      <protection/>
    </xf>
    <xf numFmtId="49" fontId="16" fillId="0" borderId="17" xfId="76" applyNumberFormat="1" applyFont="1" applyFill="1" applyBorder="1" applyAlignment="1">
      <alignment horizontal="center" vertical="top" wrapText="1"/>
      <protection/>
    </xf>
    <xf numFmtId="3" fontId="16" fillId="0" borderId="10" xfId="76" applyNumberFormat="1" applyFont="1" applyFill="1" applyBorder="1" applyAlignment="1" applyProtection="1">
      <alignment horizontal="right" vertical="center"/>
      <protection/>
    </xf>
    <xf numFmtId="3" fontId="16" fillId="0" borderId="10" xfId="76" applyNumberFormat="1" applyFont="1" applyFill="1" applyBorder="1" applyAlignment="1" applyProtection="1">
      <alignment vertical="center" wrapText="1"/>
      <protection/>
    </xf>
    <xf numFmtId="0" fontId="16" fillId="0" borderId="10" xfId="76" applyFont="1" applyFill="1" applyBorder="1" applyAlignment="1">
      <alignment horizontal="center" vertical="center" wrapText="1"/>
      <protection/>
    </xf>
    <xf numFmtId="0" fontId="16" fillId="0" borderId="17" xfId="76" applyFont="1" applyFill="1" applyBorder="1" applyAlignment="1">
      <alignment horizontal="center" vertical="center" wrapText="1"/>
      <protection/>
    </xf>
    <xf numFmtId="49" fontId="16" fillId="0" borderId="13" xfId="76" applyNumberFormat="1" applyFont="1" applyFill="1" applyBorder="1" applyAlignment="1">
      <alignment horizontal="center" vertical="top"/>
      <protection/>
    </xf>
    <xf numFmtId="3" fontId="16" fillId="0" borderId="0" xfId="76" applyNumberFormat="1" applyFont="1" applyFill="1" applyAlignment="1">
      <alignment vertical="center" wrapText="1"/>
      <protection/>
    </xf>
    <xf numFmtId="0" fontId="61" fillId="0" borderId="0" xfId="76" applyFont="1" applyFill="1">
      <alignment/>
      <protection/>
    </xf>
    <xf numFmtId="0" fontId="61" fillId="0" borderId="0" xfId="76" applyFont="1" applyFill="1" applyAlignment="1">
      <alignment vertical="center"/>
      <protection/>
    </xf>
    <xf numFmtId="0" fontId="30" fillId="0" borderId="0" xfId="76" applyFont="1" applyFill="1">
      <alignment/>
      <protection/>
    </xf>
    <xf numFmtId="0" fontId="17" fillId="0" borderId="0" xfId="76" applyFont="1" applyFill="1">
      <alignment/>
      <protection/>
    </xf>
    <xf numFmtId="3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35" fillId="0" borderId="0" xfId="71" applyFont="1" applyFill="1">
      <alignment/>
      <protection/>
    </xf>
    <xf numFmtId="0" fontId="22" fillId="0" borderId="0" xfId="71" applyFont="1" applyFill="1" applyAlignment="1">
      <alignment horizontal="center"/>
      <protection/>
    </xf>
    <xf numFmtId="3" fontId="16" fillId="0" borderId="10" xfId="71" applyNumberFormat="1" applyFont="1" applyFill="1" applyBorder="1" applyAlignment="1">
      <alignment horizontal="center" vertical="center" wrapText="1"/>
      <protection/>
    </xf>
    <xf numFmtId="0" fontId="23" fillId="0" borderId="0" xfId="70" applyAlignment="1">
      <alignment vertical="center"/>
      <protection/>
    </xf>
    <xf numFmtId="3" fontId="4" fillId="0" borderId="10" xfId="0" applyNumberFormat="1" applyFont="1" applyFill="1" applyBorder="1" applyAlignment="1">
      <alignment horizontal="center"/>
    </xf>
    <xf numFmtId="3" fontId="17" fillId="0" borderId="10" xfId="71" applyNumberFormat="1" applyFont="1" applyFill="1" applyBorder="1" applyAlignment="1">
      <alignment horizontal="center" vertical="center"/>
      <protection/>
    </xf>
    <xf numFmtId="0" fontId="43" fillId="0" borderId="0" xfId="70" applyFont="1" applyAlignment="1">
      <alignment vertical="center"/>
      <protection/>
    </xf>
    <xf numFmtId="3" fontId="59" fillId="0" borderId="10" xfId="67" applyNumberFormat="1" applyFont="1" applyFill="1" applyBorder="1" applyAlignment="1">
      <alignment vertical="center"/>
      <protection/>
    </xf>
    <xf numFmtId="0" fontId="23" fillId="0" borderId="0" xfId="70">
      <alignment/>
      <protection/>
    </xf>
    <xf numFmtId="3" fontId="15" fillId="0" borderId="10" xfId="70" applyNumberFormat="1" applyFont="1" applyBorder="1" applyAlignment="1">
      <alignment horizontal="right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0" fontId="17" fillId="0" borderId="0" xfId="71" applyFont="1" applyFill="1" applyAlignment="1">
      <alignment horizontal="right" vertical="center"/>
      <protection/>
    </xf>
    <xf numFmtId="0" fontId="2" fillId="0" borderId="0" xfId="71" applyFill="1" applyAlignment="1">
      <alignment horizontal="right"/>
      <protection/>
    </xf>
    <xf numFmtId="3" fontId="19" fillId="0" borderId="10" xfId="71" applyNumberFormat="1" applyFont="1" applyFill="1" applyBorder="1" applyAlignment="1">
      <alignment horizontal="center" vertical="center" wrapText="1"/>
      <protection/>
    </xf>
    <xf numFmtId="0" fontId="19" fillId="0" borderId="0" xfId="71" applyFont="1" applyFill="1" applyAlignment="1">
      <alignment horizontal="right" vertical="center"/>
      <protection/>
    </xf>
    <xf numFmtId="0" fontId="64" fillId="0" borderId="0" xfId="71" applyFont="1" applyFill="1" applyAlignment="1">
      <alignment horizontal="right"/>
      <protection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8" fillId="0" borderId="0" xfId="71" applyFont="1" applyFill="1" applyAlignment="1">
      <alignment horizontal="center"/>
      <protection/>
    </xf>
    <xf numFmtId="3" fontId="4" fillId="0" borderId="0" xfId="0" applyNumberFormat="1" applyFont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top"/>
    </xf>
    <xf numFmtId="3" fontId="19" fillId="0" borderId="10" xfId="0" applyNumberFormat="1" applyFont="1" applyFill="1" applyBorder="1" applyAlignment="1">
      <alignment horizontal="right" vertical="center"/>
    </xf>
    <xf numFmtId="49" fontId="24" fillId="0" borderId="0" xfId="72" applyNumberFormat="1" applyFont="1" applyFill="1" applyAlignment="1">
      <alignment horizontal="center" vertical="center"/>
      <protection/>
    </xf>
    <xf numFmtId="0" fontId="8" fillId="0" borderId="0" xfId="72" applyNumberFormat="1" applyFont="1" applyFill="1" applyAlignment="1">
      <alignment horizontal="left" vertical="center" wrapText="1"/>
      <protection/>
    </xf>
    <xf numFmtId="49" fontId="9" fillId="0" borderId="74" xfId="72" applyNumberFormat="1" applyFont="1" applyFill="1" applyBorder="1" applyAlignment="1">
      <alignment horizontal="center" vertical="center" wrapText="1"/>
      <protection/>
    </xf>
    <xf numFmtId="49" fontId="9" fillId="0" borderId="75" xfId="72" applyNumberFormat="1" applyFont="1" applyFill="1" applyBorder="1" applyAlignment="1">
      <alignment horizontal="center" vertical="center" wrapText="1"/>
      <protection/>
    </xf>
    <xf numFmtId="49" fontId="9" fillId="0" borderId="59" xfId="72" applyNumberFormat="1" applyFont="1" applyFill="1" applyBorder="1" applyAlignment="1">
      <alignment horizontal="center" vertical="center" wrapText="1"/>
      <protection/>
    </xf>
    <xf numFmtId="49" fontId="9" fillId="0" borderId="18" xfId="72" applyNumberFormat="1" applyFont="1" applyFill="1" applyBorder="1" applyAlignment="1">
      <alignment horizontal="center" vertical="center" wrapText="1"/>
      <protection/>
    </xf>
    <xf numFmtId="49" fontId="9" fillId="0" borderId="19" xfId="72" applyNumberFormat="1" applyFont="1" applyFill="1" applyBorder="1" applyAlignment="1">
      <alignment horizontal="center" vertical="center" wrapText="1"/>
      <protection/>
    </xf>
    <xf numFmtId="49" fontId="9" fillId="0" borderId="20" xfId="72" applyNumberFormat="1" applyFont="1" applyFill="1" applyBorder="1" applyAlignment="1">
      <alignment horizontal="center" vertical="center" wrapText="1"/>
      <protection/>
    </xf>
    <xf numFmtId="2" fontId="9" fillId="0" borderId="42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2" fontId="9" fillId="0" borderId="13" xfId="72" applyNumberFormat="1" applyFont="1" applyFill="1" applyBorder="1" applyAlignment="1">
      <alignment horizontal="center" vertical="center" wrapText="1"/>
      <protection/>
    </xf>
    <xf numFmtId="2" fontId="9" fillId="0" borderId="18" xfId="72" applyNumberFormat="1" applyFont="1" applyFill="1" applyBorder="1" applyAlignment="1">
      <alignment horizontal="center" vertical="center" wrapText="1"/>
      <protection/>
    </xf>
    <xf numFmtId="2" fontId="9" fillId="0" borderId="19" xfId="72" applyNumberFormat="1" applyFont="1" applyFill="1" applyBorder="1" applyAlignment="1">
      <alignment horizontal="center" vertical="center" wrapText="1"/>
      <protection/>
    </xf>
    <xf numFmtId="2" fontId="9" fillId="0" borderId="20" xfId="72" applyNumberFormat="1" applyFont="1" applyFill="1" applyBorder="1" applyAlignment="1">
      <alignment horizontal="center" vertical="center" wrapText="1"/>
      <protection/>
    </xf>
    <xf numFmtId="2" fontId="9" fillId="0" borderId="46" xfId="72" applyNumberFormat="1" applyFont="1" applyFill="1" applyBorder="1" applyAlignment="1">
      <alignment horizontal="center" vertical="center" wrapText="1"/>
      <protection/>
    </xf>
    <xf numFmtId="2" fontId="9" fillId="0" borderId="25" xfId="72" applyNumberFormat="1" applyFont="1" applyFill="1" applyBorder="1" applyAlignment="1">
      <alignment horizontal="center" vertical="center" wrapText="1"/>
      <protection/>
    </xf>
    <xf numFmtId="2" fontId="9" fillId="0" borderId="38" xfId="72" applyNumberFormat="1" applyFont="1" applyFill="1" applyBorder="1" applyAlignment="1">
      <alignment horizontal="center" vertical="center" wrapText="1"/>
      <protection/>
    </xf>
    <xf numFmtId="2" fontId="9" fillId="0" borderId="22" xfId="72" applyNumberFormat="1" applyFont="1" applyFill="1" applyBorder="1" applyAlignment="1">
      <alignment horizontal="center" vertical="center" wrapText="1"/>
      <protection/>
    </xf>
    <xf numFmtId="2" fontId="9" fillId="0" borderId="15" xfId="72" applyNumberFormat="1" applyFont="1" applyFill="1" applyBorder="1" applyAlignment="1">
      <alignment horizontal="center" vertical="center" wrapText="1"/>
      <protection/>
    </xf>
    <xf numFmtId="2" fontId="9" fillId="0" borderId="16" xfId="72" applyNumberFormat="1" applyFont="1" applyFill="1" applyBorder="1" applyAlignment="1">
      <alignment horizontal="center" vertical="center" wrapText="1"/>
      <protection/>
    </xf>
    <xf numFmtId="2" fontId="9" fillId="0" borderId="11" xfId="72" applyNumberFormat="1" applyFont="1" applyFill="1" applyBorder="1" applyAlignment="1">
      <alignment horizontal="center" vertical="center" wrapText="1"/>
      <protection/>
    </xf>
    <xf numFmtId="2" fontId="9" fillId="0" borderId="46" xfId="72" applyNumberFormat="1" applyFont="1" applyFill="1" applyBorder="1" applyAlignment="1">
      <alignment horizontal="center" vertical="center" wrapText="1"/>
      <protection/>
    </xf>
    <xf numFmtId="2" fontId="9" fillId="0" borderId="47" xfId="72" applyNumberFormat="1" applyFont="1" applyFill="1" applyBorder="1" applyAlignment="1">
      <alignment horizontal="center" vertical="center" wrapText="1"/>
      <protection/>
    </xf>
    <xf numFmtId="2" fontId="9" fillId="0" borderId="11" xfId="72" applyNumberFormat="1" applyFont="1" applyFill="1" applyBorder="1" applyAlignment="1">
      <alignment horizontal="center" vertical="center" wrapText="1"/>
      <protection/>
    </xf>
    <xf numFmtId="2" fontId="9" fillId="0" borderId="13" xfId="72" applyNumberFormat="1" applyFont="1" applyFill="1" applyBorder="1" applyAlignment="1">
      <alignment horizontal="center" vertical="center" wrapText="1"/>
      <protection/>
    </xf>
    <xf numFmtId="2" fontId="9" fillId="0" borderId="42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2" fontId="9" fillId="0" borderId="34" xfId="72" applyNumberFormat="1" applyFont="1" applyFill="1" applyBorder="1" applyAlignment="1">
      <alignment horizontal="center" vertical="center" wrapText="1"/>
      <protection/>
    </xf>
    <xf numFmtId="2" fontId="9" fillId="0" borderId="70" xfId="72" applyNumberFormat="1" applyFont="1" applyFill="1" applyBorder="1" applyAlignment="1">
      <alignment horizontal="center" vertical="center" wrapText="1"/>
      <protection/>
    </xf>
    <xf numFmtId="49" fontId="8" fillId="0" borderId="57" xfId="72" applyNumberFormat="1" applyFont="1" applyFill="1" applyBorder="1" applyAlignment="1">
      <alignment horizontal="center" vertical="center" wrapText="1"/>
      <protection/>
    </xf>
    <xf numFmtId="49" fontId="8" fillId="0" borderId="75" xfId="72" applyNumberFormat="1" applyFont="1" applyFill="1" applyBorder="1" applyAlignment="1">
      <alignment horizontal="center" vertical="center" wrapText="1"/>
      <protection/>
    </xf>
    <xf numFmtId="49" fontId="8" fillId="0" borderId="59" xfId="72" applyNumberFormat="1" applyFont="1" applyFill="1" applyBorder="1" applyAlignment="1">
      <alignment horizontal="center" vertical="center" wrapText="1"/>
      <protection/>
    </xf>
    <xf numFmtId="3" fontId="8" fillId="0" borderId="11" xfId="72" applyNumberFormat="1" applyFont="1" applyFill="1" applyBorder="1" applyAlignment="1">
      <alignment horizontal="left" vertical="center" wrapText="1"/>
      <protection/>
    </xf>
    <xf numFmtId="3" fontId="8" fillId="0" borderId="17" xfId="72" applyNumberFormat="1" applyFont="1" applyFill="1" applyBorder="1" applyAlignment="1">
      <alignment horizontal="left" vertical="center" wrapText="1"/>
      <protection/>
    </xf>
    <xf numFmtId="3" fontId="8" fillId="0" borderId="13" xfId="72" applyNumberFormat="1" applyFont="1" applyFill="1" applyBorder="1" applyAlignment="1">
      <alignment horizontal="left" vertical="center" wrapText="1"/>
      <protection/>
    </xf>
    <xf numFmtId="49" fontId="9" fillId="35" borderId="33" xfId="72" applyNumberFormat="1" applyFont="1" applyFill="1" applyBorder="1" applyAlignment="1">
      <alignment horizontal="center" vertical="center" wrapText="1"/>
      <protection/>
    </xf>
    <xf numFmtId="49" fontId="9" fillId="35" borderId="45" xfId="72" applyNumberFormat="1" applyFont="1" applyFill="1" applyBorder="1" applyAlignment="1">
      <alignment horizontal="center" vertical="center" wrapText="1"/>
      <protection/>
    </xf>
    <xf numFmtId="49" fontId="9" fillId="35" borderId="40" xfId="72" applyNumberFormat="1" applyFont="1" applyFill="1" applyBorder="1" applyAlignment="1">
      <alignment horizontal="center" vertical="center" wrapText="1"/>
      <protection/>
    </xf>
    <xf numFmtId="3" fontId="11" fillId="35" borderId="34" xfId="72" applyNumberFormat="1" applyFont="1" applyFill="1" applyBorder="1" applyAlignment="1">
      <alignment horizontal="center" vertical="center" wrapText="1"/>
      <protection/>
    </xf>
    <xf numFmtId="3" fontId="11" fillId="35" borderId="0" xfId="72" applyNumberFormat="1" applyFont="1" applyFill="1" applyBorder="1" applyAlignment="1">
      <alignment horizontal="center" vertical="center" wrapText="1"/>
      <protection/>
    </xf>
    <xf numFmtId="3" fontId="11" fillId="35" borderId="72" xfId="72" applyNumberFormat="1" applyFont="1" applyFill="1" applyBorder="1" applyAlignment="1">
      <alignment horizontal="center" vertical="center" wrapText="1"/>
      <protection/>
    </xf>
    <xf numFmtId="49" fontId="8" fillId="0" borderId="57" xfId="72" applyNumberFormat="1" applyFont="1" applyFill="1" applyBorder="1" applyAlignment="1">
      <alignment horizontal="center" vertical="center"/>
      <protection/>
    </xf>
    <xf numFmtId="49" fontId="8" fillId="0" borderId="75" xfId="72" applyNumberFormat="1" applyFont="1" applyFill="1" applyBorder="1" applyAlignment="1">
      <alignment horizontal="center" vertical="center"/>
      <protection/>
    </xf>
    <xf numFmtId="49" fontId="8" fillId="0" borderId="59" xfId="72" applyNumberFormat="1" applyFont="1" applyFill="1" applyBorder="1" applyAlignment="1">
      <alignment horizontal="center" vertical="center"/>
      <protection/>
    </xf>
    <xf numFmtId="49" fontId="8" fillId="0" borderId="11" xfId="72" applyNumberFormat="1" applyFont="1" applyFill="1" applyBorder="1" applyAlignment="1">
      <alignment horizontal="left" vertical="center" wrapText="1"/>
      <protection/>
    </xf>
    <xf numFmtId="49" fontId="8" fillId="0" borderId="17" xfId="72" applyNumberFormat="1" applyFont="1" applyFill="1" applyBorder="1" applyAlignment="1">
      <alignment horizontal="left" vertical="center" wrapText="1"/>
      <protection/>
    </xf>
    <xf numFmtId="49" fontId="8" fillId="0" borderId="13" xfId="72" applyNumberFormat="1" applyFont="1" applyFill="1" applyBorder="1" applyAlignment="1">
      <alignment horizontal="left" vertical="center" wrapText="1"/>
      <protection/>
    </xf>
    <xf numFmtId="3" fontId="11" fillId="35" borderId="27" xfId="72" applyNumberFormat="1" applyFont="1" applyFill="1" applyBorder="1" applyAlignment="1">
      <alignment horizontal="left" vertical="center" wrapText="1"/>
      <protection/>
    </xf>
    <xf numFmtId="3" fontId="11" fillId="35" borderId="35" xfId="72" applyNumberFormat="1" applyFont="1" applyFill="1" applyBorder="1" applyAlignment="1">
      <alignment horizontal="left" vertical="center" wrapText="1"/>
      <protection/>
    </xf>
    <xf numFmtId="3" fontId="11" fillId="35" borderId="76" xfId="72" applyNumberFormat="1" applyFont="1" applyFill="1" applyBorder="1" applyAlignment="1">
      <alignment horizontal="left" vertical="center" wrapText="1"/>
      <protection/>
    </xf>
    <xf numFmtId="49" fontId="8" fillId="0" borderId="21" xfId="72" applyNumberFormat="1" applyFont="1" applyFill="1" applyBorder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horizontal="left" vertical="center" wrapText="1"/>
      <protection/>
    </xf>
    <xf numFmtId="49" fontId="8" fillId="0" borderId="11" xfId="72" applyNumberFormat="1" applyFont="1" applyFill="1" applyBorder="1" applyAlignment="1">
      <alignment horizontal="center" vertical="center" wrapText="1"/>
      <protection/>
    </xf>
    <xf numFmtId="49" fontId="8" fillId="0" borderId="17" xfId="72" applyNumberFormat="1" applyFont="1" applyFill="1" applyBorder="1" applyAlignment="1">
      <alignment horizontal="center" vertical="center" wrapText="1"/>
      <protection/>
    </xf>
    <xf numFmtId="49" fontId="8" fillId="0" borderId="13" xfId="72" applyNumberFormat="1" applyFont="1" applyFill="1" applyBorder="1" applyAlignment="1">
      <alignment horizontal="center" vertical="center" wrapText="1"/>
      <protection/>
    </xf>
    <xf numFmtId="49" fontId="29" fillId="35" borderId="33" xfId="72" applyNumberFormat="1" applyFont="1" applyFill="1" applyBorder="1" applyAlignment="1">
      <alignment horizontal="center" vertical="center"/>
      <protection/>
    </xf>
    <xf numFmtId="49" fontId="29" fillId="35" borderId="27" xfId="72" applyNumberFormat="1" applyFont="1" applyFill="1" applyBorder="1" applyAlignment="1">
      <alignment horizontal="center" vertical="center"/>
      <protection/>
    </xf>
    <xf numFmtId="49" fontId="29" fillId="35" borderId="45" xfId="72" applyNumberFormat="1" applyFont="1" applyFill="1" applyBorder="1" applyAlignment="1">
      <alignment horizontal="center" vertical="center"/>
      <protection/>
    </xf>
    <xf numFmtId="49" fontId="29" fillId="35" borderId="35" xfId="72" applyNumberFormat="1" applyFont="1" applyFill="1" applyBorder="1" applyAlignment="1">
      <alignment horizontal="center" vertical="center"/>
      <protection/>
    </xf>
    <xf numFmtId="49" fontId="29" fillId="35" borderId="40" xfId="72" applyNumberFormat="1" applyFont="1" applyFill="1" applyBorder="1" applyAlignment="1">
      <alignment horizontal="center" vertical="center"/>
      <protection/>
    </xf>
    <xf numFmtId="49" fontId="29" fillId="35" borderId="76" xfId="7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8" fillId="0" borderId="0" xfId="0" applyFont="1" applyAlignment="1">
      <alignment horizontal="justify" wrapText="1"/>
    </xf>
    <xf numFmtId="0" fontId="4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8" fillId="0" borderId="0" xfId="0" applyFont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 vertical="top" wrapText="1"/>
    </xf>
    <xf numFmtId="0" fontId="16" fillId="0" borderId="0" xfId="74" applyFont="1" applyAlignment="1">
      <alignment horizontal="left" vertical="center" wrapText="1"/>
      <protection/>
    </xf>
    <xf numFmtId="0" fontId="16" fillId="0" borderId="0" xfId="73" applyFont="1" applyAlignment="1">
      <alignment horizontal="left" wrapText="1"/>
      <protection/>
    </xf>
    <xf numFmtId="0" fontId="17" fillId="0" borderId="69" xfId="77" applyFont="1" applyBorder="1" applyAlignment="1">
      <alignment horizontal="center" vertical="center" wrapText="1"/>
      <protection/>
    </xf>
    <xf numFmtId="0" fontId="17" fillId="0" borderId="66" xfId="77" applyFont="1" applyBorder="1" applyAlignment="1">
      <alignment horizontal="center" vertical="center" wrapText="1"/>
      <protection/>
    </xf>
    <xf numFmtId="0" fontId="17" fillId="0" borderId="33" xfId="77" applyFont="1" applyBorder="1" applyAlignment="1">
      <alignment horizontal="center" vertical="center" wrapText="1"/>
      <protection/>
    </xf>
    <xf numFmtId="0" fontId="17" fillId="0" borderId="40" xfId="77" applyFont="1" applyBorder="1" applyAlignment="1">
      <alignment horizontal="center" vertical="center" wrapText="1"/>
      <protection/>
    </xf>
    <xf numFmtId="0" fontId="17" fillId="0" borderId="69" xfId="77" applyFont="1" applyFill="1" applyBorder="1" applyAlignment="1">
      <alignment horizontal="center" vertical="center" wrapText="1"/>
      <protection/>
    </xf>
    <xf numFmtId="0" fontId="17" fillId="0" borderId="66" xfId="77" applyFont="1" applyFill="1" applyBorder="1" applyAlignment="1">
      <alignment horizontal="center" vertical="center" wrapText="1"/>
      <protection/>
    </xf>
    <xf numFmtId="0" fontId="34" fillId="0" borderId="45" xfId="77" applyFont="1" applyBorder="1" applyAlignment="1">
      <alignment horizontal="left" wrapText="1"/>
      <protection/>
    </xf>
    <xf numFmtId="0" fontId="34" fillId="0" borderId="0" xfId="77" applyFont="1" applyBorder="1" applyAlignment="1">
      <alignment horizontal="left" wrapText="1"/>
      <protection/>
    </xf>
    <xf numFmtId="0" fontId="34" fillId="0" borderId="71" xfId="77" applyFont="1" applyBorder="1" applyAlignment="1">
      <alignment horizontal="left" wrapText="1"/>
      <protection/>
    </xf>
    <xf numFmtId="0" fontId="16" fillId="0" borderId="61" xfId="77" applyFont="1" applyBorder="1" applyAlignment="1">
      <alignment horizontal="center" wrapText="1"/>
      <protection/>
    </xf>
    <xf numFmtId="0" fontId="16" fillId="0" borderId="71" xfId="77" applyFont="1" applyBorder="1" applyAlignment="1">
      <alignment horizontal="center" wrapText="1"/>
      <protection/>
    </xf>
    <xf numFmtId="0" fontId="32" fillId="0" borderId="61" xfId="77" applyFont="1" applyBorder="1" applyAlignment="1">
      <alignment horizontal="center" wrapText="1"/>
      <protection/>
    </xf>
    <xf numFmtId="0" fontId="32" fillId="0" borderId="71" xfId="77" applyFont="1" applyBorder="1" applyAlignment="1">
      <alignment horizontal="center" wrapText="1"/>
      <protection/>
    </xf>
    <xf numFmtId="0" fontId="17" fillId="0" borderId="61" xfId="77" applyFont="1" applyBorder="1" applyAlignment="1">
      <alignment horizontal="center" wrapText="1"/>
      <protection/>
    </xf>
    <xf numFmtId="0" fontId="17" fillId="0" borderId="71" xfId="77" applyFont="1" applyBorder="1" applyAlignment="1">
      <alignment horizontal="center" wrapText="1"/>
      <protection/>
    </xf>
    <xf numFmtId="0" fontId="17" fillId="0" borderId="66" xfId="77" applyFont="1" applyBorder="1" applyAlignment="1">
      <alignment horizontal="center" wrapText="1"/>
      <protection/>
    </xf>
    <xf numFmtId="0" fontId="17" fillId="0" borderId="73" xfId="77" applyFont="1" applyBorder="1" applyAlignment="1">
      <alignment horizontal="center" wrapText="1"/>
      <protection/>
    </xf>
    <xf numFmtId="3" fontId="15" fillId="0" borderId="10" xfId="67" applyNumberFormat="1" applyFont="1" applyFill="1" applyBorder="1" applyAlignment="1">
      <alignment horizontal="right" vertical="center"/>
      <protection/>
    </xf>
    <xf numFmtId="0" fontId="63" fillId="0" borderId="10" xfId="71" applyFont="1" applyFill="1" applyBorder="1" applyAlignment="1">
      <alignment horizontal="center" vertical="center" wrapText="1"/>
      <protection/>
    </xf>
    <xf numFmtId="3" fontId="41" fillId="0" borderId="10" xfId="67" applyNumberFormat="1" applyFont="1" applyFill="1" applyBorder="1" applyAlignment="1">
      <alignment horizontal="right" vertical="center"/>
      <protection/>
    </xf>
    <xf numFmtId="0" fontId="19" fillId="0" borderId="10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62" fillId="0" borderId="10" xfId="71" applyFont="1" applyFill="1" applyBorder="1" applyAlignment="1">
      <alignment horizontal="center" vertical="center"/>
      <protection/>
    </xf>
    <xf numFmtId="49" fontId="16" fillId="0" borderId="10" xfId="71" applyNumberFormat="1" applyFont="1" applyFill="1" applyBorder="1" applyAlignment="1">
      <alignment horizontal="center" vertical="center"/>
      <protection/>
    </xf>
    <xf numFmtId="0" fontId="62" fillId="0" borderId="10" xfId="71" applyFont="1" applyFill="1" applyBorder="1" applyAlignment="1">
      <alignment horizontal="left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7" xfId="71" applyFont="1" applyFill="1" applyBorder="1" applyAlignment="1">
      <alignment horizontal="center" vertical="center" wrapText="1"/>
      <protection/>
    </xf>
    <xf numFmtId="0" fontId="16" fillId="0" borderId="13" xfId="71" applyFont="1" applyFill="1" applyBorder="1" applyAlignment="1">
      <alignment horizontal="center" vertical="center" wrapText="1"/>
      <protection/>
    </xf>
    <xf numFmtId="49" fontId="16" fillId="0" borderId="11" xfId="71" applyNumberFormat="1" applyFont="1" applyFill="1" applyBorder="1" applyAlignment="1">
      <alignment horizontal="center" vertical="center" wrapText="1"/>
      <protection/>
    </xf>
    <xf numFmtId="49" fontId="16" fillId="0" borderId="17" xfId="71" applyNumberFormat="1" applyFont="1" applyFill="1" applyBorder="1" applyAlignment="1">
      <alignment horizontal="center" vertical="center" wrapText="1"/>
      <protection/>
    </xf>
    <xf numFmtId="49" fontId="16" fillId="0" borderId="13" xfId="71" applyNumberFormat="1" applyFont="1" applyFill="1" applyBorder="1" applyAlignment="1">
      <alignment horizontal="center" vertical="center" wrapText="1"/>
      <protection/>
    </xf>
    <xf numFmtId="0" fontId="24" fillId="2" borderId="22" xfId="71" applyFont="1" applyFill="1" applyBorder="1" applyAlignment="1">
      <alignment horizontal="center" vertical="center"/>
      <protection/>
    </xf>
    <xf numFmtId="0" fontId="24" fillId="2" borderId="15" xfId="71" applyFont="1" applyFill="1" applyBorder="1" applyAlignment="1">
      <alignment horizontal="center" vertical="center"/>
      <protection/>
    </xf>
    <xf numFmtId="0" fontId="24" fillId="2" borderId="16" xfId="71" applyFont="1" applyFill="1" applyBorder="1" applyAlignment="1">
      <alignment horizontal="center" vertical="center"/>
      <protection/>
    </xf>
    <xf numFmtId="0" fontId="29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/>
      <protection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13" xfId="71" applyFont="1" applyFill="1" applyBorder="1" applyAlignment="1">
      <alignment horizontal="center" vertical="center"/>
      <protection/>
    </xf>
    <xf numFmtId="0" fontId="62" fillId="0" borderId="11" xfId="71" applyFont="1" applyFill="1" applyBorder="1" applyAlignment="1">
      <alignment horizontal="center" vertical="center"/>
      <protection/>
    </xf>
    <xf numFmtId="0" fontId="62" fillId="0" borderId="17" xfId="71" applyFont="1" applyFill="1" applyBorder="1" applyAlignment="1">
      <alignment horizontal="center" vertical="center"/>
      <protection/>
    </xf>
    <xf numFmtId="0" fontId="62" fillId="0" borderId="13" xfId="71" applyFont="1" applyFill="1" applyBorder="1" applyAlignment="1">
      <alignment horizontal="center" vertical="center"/>
      <protection/>
    </xf>
    <xf numFmtId="0" fontId="62" fillId="0" borderId="11" xfId="71" applyFont="1" applyFill="1" applyBorder="1" applyAlignment="1">
      <alignment horizontal="left" vertical="center" wrapText="1"/>
      <protection/>
    </xf>
    <xf numFmtId="0" fontId="62" fillId="0" borderId="17" xfId="71" applyFont="1" applyFill="1" applyBorder="1" applyAlignment="1">
      <alignment horizontal="left" vertical="center" wrapText="1"/>
      <protection/>
    </xf>
    <xf numFmtId="0" fontId="62" fillId="0" borderId="13" xfId="71" applyFont="1" applyFill="1" applyBorder="1" applyAlignment="1">
      <alignment horizontal="left" vertical="center" wrapText="1"/>
      <protection/>
    </xf>
    <xf numFmtId="0" fontId="23" fillId="0" borderId="10" xfId="70" applyBorder="1" applyAlignment="1">
      <alignment horizontal="center"/>
      <protection/>
    </xf>
    <xf numFmtId="0" fontId="16" fillId="0" borderId="11" xfId="71" applyFont="1" applyFill="1" applyBorder="1" applyAlignment="1">
      <alignment horizontal="left" vertical="center" wrapText="1"/>
      <protection/>
    </xf>
    <xf numFmtId="0" fontId="16" fillId="0" borderId="17" xfId="71" applyFont="1" applyFill="1" applyBorder="1" applyAlignment="1">
      <alignment horizontal="left" vertical="center" wrapText="1"/>
      <protection/>
    </xf>
    <xf numFmtId="0" fontId="16" fillId="0" borderId="13" xfId="71" applyFont="1" applyFill="1" applyBorder="1" applyAlignment="1">
      <alignment horizontal="left" vertical="center" wrapText="1"/>
      <protection/>
    </xf>
    <xf numFmtId="0" fontId="16" fillId="0" borderId="10" xfId="71" applyFont="1" applyFill="1" applyBorder="1" applyAlignment="1">
      <alignment horizontal="left" vertical="center" wrapText="1"/>
      <protection/>
    </xf>
    <xf numFmtId="3" fontId="42" fillId="0" borderId="10" xfId="70" applyNumberFormat="1" applyFont="1" applyBorder="1" applyAlignment="1">
      <alignment vertical="center"/>
      <protection/>
    </xf>
    <xf numFmtId="3" fontId="41" fillId="33" borderId="10" xfId="70" applyNumberFormat="1" applyFont="1" applyFill="1" applyBorder="1" applyAlignment="1">
      <alignment vertical="center"/>
      <protection/>
    </xf>
    <xf numFmtId="49" fontId="16" fillId="0" borderId="11" xfId="71" applyNumberFormat="1" applyFont="1" applyFill="1" applyBorder="1" applyAlignment="1">
      <alignment horizontal="center" vertical="center"/>
      <protection/>
    </xf>
    <xf numFmtId="49" fontId="16" fillId="0" borderId="17" xfId="71" applyNumberFormat="1" applyFont="1" applyFill="1" applyBorder="1" applyAlignment="1">
      <alignment horizontal="center" vertical="center"/>
      <protection/>
    </xf>
    <xf numFmtId="49" fontId="16" fillId="0" borderId="13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 wrapText="1"/>
      <protection/>
    </xf>
    <xf numFmtId="0" fontId="24" fillId="0" borderId="10" xfId="71" applyFont="1" applyFill="1" applyBorder="1" applyAlignment="1">
      <alignment horizontal="center"/>
      <protection/>
    </xf>
    <xf numFmtId="0" fontId="40" fillId="0" borderId="10" xfId="71" applyFont="1" applyFill="1" applyBorder="1" applyAlignment="1">
      <alignment horizontal="center"/>
      <protection/>
    </xf>
    <xf numFmtId="0" fontId="24" fillId="38" borderId="10" xfId="71" applyFont="1" applyFill="1" applyBorder="1" applyAlignment="1">
      <alignment horizontal="center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39" fillId="0" borderId="10" xfId="71" applyFont="1" applyFill="1" applyBorder="1" applyAlignment="1">
      <alignment horizontal="center" vertical="center"/>
      <protection/>
    </xf>
    <xf numFmtId="0" fontId="17" fillId="0" borderId="10" xfId="71" applyFont="1" applyFill="1" applyBorder="1" applyAlignment="1">
      <alignment horizontal="center" vertical="center" wrapText="1"/>
      <protection/>
    </xf>
    <xf numFmtId="0" fontId="39" fillId="0" borderId="10" xfId="71" applyFont="1" applyFill="1" applyBorder="1" applyAlignment="1">
      <alignment horizontal="center" vertical="center"/>
      <protection/>
    </xf>
    <xf numFmtId="0" fontId="38" fillId="0" borderId="11" xfId="71" applyFont="1" applyFill="1" applyBorder="1" applyAlignment="1">
      <alignment horizontal="center" vertical="center" wrapText="1"/>
      <protection/>
    </xf>
    <xf numFmtId="0" fontId="38" fillId="0" borderId="17" xfId="71" applyFont="1" applyFill="1" applyBorder="1" applyAlignment="1">
      <alignment horizontal="center" vertical="center" wrapText="1"/>
      <protection/>
    </xf>
    <xf numFmtId="0" fontId="38" fillId="0" borderId="13" xfId="71" applyFont="1" applyFill="1" applyBorder="1" applyAlignment="1">
      <alignment horizontal="center" vertical="center" wrapText="1"/>
      <protection/>
    </xf>
    <xf numFmtId="0" fontId="39" fillId="0" borderId="11" xfId="71" applyFont="1" applyFill="1" applyBorder="1" applyAlignment="1">
      <alignment horizontal="center" vertical="center" wrapText="1"/>
      <protection/>
    </xf>
    <xf numFmtId="0" fontId="39" fillId="0" borderId="17" xfId="71" applyFont="1" applyFill="1" applyBorder="1" applyAlignment="1">
      <alignment horizontal="center" vertical="center" wrapText="1"/>
      <protection/>
    </xf>
    <xf numFmtId="0" fontId="39" fillId="0" borderId="13" xfId="71" applyFont="1" applyFill="1" applyBorder="1" applyAlignment="1">
      <alignment horizontal="center" vertical="center" wrapText="1"/>
      <protection/>
    </xf>
    <xf numFmtId="0" fontId="19" fillId="0" borderId="10" xfId="71" applyFont="1" applyFill="1" applyBorder="1" applyAlignment="1">
      <alignment horizontal="center" vertical="center"/>
      <protection/>
    </xf>
    <xf numFmtId="0" fontId="39" fillId="0" borderId="10" xfId="71" applyFont="1" applyFill="1" applyBorder="1" applyAlignment="1">
      <alignment horizontal="center" vertical="center" wrapText="1"/>
      <protection/>
    </xf>
    <xf numFmtId="0" fontId="38" fillId="0" borderId="10" xfId="71" applyFont="1" applyFill="1" applyBorder="1" applyAlignment="1">
      <alignment horizontal="center" vertical="center" wrapText="1"/>
      <protection/>
    </xf>
    <xf numFmtId="0" fontId="37" fillId="0" borderId="0" xfId="71" applyNumberFormat="1" applyFont="1" applyFill="1" applyAlignment="1">
      <alignment horizontal="left" vertical="center" wrapText="1"/>
      <protection/>
    </xf>
    <xf numFmtId="0" fontId="17" fillId="0" borderId="11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35" fillId="0" borderId="0" xfId="71" applyFont="1" applyFill="1" applyAlignment="1">
      <alignment horizontal="left"/>
      <protection/>
    </xf>
    <xf numFmtId="0" fontId="36" fillId="0" borderId="0" xfId="71" applyNumberFormat="1" applyFont="1" applyFill="1" applyAlignment="1">
      <alignment horizontal="left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7" xfId="75" applyFont="1" applyBorder="1" applyAlignment="1">
      <alignment horizontal="left" vertical="center" wrapText="1"/>
      <protection/>
    </xf>
    <xf numFmtId="0" fontId="8" fillId="0" borderId="13" xfId="75" applyFont="1" applyBorder="1" applyAlignment="1">
      <alignment horizontal="left" vertical="center" wrapText="1"/>
      <protection/>
    </xf>
    <xf numFmtId="49" fontId="16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75" applyFont="1" applyBorder="1" applyAlignment="1">
      <alignment horizontal="left" vertical="center" wrapText="1"/>
      <protection/>
    </xf>
    <xf numFmtId="0" fontId="8" fillId="0" borderId="11" xfId="75" applyFont="1" applyFill="1" applyBorder="1" applyAlignment="1">
      <alignment horizontal="left" vertical="center" wrapText="1"/>
      <protection/>
    </xf>
    <xf numFmtId="0" fontId="8" fillId="0" borderId="17" xfId="75" applyFont="1" applyFill="1" applyBorder="1" applyAlignment="1">
      <alignment horizontal="left" vertical="center" wrapText="1"/>
      <protection/>
    </xf>
    <xf numFmtId="0" fontId="8" fillId="0" borderId="13" xfId="75" applyFont="1" applyFill="1" applyBorder="1" applyAlignment="1">
      <alignment horizontal="left" vertical="center" wrapText="1"/>
      <protection/>
    </xf>
    <xf numFmtId="0" fontId="22" fillId="0" borderId="46" xfId="71" applyFont="1" applyFill="1" applyBorder="1" applyAlignment="1">
      <alignment horizontal="center" vertical="center" wrapText="1"/>
      <protection/>
    </xf>
    <xf numFmtId="0" fontId="22" fillId="0" borderId="12" xfId="71" applyFont="1" applyFill="1" applyBorder="1" applyAlignment="1">
      <alignment horizontal="center" vertical="center" wrapText="1"/>
      <protection/>
    </xf>
    <xf numFmtId="0" fontId="22" fillId="0" borderId="47" xfId="71" applyFont="1" applyFill="1" applyBorder="1" applyAlignment="1">
      <alignment horizontal="center" vertical="center" wrapText="1"/>
      <protection/>
    </xf>
    <xf numFmtId="0" fontId="22" fillId="0" borderId="19" xfId="71" applyFont="1" applyFill="1" applyBorder="1" applyAlignment="1">
      <alignment horizontal="center" vertical="center" wrapText="1"/>
      <protection/>
    </xf>
    <xf numFmtId="0" fontId="22" fillId="0" borderId="0" xfId="71" applyFont="1" applyFill="1" applyBorder="1" applyAlignment="1">
      <alignment horizontal="center" vertical="center" wrapText="1"/>
      <protection/>
    </xf>
    <xf numFmtId="0" fontId="22" fillId="0" borderId="35" xfId="71" applyFont="1" applyFill="1" applyBorder="1" applyAlignment="1">
      <alignment horizontal="center" vertical="center" wrapText="1"/>
      <protection/>
    </xf>
    <xf numFmtId="0" fontId="22" fillId="0" borderId="20" xfId="71" applyFont="1" applyFill="1" applyBorder="1" applyAlignment="1">
      <alignment horizontal="center" vertical="center" wrapText="1"/>
      <protection/>
    </xf>
    <xf numFmtId="0" fontId="22" fillId="0" borderId="14" xfId="71" applyFont="1" applyFill="1" applyBorder="1" applyAlignment="1">
      <alignment horizontal="center" vertical="center" wrapText="1"/>
      <protection/>
    </xf>
    <xf numFmtId="0" fontId="22" fillId="0" borderId="37" xfId="7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20" fillId="0" borderId="10" xfId="7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49" fontId="53" fillId="0" borderId="46" xfId="76" applyNumberFormat="1" applyFont="1" applyFill="1" applyBorder="1" applyAlignment="1">
      <alignment horizontal="center" vertical="top"/>
      <protection/>
    </xf>
    <xf numFmtId="49" fontId="53" fillId="0" borderId="47" xfId="76" applyNumberFormat="1" applyFont="1" applyFill="1" applyBorder="1" applyAlignment="1">
      <alignment horizontal="center" vertical="top"/>
      <protection/>
    </xf>
    <xf numFmtId="49" fontId="53" fillId="0" borderId="46" xfId="76" applyNumberFormat="1" applyFont="1" applyFill="1" applyBorder="1" applyAlignment="1">
      <alignment horizontal="center" vertical="top"/>
      <protection/>
    </xf>
    <xf numFmtId="49" fontId="53" fillId="0" borderId="47" xfId="76" applyNumberFormat="1" applyFont="1" applyFill="1" applyBorder="1" applyAlignment="1">
      <alignment horizontal="center" vertical="top"/>
      <protection/>
    </xf>
    <xf numFmtId="0" fontId="53" fillId="0" borderId="12" xfId="76" applyFont="1" applyFill="1" applyBorder="1" applyAlignment="1">
      <alignment horizontal="left" vertical="top" wrapText="1"/>
      <protection/>
    </xf>
    <xf numFmtId="0" fontId="53" fillId="0" borderId="47" xfId="76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49" fontId="53" fillId="0" borderId="17" xfId="76" applyNumberFormat="1" applyFont="1" applyFill="1" applyBorder="1" applyAlignment="1">
      <alignment horizontal="center" vertical="top"/>
      <protection/>
    </xf>
    <xf numFmtId="0" fontId="0" fillId="0" borderId="17" xfId="0" applyFill="1" applyBorder="1" applyAlignment="1">
      <alignment horizontal="center"/>
    </xf>
    <xf numFmtId="49" fontId="53" fillId="0" borderId="17" xfId="76" applyNumberFormat="1" applyFont="1" applyFill="1" applyBorder="1" applyAlignment="1">
      <alignment horizontal="center" vertical="top"/>
      <protection/>
    </xf>
    <xf numFmtId="49" fontId="53" fillId="0" borderId="19" xfId="76" applyNumberFormat="1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49" fontId="53" fillId="0" borderId="19" xfId="76" applyNumberFormat="1" applyFont="1" applyFill="1" applyBorder="1" applyAlignment="1">
      <alignment horizontal="center" vertical="center"/>
      <protection/>
    </xf>
    <xf numFmtId="49" fontId="53" fillId="0" borderId="35" xfId="76" applyNumberFormat="1" applyFont="1" applyFill="1" applyBorder="1" applyAlignment="1">
      <alignment horizontal="center" vertical="center"/>
      <protection/>
    </xf>
    <xf numFmtId="49" fontId="53" fillId="0" borderId="35" xfId="76" applyNumberFormat="1" applyFont="1" applyFill="1" applyBorder="1" applyAlignment="1">
      <alignment horizontal="center" vertical="center"/>
      <protection/>
    </xf>
    <xf numFmtId="0" fontId="53" fillId="0" borderId="46" xfId="76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49" fontId="53" fillId="0" borderId="46" xfId="76" applyNumberFormat="1" applyFont="1" applyFill="1" applyBorder="1" applyAlignment="1">
      <alignment horizontal="center" vertical="center"/>
      <protection/>
    </xf>
    <xf numFmtId="49" fontId="53" fillId="0" borderId="47" xfId="76" applyNumberFormat="1" applyFont="1" applyFill="1" applyBorder="1" applyAlignment="1">
      <alignment horizontal="center" vertical="center"/>
      <protection/>
    </xf>
    <xf numFmtId="49" fontId="53" fillId="0" borderId="46" xfId="76" applyNumberFormat="1" applyFont="1" applyFill="1" applyBorder="1" applyAlignment="1">
      <alignment horizontal="center" vertical="center"/>
      <protection/>
    </xf>
    <xf numFmtId="49" fontId="53" fillId="0" borderId="47" xfId="76" applyNumberFormat="1" applyFont="1" applyFill="1" applyBorder="1" applyAlignment="1">
      <alignment horizontal="center" vertical="center"/>
      <protection/>
    </xf>
    <xf numFmtId="49" fontId="53" fillId="0" borderId="19" xfId="76" applyNumberFormat="1" applyFont="1" applyFill="1" applyBorder="1" applyAlignment="1">
      <alignment horizontal="center" vertical="top"/>
      <protection/>
    </xf>
    <xf numFmtId="49" fontId="53" fillId="0" borderId="35" xfId="76" applyNumberFormat="1" applyFont="1" applyFill="1" applyBorder="1" applyAlignment="1">
      <alignment horizontal="center" vertical="top"/>
      <protection/>
    </xf>
    <xf numFmtId="49" fontId="53" fillId="0" borderId="19" xfId="76" applyNumberFormat="1" applyFont="1" applyFill="1" applyBorder="1" applyAlignment="1">
      <alignment horizontal="center" vertical="top"/>
      <protection/>
    </xf>
    <xf numFmtId="49" fontId="53" fillId="0" borderId="35" xfId="76" applyNumberFormat="1" applyFont="1" applyFill="1" applyBorder="1" applyAlignment="1">
      <alignment horizontal="center" vertical="top"/>
      <protection/>
    </xf>
    <xf numFmtId="0" fontId="53" fillId="0" borderId="46" xfId="76" applyFont="1" applyFill="1" applyBorder="1" applyAlignment="1">
      <alignment horizontal="left" vertical="top" wrapText="1"/>
      <protection/>
    </xf>
    <xf numFmtId="49" fontId="53" fillId="0" borderId="20" xfId="76" applyNumberFormat="1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49" fontId="53" fillId="0" borderId="20" xfId="76" applyNumberFormat="1" applyFont="1" applyFill="1" applyBorder="1" applyAlignment="1">
      <alignment horizontal="center" vertical="center"/>
      <protection/>
    </xf>
    <xf numFmtId="0" fontId="53" fillId="0" borderId="47" xfId="76" applyFont="1" applyFill="1" applyBorder="1" applyAlignment="1">
      <alignment horizontal="left" vertical="top" wrapText="1"/>
      <protection/>
    </xf>
    <xf numFmtId="0" fontId="53" fillId="0" borderId="19" xfId="76" applyFont="1" applyFill="1" applyBorder="1" applyAlignment="1">
      <alignment horizontal="left" vertical="top" wrapText="1"/>
      <protection/>
    </xf>
    <xf numFmtId="0" fontId="53" fillId="0" borderId="35" xfId="76" applyFont="1" applyFill="1" applyBorder="1" applyAlignment="1">
      <alignment horizontal="left" vertical="top" wrapText="1"/>
      <protection/>
    </xf>
    <xf numFmtId="0" fontId="53" fillId="0" borderId="20" xfId="76" applyFont="1" applyFill="1" applyBorder="1" applyAlignment="1">
      <alignment horizontal="left" vertical="top" wrapText="1"/>
      <protection/>
    </xf>
    <xf numFmtId="0" fontId="53" fillId="0" borderId="37" xfId="76" applyFont="1" applyFill="1" applyBorder="1" applyAlignment="1">
      <alignment horizontal="left" vertical="top" wrapText="1"/>
      <protection/>
    </xf>
    <xf numFmtId="0" fontId="53" fillId="0" borderId="19" xfId="76" applyFont="1" applyFill="1" applyBorder="1" applyAlignment="1">
      <alignment horizontal="left" vertical="top" wrapText="1"/>
      <protection/>
    </xf>
    <xf numFmtId="0" fontId="53" fillId="0" borderId="35" xfId="76" applyFont="1" applyFill="1" applyBorder="1" applyAlignment="1">
      <alignment horizontal="left" vertical="top" wrapText="1"/>
      <protection/>
    </xf>
    <xf numFmtId="0" fontId="53" fillId="0" borderId="20" xfId="76" applyFont="1" applyFill="1" applyBorder="1" applyAlignment="1">
      <alignment horizontal="left" vertical="top" wrapText="1"/>
      <protection/>
    </xf>
    <xf numFmtId="0" fontId="53" fillId="0" borderId="37" xfId="76" applyFont="1" applyFill="1" applyBorder="1" applyAlignment="1">
      <alignment horizontal="left" vertical="top" wrapText="1"/>
      <protection/>
    </xf>
    <xf numFmtId="49" fontId="54" fillId="0" borderId="46" xfId="76" applyNumberFormat="1" applyFont="1" applyFill="1" applyBorder="1" applyAlignment="1">
      <alignment horizontal="left" vertical="center"/>
      <protection/>
    </xf>
    <xf numFmtId="49" fontId="54" fillId="0" borderId="12" xfId="76" applyNumberFormat="1" applyFont="1" applyFill="1" applyBorder="1" applyAlignment="1">
      <alignment horizontal="left" vertical="center"/>
      <protection/>
    </xf>
    <xf numFmtId="0" fontId="0" fillId="0" borderId="19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9" fontId="58" fillId="0" borderId="46" xfId="76" applyNumberFormat="1" applyFont="1" applyFill="1" applyBorder="1" applyAlignment="1">
      <alignment horizontal="left" vertical="center"/>
      <protection/>
    </xf>
    <xf numFmtId="49" fontId="58" fillId="0" borderId="12" xfId="76" applyNumberFormat="1" applyFont="1" applyFill="1" applyBorder="1" applyAlignment="1">
      <alignment horizontal="left" vertical="center"/>
      <protection/>
    </xf>
    <xf numFmtId="0" fontId="53" fillId="0" borderId="0" xfId="76" applyFont="1" applyFill="1" applyBorder="1" applyAlignment="1">
      <alignment horizontal="left" vertical="top" wrapText="1"/>
      <protection/>
    </xf>
    <xf numFmtId="0" fontId="53" fillId="0" borderId="14" xfId="76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horizontal="center" vertical="top"/>
    </xf>
    <xf numFmtId="49" fontId="53" fillId="0" borderId="11" xfId="76" applyNumberFormat="1" applyFont="1" applyFill="1" applyBorder="1" applyAlignment="1">
      <alignment horizontal="center" vertical="center"/>
      <protection/>
    </xf>
    <xf numFmtId="49" fontId="53" fillId="0" borderId="11" xfId="7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top" wrapText="1"/>
    </xf>
    <xf numFmtId="0" fontId="53" fillId="0" borderId="11" xfId="76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3" fillId="0" borderId="47" xfId="76" applyFont="1" applyFill="1" applyBorder="1" applyAlignment="1">
      <alignment vertical="top" wrapText="1"/>
      <protection/>
    </xf>
    <xf numFmtId="0" fontId="0" fillId="0" borderId="35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53" fillId="0" borderId="11" xfId="76" applyFont="1" applyFill="1" applyBorder="1" applyAlignment="1">
      <alignment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53" fillId="0" borderId="11" xfId="76" applyFont="1" applyFill="1" applyBorder="1" applyAlignment="1">
      <alignment vertical="top" wrapText="1"/>
      <protection/>
    </xf>
    <xf numFmtId="0" fontId="0" fillId="0" borderId="35" xfId="0" applyFill="1" applyBorder="1" applyAlignment="1">
      <alignment horizontal="center" vertical="top"/>
    </xf>
    <xf numFmtId="0" fontId="53" fillId="0" borderId="17" xfId="76" applyFont="1" applyFill="1" applyBorder="1" applyAlignment="1">
      <alignment horizontal="left" vertical="top" wrapText="1"/>
      <protection/>
    </xf>
    <xf numFmtId="0" fontId="53" fillId="0" borderId="13" xfId="76" applyFont="1" applyFill="1" applyBorder="1" applyAlignment="1">
      <alignment horizontal="left" vertical="top" wrapText="1"/>
      <protection/>
    </xf>
    <xf numFmtId="49" fontId="58" fillId="0" borderId="19" xfId="76" applyNumberFormat="1" applyFont="1" applyFill="1" applyBorder="1" applyAlignment="1">
      <alignment horizontal="left" vertical="center"/>
      <protection/>
    </xf>
    <xf numFmtId="49" fontId="58" fillId="0" borderId="0" xfId="76" applyNumberFormat="1" applyFont="1" applyFill="1" applyBorder="1" applyAlignment="1">
      <alignment horizontal="left" vertical="center"/>
      <protection/>
    </xf>
    <xf numFmtId="49" fontId="58" fillId="0" borderId="20" xfId="76" applyNumberFormat="1" applyFont="1" applyFill="1" applyBorder="1" applyAlignment="1">
      <alignment horizontal="left" vertical="center"/>
      <protection/>
    </xf>
    <xf numFmtId="49" fontId="58" fillId="0" borderId="14" xfId="76" applyNumberFormat="1" applyFont="1" applyFill="1" applyBorder="1" applyAlignment="1">
      <alignment horizontal="left" vertical="center"/>
      <protection/>
    </xf>
    <xf numFmtId="0" fontId="20" fillId="0" borderId="10" xfId="76" applyFont="1" applyFill="1" applyBorder="1" applyAlignment="1">
      <alignment horizontal="left" vertical="center"/>
      <protection/>
    </xf>
    <xf numFmtId="0" fontId="56" fillId="0" borderId="46" xfId="76" applyFont="1" applyFill="1" applyBorder="1" applyAlignment="1">
      <alignment horizontal="left" vertical="center" wrapText="1"/>
      <protection/>
    </xf>
    <xf numFmtId="0" fontId="56" fillId="0" borderId="12" xfId="76" applyFont="1" applyFill="1" applyBorder="1" applyAlignment="1">
      <alignment horizontal="left" vertical="center" wrapText="1"/>
      <protection/>
    </xf>
    <xf numFmtId="0" fontId="56" fillId="0" borderId="47" xfId="76" applyFont="1" applyFill="1" applyBorder="1" applyAlignment="1">
      <alignment horizontal="left" vertical="center" wrapText="1"/>
      <protection/>
    </xf>
    <xf numFmtId="0" fontId="56" fillId="0" borderId="19" xfId="76" applyFont="1" applyFill="1" applyBorder="1" applyAlignment="1">
      <alignment horizontal="left" vertical="center" wrapText="1"/>
      <protection/>
    </xf>
    <xf numFmtId="0" fontId="56" fillId="0" borderId="0" xfId="76" applyFont="1" applyFill="1" applyBorder="1" applyAlignment="1">
      <alignment horizontal="left" vertical="center" wrapText="1"/>
      <protection/>
    </xf>
    <xf numFmtId="0" fontId="56" fillId="0" borderId="35" xfId="76" applyFont="1" applyFill="1" applyBorder="1" applyAlignment="1">
      <alignment horizontal="left" vertical="center" wrapText="1"/>
      <protection/>
    </xf>
    <xf numFmtId="0" fontId="56" fillId="0" borderId="20" xfId="76" applyFont="1" applyFill="1" applyBorder="1" applyAlignment="1">
      <alignment horizontal="left" vertical="center" wrapText="1"/>
      <protection/>
    </xf>
    <xf numFmtId="0" fontId="56" fillId="0" borderId="14" xfId="76" applyFont="1" applyFill="1" applyBorder="1" applyAlignment="1">
      <alignment horizontal="left" vertical="center" wrapText="1"/>
      <protection/>
    </xf>
    <xf numFmtId="0" fontId="56" fillId="0" borderId="37" xfId="76" applyFont="1" applyFill="1" applyBorder="1" applyAlignment="1">
      <alignment horizontal="left" vertical="center" wrapText="1"/>
      <protection/>
    </xf>
    <xf numFmtId="49" fontId="53" fillId="0" borderId="17" xfId="76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49" fontId="53" fillId="0" borderId="17" xfId="76" applyNumberFormat="1" applyFont="1" applyFill="1" applyBorder="1" applyAlignment="1">
      <alignment horizontal="center" vertical="center"/>
      <protection/>
    </xf>
    <xf numFmtId="49" fontId="53" fillId="0" borderId="37" xfId="76" applyNumberFormat="1" applyFont="1" applyFill="1" applyBorder="1" applyAlignment="1">
      <alignment horizontal="center" vertical="center"/>
      <protection/>
    </xf>
    <xf numFmtId="49" fontId="53" fillId="0" borderId="37" xfId="76" applyNumberFormat="1" applyFont="1" applyFill="1" applyBorder="1" applyAlignment="1">
      <alignment horizontal="center" vertical="center"/>
      <protection/>
    </xf>
    <xf numFmtId="49" fontId="57" fillId="0" borderId="19" xfId="76" applyNumberFormat="1" applyFont="1" applyFill="1" applyBorder="1" applyAlignment="1">
      <alignment horizontal="center" vertical="center"/>
      <protection/>
    </xf>
    <xf numFmtId="49" fontId="57" fillId="0" borderId="35" xfId="76" applyNumberFormat="1" applyFont="1" applyFill="1" applyBorder="1" applyAlignment="1">
      <alignment horizontal="center" vertical="center"/>
      <protection/>
    </xf>
    <xf numFmtId="49" fontId="57" fillId="0" borderId="19" xfId="76" applyNumberFormat="1" applyFont="1" applyFill="1" applyBorder="1" applyAlignment="1">
      <alignment horizontal="center" vertical="center"/>
      <protection/>
    </xf>
    <xf numFmtId="49" fontId="57" fillId="0" borderId="35" xfId="76" applyNumberFormat="1" applyFont="1" applyFill="1" applyBorder="1" applyAlignment="1">
      <alignment horizontal="center" vertical="center"/>
      <protection/>
    </xf>
    <xf numFmtId="0" fontId="57" fillId="0" borderId="46" xfId="76" applyFont="1" applyFill="1" applyBorder="1" applyAlignment="1">
      <alignment horizontal="left" vertical="top" wrapText="1"/>
      <protection/>
    </xf>
    <xf numFmtId="0" fontId="57" fillId="0" borderId="47" xfId="76" applyFont="1" applyFill="1" applyBorder="1" applyAlignment="1">
      <alignment horizontal="left" vertical="top" wrapText="1"/>
      <protection/>
    </xf>
    <xf numFmtId="49" fontId="53" fillId="0" borderId="20" xfId="76" applyNumberFormat="1" applyFont="1" applyFill="1" applyBorder="1" applyAlignment="1">
      <alignment horizontal="center" vertical="top"/>
      <protection/>
    </xf>
    <xf numFmtId="49" fontId="53" fillId="0" borderId="37" xfId="76" applyNumberFormat="1" applyFont="1" applyFill="1" applyBorder="1" applyAlignment="1">
      <alignment horizontal="center" vertical="top"/>
      <protection/>
    </xf>
    <xf numFmtId="0" fontId="20" fillId="0" borderId="46" xfId="76" applyFont="1" applyFill="1" applyBorder="1" applyAlignment="1">
      <alignment horizontal="left" vertical="center"/>
      <protection/>
    </xf>
    <xf numFmtId="0" fontId="20" fillId="0" borderId="12" xfId="76" applyFont="1" applyFill="1" applyBorder="1" applyAlignment="1">
      <alignment horizontal="left" vertical="center"/>
      <protection/>
    </xf>
    <xf numFmtId="0" fontId="20" fillId="0" borderId="19" xfId="76" applyFont="1" applyFill="1" applyBorder="1" applyAlignment="1">
      <alignment horizontal="left" vertical="center"/>
      <protection/>
    </xf>
    <xf numFmtId="0" fontId="20" fillId="0" borderId="0" xfId="76" applyFont="1" applyFill="1" applyBorder="1" applyAlignment="1">
      <alignment horizontal="left" vertical="center"/>
      <protection/>
    </xf>
    <xf numFmtId="0" fontId="20" fillId="0" borderId="20" xfId="76" applyFont="1" applyFill="1" applyBorder="1" applyAlignment="1">
      <alignment horizontal="left" vertical="center"/>
      <protection/>
    </xf>
    <xf numFmtId="0" fontId="20" fillId="0" borderId="14" xfId="76" applyFont="1" applyFill="1" applyBorder="1" applyAlignment="1">
      <alignment horizontal="left" vertical="center"/>
      <protection/>
    </xf>
    <xf numFmtId="49" fontId="54" fillId="0" borderId="19" xfId="76" applyNumberFormat="1" applyFont="1" applyFill="1" applyBorder="1" applyAlignment="1">
      <alignment horizontal="left" vertical="center"/>
      <protection/>
    </xf>
    <xf numFmtId="49" fontId="54" fillId="0" borderId="0" xfId="76" applyNumberFormat="1" applyFont="1" applyFill="1" applyBorder="1" applyAlignment="1">
      <alignment horizontal="left" vertical="center"/>
      <protection/>
    </xf>
    <xf numFmtId="49" fontId="54" fillId="0" borderId="20" xfId="76" applyNumberFormat="1" applyFont="1" applyFill="1" applyBorder="1" applyAlignment="1">
      <alignment horizontal="left" vertical="center"/>
      <protection/>
    </xf>
    <xf numFmtId="49" fontId="54" fillId="0" borderId="14" xfId="76" applyNumberFormat="1" applyFont="1" applyFill="1" applyBorder="1" applyAlignment="1">
      <alignment horizontal="left" vertical="center"/>
      <protection/>
    </xf>
    <xf numFmtId="3" fontId="30" fillId="0" borderId="11" xfId="76" applyNumberFormat="1" applyFont="1" applyFill="1" applyBorder="1" applyAlignment="1">
      <alignment horizontal="center" vertical="top" wrapText="1"/>
      <protection/>
    </xf>
    <xf numFmtId="3" fontId="30" fillId="0" borderId="13" xfId="76" applyNumberFormat="1" applyFont="1" applyFill="1" applyBorder="1" applyAlignment="1">
      <alignment horizontal="center" vertical="top" wrapText="1"/>
      <protection/>
    </xf>
    <xf numFmtId="0" fontId="25" fillId="0" borderId="22" xfId="76" applyFont="1" applyFill="1" applyBorder="1" applyAlignment="1">
      <alignment horizontal="center" vertical="center"/>
      <protection/>
    </xf>
    <xf numFmtId="0" fontId="25" fillId="0" borderId="16" xfId="78" applyFont="1" applyFill="1" applyBorder="1" applyAlignment="1">
      <alignment horizontal="center" vertical="center"/>
      <protection/>
    </xf>
    <xf numFmtId="0" fontId="52" fillId="0" borderId="10" xfId="76" applyFont="1" applyFill="1" applyBorder="1" applyAlignment="1">
      <alignment horizontal="left" vertical="center" wrapText="1"/>
      <protection/>
    </xf>
    <xf numFmtId="0" fontId="20" fillId="0" borderId="22" xfId="76" applyFont="1" applyFill="1" applyBorder="1" applyAlignment="1">
      <alignment horizontal="left" vertical="center"/>
      <protection/>
    </xf>
    <xf numFmtId="0" fontId="20" fillId="0" borderId="15" xfId="76" applyFont="1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3" fontId="16" fillId="0" borderId="0" xfId="76" applyNumberFormat="1" applyFont="1" applyFill="1" applyAlignment="1">
      <alignment horizontal="left" vertical="center"/>
      <protection/>
    </xf>
    <xf numFmtId="0" fontId="21" fillId="0" borderId="0" xfId="76" applyNumberFormat="1" applyFont="1" applyFill="1" applyAlignment="1">
      <alignment horizontal="left" vertical="center" wrapText="1"/>
      <protection/>
    </xf>
    <xf numFmtId="0" fontId="19" fillId="0" borderId="0" xfId="76" applyNumberFormat="1" applyFont="1" applyFill="1" applyAlignment="1">
      <alignment horizontal="left" vertical="center" wrapText="1"/>
      <protection/>
    </xf>
    <xf numFmtId="0" fontId="30" fillId="0" borderId="46" xfId="76" applyFont="1" applyFill="1" applyBorder="1" applyAlignment="1">
      <alignment horizontal="center" vertical="top" wrapText="1"/>
      <protection/>
    </xf>
    <xf numFmtId="0" fontId="30" fillId="0" borderId="47" xfId="76" applyFont="1" applyFill="1" applyBorder="1" applyAlignment="1">
      <alignment horizontal="center" vertical="top" wrapText="1"/>
      <protection/>
    </xf>
    <xf numFmtId="0" fontId="30" fillId="0" borderId="19" xfId="76" applyFont="1" applyFill="1" applyBorder="1" applyAlignment="1">
      <alignment horizontal="center" vertical="top" wrapText="1"/>
      <protection/>
    </xf>
    <xf numFmtId="0" fontId="30" fillId="0" borderId="35" xfId="76" applyFont="1" applyFill="1" applyBorder="1" applyAlignment="1">
      <alignment horizontal="center" vertical="top" wrapText="1"/>
      <protection/>
    </xf>
    <xf numFmtId="0" fontId="30" fillId="0" borderId="20" xfId="76" applyFont="1" applyFill="1" applyBorder="1" applyAlignment="1">
      <alignment horizontal="center" vertical="top" wrapText="1"/>
      <protection/>
    </xf>
    <xf numFmtId="0" fontId="30" fillId="0" borderId="37" xfId="76" applyFont="1" applyFill="1" applyBorder="1" applyAlignment="1">
      <alignment horizontal="center" vertical="top" wrapText="1"/>
      <protection/>
    </xf>
    <xf numFmtId="0" fontId="2" fillId="0" borderId="47" xfId="78" applyFill="1" applyBorder="1" applyAlignment="1">
      <alignment vertical="top"/>
      <protection/>
    </xf>
    <xf numFmtId="0" fontId="2" fillId="0" borderId="19" xfId="78" applyFill="1" applyBorder="1" applyAlignment="1">
      <alignment vertical="top"/>
      <protection/>
    </xf>
    <xf numFmtId="0" fontId="2" fillId="0" borderId="35" xfId="78" applyFill="1" applyBorder="1" applyAlignment="1">
      <alignment vertical="top"/>
      <protection/>
    </xf>
    <xf numFmtId="0" fontId="9" fillId="0" borderId="11" xfId="78" applyFont="1" applyFill="1" applyBorder="1" applyAlignment="1">
      <alignment horizontal="center" vertical="top"/>
      <protection/>
    </xf>
    <xf numFmtId="0" fontId="100" fillId="0" borderId="17" xfId="0" applyFont="1" applyFill="1" applyBorder="1" applyAlignment="1">
      <alignment horizontal="center" vertical="top"/>
    </xf>
    <xf numFmtId="0" fontId="100" fillId="0" borderId="13" xfId="0" applyFont="1" applyFill="1" applyBorder="1" applyAlignment="1">
      <alignment horizontal="center" vertical="top"/>
    </xf>
    <xf numFmtId="0" fontId="11" fillId="0" borderId="11" xfId="78" applyFont="1" applyFill="1" applyBorder="1" applyAlignment="1">
      <alignment horizontal="center" vertical="top"/>
      <protection/>
    </xf>
    <xf numFmtId="0" fontId="11" fillId="0" borderId="17" xfId="78" applyFont="1" applyFill="1" applyBorder="1" applyAlignment="1">
      <alignment horizontal="center" vertical="top"/>
      <protection/>
    </xf>
    <xf numFmtId="0" fontId="11" fillId="0" borderId="13" xfId="78" applyFont="1" applyFill="1" applyBorder="1" applyAlignment="1">
      <alignment horizontal="center" vertical="top"/>
      <protection/>
    </xf>
    <xf numFmtId="3" fontId="30" fillId="0" borderId="22" xfId="76" applyNumberFormat="1" applyFont="1" applyFill="1" applyBorder="1" applyAlignment="1">
      <alignment horizontal="center" vertical="top" wrapText="1"/>
      <protection/>
    </xf>
    <xf numFmtId="3" fontId="30" fillId="0" borderId="15" xfId="76" applyNumberFormat="1" applyFont="1" applyFill="1" applyBorder="1" applyAlignment="1">
      <alignment horizontal="center" vertical="top" wrapText="1"/>
      <protection/>
    </xf>
    <xf numFmtId="3" fontId="30" fillId="0" borderId="16" xfId="76" applyNumberFormat="1" applyFont="1" applyFill="1" applyBorder="1" applyAlignment="1">
      <alignment horizontal="center" vertical="top" wrapText="1"/>
      <protection/>
    </xf>
    <xf numFmtId="0" fontId="16" fillId="0" borderId="11" xfId="76" applyFont="1" applyFill="1" applyBorder="1" applyAlignment="1">
      <alignment vertical="top" wrapText="1"/>
      <protection/>
    </xf>
    <xf numFmtId="0" fontId="16" fillId="0" borderId="11" xfId="76" applyFont="1" applyFill="1" applyBorder="1" applyAlignment="1">
      <alignment horizontal="justify" vertical="top" wrapText="1"/>
      <protection/>
    </xf>
    <xf numFmtId="0" fontId="0" fillId="0" borderId="17" xfId="0" applyFill="1" applyBorder="1" applyAlignment="1">
      <alignment horizontal="justify" vertical="top" wrapText="1"/>
    </xf>
    <xf numFmtId="0" fontId="0" fillId="0" borderId="13" xfId="0" applyFill="1" applyBorder="1" applyAlignment="1">
      <alignment horizontal="justify" vertical="top" wrapText="1"/>
    </xf>
    <xf numFmtId="0" fontId="16" fillId="0" borderId="17" xfId="76" applyFont="1" applyFill="1" applyBorder="1" applyAlignment="1">
      <alignment vertical="top" wrapText="1"/>
      <protection/>
    </xf>
    <xf numFmtId="0" fontId="16" fillId="0" borderId="17" xfId="76" applyFont="1" applyFill="1" applyBorder="1" applyAlignment="1">
      <alignment horizontal="justify" vertical="top" wrapText="1"/>
      <protection/>
    </xf>
    <xf numFmtId="49" fontId="16" fillId="0" borderId="17" xfId="76" applyNumberFormat="1" applyFont="1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49" fontId="16" fillId="0" borderId="11" xfId="76" applyNumberFormat="1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16" fillId="0" borderId="11" xfId="76" applyFont="1" applyFill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vertical="top" wrapText="1"/>
      <protection/>
    </xf>
    <xf numFmtId="0" fontId="16" fillId="0" borderId="11" xfId="76" applyFont="1" applyFill="1" applyBorder="1" applyAlignment="1" applyProtection="1">
      <alignment horizontal="justify" vertical="top" wrapText="1"/>
      <protection/>
    </xf>
    <xf numFmtId="0" fontId="0" fillId="0" borderId="17" xfId="0" applyFill="1" applyBorder="1" applyAlignment="1" applyProtection="1">
      <alignment horizontal="justify" vertical="top" wrapText="1"/>
      <protection/>
    </xf>
    <xf numFmtId="0" fontId="0" fillId="0" borderId="13" xfId="0" applyFill="1" applyBorder="1" applyAlignment="1" applyProtection="1">
      <alignment horizontal="justify" vertical="top" wrapText="1"/>
      <protection/>
    </xf>
    <xf numFmtId="49" fontId="16" fillId="0" borderId="17" xfId="76" applyNumberFormat="1" applyFont="1" applyFill="1" applyBorder="1" applyAlignment="1" applyProtection="1">
      <alignment horizontal="center" vertical="top" wrapText="1"/>
      <protection/>
    </xf>
    <xf numFmtId="0" fontId="16" fillId="0" borderId="11" xfId="76" applyFont="1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9" fontId="16" fillId="0" borderId="11" xfId="82" applyFont="1" applyFill="1" applyBorder="1" applyAlignment="1">
      <alignment vertical="top" wrapText="1"/>
    </xf>
    <xf numFmtId="9" fontId="16" fillId="0" borderId="11" xfId="82" applyFont="1" applyFill="1" applyBorder="1" applyAlignment="1">
      <alignment horizontal="justify" vertical="top" wrapText="1"/>
    </xf>
    <xf numFmtId="9" fontId="16" fillId="0" borderId="17" xfId="82" applyFont="1" applyFill="1" applyBorder="1" applyAlignment="1">
      <alignment vertical="top" wrapText="1"/>
    </xf>
    <xf numFmtId="9" fontId="16" fillId="0" borderId="13" xfId="82" applyFont="1" applyFill="1" applyBorder="1" applyAlignment="1">
      <alignment vertical="top" wrapText="1"/>
    </xf>
    <xf numFmtId="9" fontId="16" fillId="0" borderId="17" xfId="82" applyFont="1" applyFill="1" applyBorder="1" applyAlignment="1">
      <alignment horizontal="justify" vertical="top" wrapText="1"/>
    </xf>
    <xf numFmtId="9" fontId="16" fillId="0" borderId="13" xfId="82" applyFont="1" applyFill="1" applyBorder="1" applyAlignment="1">
      <alignment horizontal="justify" vertical="top" wrapText="1"/>
    </xf>
    <xf numFmtId="9" fontId="16" fillId="0" borderId="17" xfId="82" applyFont="1" applyFill="1" applyBorder="1" applyAlignment="1" applyProtection="1">
      <alignment horizontal="center" vertical="top"/>
      <protection/>
    </xf>
    <xf numFmtId="9" fontId="16" fillId="0" borderId="11" xfId="82" applyFont="1" applyFill="1" applyBorder="1" applyAlignment="1" applyProtection="1">
      <alignment vertical="top" wrapText="1"/>
      <protection/>
    </xf>
    <xf numFmtId="9" fontId="16" fillId="0" borderId="11" xfId="82" applyFont="1" applyFill="1" applyBorder="1" applyAlignment="1" applyProtection="1">
      <alignment horizontal="justify" vertical="top" wrapText="1"/>
      <protection/>
    </xf>
    <xf numFmtId="49" fontId="16" fillId="0" borderId="11" xfId="76" applyNumberFormat="1" applyFont="1" applyFill="1" applyBorder="1" applyAlignment="1" applyProtection="1">
      <alignment horizontal="center" vertical="top"/>
      <protection/>
    </xf>
    <xf numFmtId="0" fontId="19" fillId="0" borderId="46" xfId="76" applyFont="1" applyFill="1" applyBorder="1" applyAlignment="1">
      <alignment horizontal="center" vertical="center" wrapText="1"/>
      <protection/>
    </xf>
    <xf numFmtId="0" fontId="19" fillId="0" borderId="12" xfId="76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9" fillId="0" borderId="22" xfId="76" applyFont="1" applyFill="1" applyBorder="1" applyAlignment="1">
      <alignment horizontal="center" vertical="center" wrapText="1"/>
      <protection/>
    </xf>
    <xf numFmtId="0" fontId="19" fillId="0" borderId="15" xfId="76" applyFont="1" applyFill="1" applyBorder="1" applyAlignment="1">
      <alignment horizontal="center" vertical="center" wrapText="1"/>
      <protection/>
    </xf>
    <xf numFmtId="0" fontId="19" fillId="0" borderId="16" xfId="76" applyFont="1" applyFill="1" applyBorder="1" applyAlignment="1">
      <alignment horizontal="center" vertical="center" wrapText="1"/>
      <protection/>
    </xf>
    <xf numFmtId="3" fontId="16" fillId="0" borderId="0" xfId="76" applyNumberFormat="1" applyFont="1" applyFill="1" applyAlignment="1" applyProtection="1">
      <alignment horizontal="left"/>
      <protection/>
    </xf>
    <xf numFmtId="3" fontId="16" fillId="0" borderId="0" xfId="76" applyNumberFormat="1" applyFont="1" applyFill="1" applyAlignment="1" applyProtection="1">
      <alignment horizontal="left" wrapText="1"/>
      <protection/>
    </xf>
    <xf numFmtId="0" fontId="16" fillId="0" borderId="0" xfId="76" applyNumberFormat="1" applyFont="1" applyFill="1" applyAlignment="1" applyProtection="1">
      <alignment horizontal="justify" wrapText="1"/>
      <protection/>
    </xf>
    <xf numFmtId="0" fontId="17" fillId="0" borderId="11" xfId="76" applyFont="1" applyFill="1" applyBorder="1" applyAlignment="1">
      <alignment horizontal="center" vertical="top"/>
      <protection/>
    </xf>
    <xf numFmtId="0" fontId="17" fillId="0" borderId="13" xfId="76" applyFont="1" applyFill="1" applyBorder="1" applyAlignment="1">
      <alignment horizontal="center" vertical="top"/>
      <protection/>
    </xf>
    <xf numFmtId="0" fontId="17" fillId="0" borderId="22" xfId="76" applyFont="1" applyFill="1" applyBorder="1" applyAlignment="1">
      <alignment horizontal="center" vertical="top" wrapText="1"/>
      <protection/>
    </xf>
    <xf numFmtId="0" fontId="17" fillId="0" borderId="16" xfId="76" applyFont="1" applyFill="1" applyBorder="1" applyAlignment="1">
      <alignment horizontal="center" vertical="top" wrapText="1"/>
      <protection/>
    </xf>
    <xf numFmtId="3" fontId="17" fillId="0" borderId="11" xfId="76" applyNumberFormat="1" applyFont="1" applyFill="1" applyBorder="1" applyAlignment="1">
      <alignment horizontal="center" vertical="top" wrapText="1"/>
      <protection/>
    </xf>
    <xf numFmtId="3" fontId="17" fillId="0" borderId="13" xfId="76" applyNumberFormat="1" applyFont="1" applyFill="1" applyBorder="1" applyAlignment="1">
      <alignment horizontal="center" vertical="top" wrapText="1"/>
      <protection/>
    </xf>
    <xf numFmtId="0" fontId="17" fillId="0" borderId="11" xfId="76" applyFont="1" applyFill="1" applyBorder="1" applyAlignment="1">
      <alignment horizontal="center" vertical="top" wrapText="1"/>
      <protection/>
    </xf>
    <xf numFmtId="0" fontId="17" fillId="0" borderId="13" xfId="76" applyFont="1" applyFill="1" applyBorder="1" applyAlignment="1">
      <alignment horizontal="center" vertical="top" wrapText="1"/>
      <protection/>
    </xf>
    <xf numFmtId="0" fontId="8" fillId="0" borderId="0" xfId="57" applyFont="1" applyFill="1" applyAlignment="1">
      <alignment horizontal="justify" vertical="center" wrapText="1"/>
      <protection/>
    </xf>
    <xf numFmtId="0" fontId="44" fillId="0" borderId="11" xfId="69" applyFont="1" applyFill="1" applyBorder="1" applyAlignment="1">
      <alignment horizontal="center" vertical="top"/>
      <protection/>
    </xf>
    <xf numFmtId="0" fontId="44" fillId="0" borderId="17" xfId="69" applyFont="1" applyFill="1" applyBorder="1" applyAlignment="1">
      <alignment horizontal="center" vertical="top"/>
      <protection/>
    </xf>
    <xf numFmtId="0" fontId="44" fillId="0" borderId="13" xfId="69" applyFont="1" applyFill="1" applyBorder="1" applyAlignment="1">
      <alignment horizontal="center" vertical="top"/>
      <protection/>
    </xf>
    <xf numFmtId="0" fontId="44" fillId="0" borderId="46" xfId="69" applyFont="1" applyFill="1" applyBorder="1" applyAlignment="1">
      <alignment horizontal="left" vertical="top" wrapText="1"/>
      <protection/>
    </xf>
    <xf numFmtId="0" fontId="44" fillId="0" borderId="19" xfId="69" applyFont="1" applyFill="1" applyBorder="1" applyAlignment="1">
      <alignment horizontal="left" vertical="top" wrapText="1"/>
      <protection/>
    </xf>
    <xf numFmtId="0" fontId="44" fillId="0" borderId="20" xfId="69" applyFont="1" applyFill="1" applyBorder="1" applyAlignment="1">
      <alignment horizontal="left" vertical="top" wrapText="1"/>
      <protection/>
    </xf>
    <xf numFmtId="0" fontId="46" fillId="0" borderId="11" xfId="69" applyFont="1" applyFill="1" applyBorder="1" applyAlignment="1">
      <alignment horizontal="center" vertical="center" wrapText="1"/>
      <protection/>
    </xf>
    <xf numFmtId="0" fontId="46" fillId="0" borderId="17" xfId="69" applyFont="1" applyFill="1" applyBorder="1" applyAlignment="1">
      <alignment horizontal="center" vertical="center" wrapText="1"/>
      <protection/>
    </xf>
    <xf numFmtId="0" fontId="46" fillId="0" borderId="13" xfId="69" applyFont="1" applyFill="1" applyBorder="1" applyAlignment="1">
      <alignment horizontal="center" vertical="center" wrapText="1"/>
      <protection/>
    </xf>
    <xf numFmtId="0" fontId="26" fillId="0" borderId="17" xfId="69" applyFont="1" applyFill="1" applyBorder="1" applyAlignment="1">
      <alignment horizontal="center" vertical="top"/>
      <protection/>
    </xf>
    <xf numFmtId="0" fontId="26" fillId="0" borderId="17" xfId="69" applyFont="1" applyFill="1" applyBorder="1" applyAlignment="1">
      <alignment horizontal="left" vertical="top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0" fillId="0" borderId="13" xfId="69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center" vertical="top"/>
      <protection/>
    </xf>
    <xf numFmtId="0" fontId="26" fillId="0" borderId="13" xfId="69" applyFont="1" applyFill="1" applyBorder="1" applyAlignment="1">
      <alignment horizontal="left" vertical="top" wrapText="1"/>
      <protection/>
    </xf>
    <xf numFmtId="0" fontId="8" fillId="0" borderId="11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</cellXfs>
  <cellStyles count="7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10" xfId="56"/>
    <cellStyle name="Normalny 2" xfId="57"/>
    <cellStyle name="Normalny 2 2" xfId="58"/>
    <cellStyle name="Normalny 2_RDW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Normalny 9" xfId="66"/>
    <cellStyle name="Normalny_IZ 2011" xfId="67"/>
    <cellStyle name="Normalny_rachunek doch wł 2006" xfId="68"/>
    <cellStyle name="Normalny_RDW 2014" xfId="69"/>
    <cellStyle name="Normalny_RPO 2011" xfId="70"/>
    <cellStyle name="Normalny_Załącznik  nr 7  RPO na 2010" xfId="71"/>
    <cellStyle name="Normalny_załącznik nr 1" xfId="72"/>
    <cellStyle name="Normalny_Załącznik nr 3  do proj. budżetu na 2006r._Zał. Nr 3 i Nr 21 do proj.budż.po Autopoprawce" xfId="73"/>
    <cellStyle name="Normalny_Załącznik nr 3  do proj. budżetu na 2006r._Załączniki Nr 3 do US z dnia 22.12.2008 r." xfId="74"/>
    <cellStyle name="Normalny_Załącznik nr 9  PROW na 2010" xfId="75"/>
    <cellStyle name="Normalny_Załączniki do  budżetu na 2005 r" xfId="76"/>
    <cellStyle name="Normalny_Załączniki do budżetu na 2006 r._Zał. Nr 3 i Nr 21 do proj.budż.po Autopoprawce" xfId="77"/>
    <cellStyle name="Normalny_Załączniki do projektu budżetu na 2009 r." xfId="78"/>
    <cellStyle name="Obliczenia" xfId="79"/>
    <cellStyle name="Followed Hyperlink" xfId="80"/>
    <cellStyle name="Percent" xfId="81"/>
    <cellStyle name="Procentowy 2" xfId="82"/>
    <cellStyle name="Styl 1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view="pageBreakPreview" zoomScale="75" zoomScaleSheetLayoutView="75" zoomScalePageLayoutView="0" workbookViewId="0" topLeftCell="A82">
      <selection activeCell="B113" sqref="B113:B115"/>
    </sheetView>
  </sheetViews>
  <sheetFormatPr defaultColWidth="8" defaultRowHeight="14.25"/>
  <cols>
    <col min="1" max="1" width="5" style="258" customWidth="1"/>
    <col min="2" max="2" width="27.59765625" style="259" customWidth="1"/>
    <col min="3" max="3" width="3.09765625" style="259" customWidth="1"/>
    <col min="4" max="4" width="12.8984375" style="260" customWidth="1"/>
    <col min="5" max="7" width="11.3984375" style="131" customWidth="1"/>
    <col min="8" max="9" width="11.09765625" style="131" customWidth="1"/>
    <col min="10" max="11" width="10.8984375" style="131" customWidth="1"/>
    <col min="12" max="14" width="11.3984375" style="131" customWidth="1"/>
    <col min="15" max="15" width="11.09765625" style="131" customWidth="1"/>
    <col min="16" max="17" width="11.3984375" style="131" customWidth="1"/>
    <col min="18" max="19" width="8" style="131" customWidth="1"/>
    <col min="20" max="16384" width="8" style="131" customWidth="1"/>
  </cols>
  <sheetData>
    <row r="1" spans="1:17" ht="12.75">
      <c r="A1" s="127"/>
      <c r="B1" s="128"/>
      <c r="C1" s="128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 t="s">
        <v>458</v>
      </c>
      <c r="O1" s="130"/>
      <c r="P1" s="130"/>
      <c r="Q1" s="130"/>
    </row>
    <row r="2" spans="1:17" ht="12.75">
      <c r="A2" s="127"/>
      <c r="B2" s="128"/>
      <c r="C2" s="128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 t="s">
        <v>414</v>
      </c>
      <c r="O2" s="130"/>
      <c r="P2" s="130"/>
      <c r="Q2" s="130"/>
    </row>
    <row r="3" spans="1:17" ht="12.75">
      <c r="A3" s="127"/>
      <c r="B3" s="128"/>
      <c r="C3" s="128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0" t="s">
        <v>415</v>
      </c>
      <c r="O3" s="130"/>
      <c r="P3" s="130"/>
      <c r="Q3" s="130"/>
    </row>
    <row r="4" spans="1:16" ht="6.75" customHeight="1">
      <c r="A4" s="732"/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</row>
    <row r="5" spans="1:22" ht="30" customHeight="1">
      <c r="A5" s="733" t="s">
        <v>416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132"/>
      <c r="S5" s="132"/>
      <c r="T5" s="132"/>
      <c r="U5" s="132"/>
      <c r="V5" s="132"/>
    </row>
    <row r="6" spans="1:17" ht="11.25" customHeight="1" thickBot="1">
      <c r="A6" s="127"/>
      <c r="B6" s="128"/>
      <c r="C6" s="128"/>
      <c r="D6" s="129"/>
      <c r="E6" s="130"/>
      <c r="F6" s="130"/>
      <c r="G6" s="133"/>
      <c r="H6" s="133"/>
      <c r="I6" s="133"/>
      <c r="J6" s="133"/>
      <c r="K6" s="133"/>
      <c r="L6" s="133"/>
      <c r="M6" s="133"/>
      <c r="N6" s="130"/>
      <c r="O6" s="130"/>
      <c r="P6" s="134"/>
      <c r="Q6" s="134" t="s">
        <v>0</v>
      </c>
    </row>
    <row r="7" spans="1:17" s="136" customFormat="1" ht="17.25" customHeight="1">
      <c r="A7" s="734" t="s">
        <v>1</v>
      </c>
      <c r="B7" s="737" t="s">
        <v>89</v>
      </c>
      <c r="C7" s="135"/>
      <c r="D7" s="740" t="s">
        <v>90</v>
      </c>
      <c r="E7" s="743" t="s">
        <v>417</v>
      </c>
      <c r="F7" s="757" t="s">
        <v>418</v>
      </c>
      <c r="G7" s="743" t="s">
        <v>419</v>
      </c>
      <c r="H7" s="759"/>
      <c r="I7" s="759"/>
      <c r="J7" s="759"/>
      <c r="K7" s="759"/>
      <c r="L7" s="759"/>
      <c r="M7" s="759"/>
      <c r="N7" s="759"/>
      <c r="O7" s="759"/>
      <c r="P7" s="759"/>
      <c r="Q7" s="760"/>
    </row>
    <row r="8" spans="1:17" s="136" customFormat="1" ht="18" customHeight="1">
      <c r="A8" s="735"/>
      <c r="B8" s="738"/>
      <c r="C8" s="137"/>
      <c r="D8" s="741"/>
      <c r="E8" s="744"/>
      <c r="F8" s="758"/>
      <c r="G8" s="749" t="s">
        <v>420</v>
      </c>
      <c r="H8" s="750"/>
      <c r="I8" s="750"/>
      <c r="J8" s="750"/>
      <c r="K8" s="750"/>
      <c r="L8" s="750"/>
      <c r="M8" s="751"/>
      <c r="N8" s="749" t="s">
        <v>421</v>
      </c>
      <c r="O8" s="750"/>
      <c r="P8" s="750"/>
      <c r="Q8" s="751"/>
    </row>
    <row r="9" spans="1:17" s="136" customFormat="1" ht="29.25" customHeight="1">
      <c r="A9" s="735"/>
      <c r="B9" s="738"/>
      <c r="C9" s="137"/>
      <c r="D9" s="741"/>
      <c r="E9" s="744"/>
      <c r="F9" s="758"/>
      <c r="G9" s="752" t="s">
        <v>422</v>
      </c>
      <c r="H9" s="753" t="s">
        <v>423</v>
      </c>
      <c r="I9" s="754"/>
      <c r="J9" s="755" t="s">
        <v>424</v>
      </c>
      <c r="K9" s="755" t="s">
        <v>425</v>
      </c>
      <c r="L9" s="755" t="s">
        <v>426</v>
      </c>
      <c r="M9" s="746" t="s">
        <v>427</v>
      </c>
      <c r="N9" s="755" t="s">
        <v>428</v>
      </c>
      <c r="O9" s="755" t="s">
        <v>424</v>
      </c>
      <c r="P9" s="746" t="s">
        <v>425</v>
      </c>
      <c r="Q9" s="747" t="s">
        <v>427</v>
      </c>
    </row>
    <row r="10" spans="1:17" s="136" customFormat="1" ht="42" customHeight="1">
      <c r="A10" s="736"/>
      <c r="B10" s="739"/>
      <c r="C10" s="138"/>
      <c r="D10" s="742"/>
      <c r="E10" s="745"/>
      <c r="F10" s="756"/>
      <c r="G10" s="745"/>
      <c r="H10" s="139" t="s">
        <v>429</v>
      </c>
      <c r="I10" s="140" t="s">
        <v>430</v>
      </c>
      <c r="J10" s="756"/>
      <c r="K10" s="756"/>
      <c r="L10" s="756"/>
      <c r="M10" s="745"/>
      <c r="N10" s="756"/>
      <c r="O10" s="756"/>
      <c r="P10" s="745"/>
      <c r="Q10" s="748"/>
    </row>
    <row r="11" spans="1:17" s="147" customFormat="1" ht="12" customHeight="1">
      <c r="A11" s="141" t="s">
        <v>431</v>
      </c>
      <c r="B11" s="142" t="s">
        <v>432</v>
      </c>
      <c r="C11" s="142"/>
      <c r="D11" s="143" t="s">
        <v>433</v>
      </c>
      <c r="E11" s="143" t="s">
        <v>434</v>
      </c>
      <c r="F11" s="143" t="s">
        <v>435</v>
      </c>
      <c r="G11" s="144" t="s">
        <v>436</v>
      </c>
      <c r="H11" s="143" t="s">
        <v>437</v>
      </c>
      <c r="I11" s="145" t="s">
        <v>438</v>
      </c>
      <c r="J11" s="143" t="s">
        <v>439</v>
      </c>
      <c r="K11" s="143" t="s">
        <v>440</v>
      </c>
      <c r="L11" s="143" t="s">
        <v>441</v>
      </c>
      <c r="M11" s="143" t="s">
        <v>442</v>
      </c>
      <c r="N11" s="143" t="s">
        <v>443</v>
      </c>
      <c r="O11" s="143" t="s">
        <v>444</v>
      </c>
      <c r="P11" s="144" t="s">
        <v>445</v>
      </c>
      <c r="Q11" s="146" t="s">
        <v>446</v>
      </c>
    </row>
    <row r="12" spans="1:17" s="154" customFormat="1" ht="6.75" customHeight="1" thickBot="1">
      <c r="A12" s="148"/>
      <c r="B12" s="149"/>
      <c r="C12" s="149"/>
      <c r="D12" s="150"/>
      <c r="E12" s="151"/>
      <c r="F12" s="151"/>
      <c r="G12" s="151"/>
      <c r="H12" s="152"/>
      <c r="I12" s="151"/>
      <c r="J12" s="151"/>
      <c r="K12" s="151"/>
      <c r="L12" s="151"/>
      <c r="M12" s="151"/>
      <c r="N12" s="151"/>
      <c r="O12" s="151"/>
      <c r="P12" s="151"/>
      <c r="Q12" s="153"/>
    </row>
    <row r="13" spans="1:20" s="160" customFormat="1" ht="19.5" customHeight="1">
      <c r="A13" s="767"/>
      <c r="B13" s="770" t="s">
        <v>447</v>
      </c>
      <c r="C13" s="155" t="s">
        <v>13</v>
      </c>
      <c r="D13" s="156">
        <f>SUM(E13:Q13)</f>
        <v>774130521</v>
      </c>
      <c r="E13" s="157">
        <f aca="true" t="shared" si="0" ref="E13:Q15">E17+E21+E29+E33+E41+E45+E49+E53+E57+E61+E65+E69+E73+E77+E81+E85+E93+E97+E101+E25+E89+E37</f>
        <v>538367413</v>
      </c>
      <c r="F13" s="157">
        <f t="shared" si="0"/>
        <v>20785795</v>
      </c>
      <c r="G13" s="157">
        <f t="shared" si="0"/>
        <v>63143342</v>
      </c>
      <c r="H13" s="157">
        <f t="shared" si="0"/>
        <v>40799451</v>
      </c>
      <c r="I13" s="157">
        <f t="shared" si="0"/>
        <v>29467003</v>
      </c>
      <c r="J13" s="157">
        <f t="shared" si="0"/>
        <v>1179043</v>
      </c>
      <c r="K13" s="157">
        <f t="shared" si="0"/>
        <v>718712</v>
      </c>
      <c r="L13" s="157">
        <f t="shared" si="0"/>
        <v>1549027</v>
      </c>
      <c r="M13" s="157">
        <f t="shared" si="0"/>
        <v>354</v>
      </c>
      <c r="N13" s="157">
        <f t="shared" si="0"/>
        <v>55520569</v>
      </c>
      <c r="O13" s="157">
        <f t="shared" si="0"/>
        <v>7678079</v>
      </c>
      <c r="P13" s="158">
        <f t="shared" si="0"/>
        <v>11211464</v>
      </c>
      <c r="Q13" s="159">
        <f t="shared" si="0"/>
        <v>3710269</v>
      </c>
      <c r="T13" s="161"/>
    </row>
    <row r="14" spans="1:20" s="160" customFormat="1" ht="19.5" customHeight="1">
      <c r="A14" s="768"/>
      <c r="B14" s="771"/>
      <c r="C14" s="162" t="s">
        <v>14</v>
      </c>
      <c r="D14" s="163">
        <f>SUM(E14:Q14)</f>
        <v>1243620</v>
      </c>
      <c r="E14" s="163">
        <f t="shared" si="0"/>
        <v>-6856029</v>
      </c>
      <c r="F14" s="163">
        <f t="shared" si="0"/>
        <v>180205</v>
      </c>
      <c r="G14" s="163">
        <f t="shared" si="0"/>
        <v>6449049</v>
      </c>
      <c r="H14" s="163">
        <f t="shared" si="0"/>
        <v>761907</v>
      </c>
      <c r="I14" s="163">
        <f t="shared" si="0"/>
        <v>34460</v>
      </c>
      <c r="J14" s="163">
        <f t="shared" si="0"/>
        <v>2123</v>
      </c>
      <c r="K14" s="163">
        <f t="shared" si="0"/>
        <v>0</v>
      </c>
      <c r="L14" s="163">
        <f t="shared" si="0"/>
        <v>-23662</v>
      </c>
      <c r="M14" s="163">
        <f t="shared" si="0"/>
        <v>185</v>
      </c>
      <c r="N14" s="163">
        <f t="shared" si="0"/>
        <v>0</v>
      </c>
      <c r="O14" s="163">
        <f t="shared" si="0"/>
        <v>480912</v>
      </c>
      <c r="P14" s="164">
        <f t="shared" si="0"/>
        <v>214470</v>
      </c>
      <c r="Q14" s="165">
        <f t="shared" si="0"/>
        <v>0</v>
      </c>
      <c r="T14" s="161"/>
    </row>
    <row r="15" spans="1:20" s="160" customFormat="1" ht="19.5" customHeight="1" thickBot="1">
      <c r="A15" s="769"/>
      <c r="B15" s="772"/>
      <c r="C15" s="166" t="s">
        <v>15</v>
      </c>
      <c r="D15" s="167">
        <f>SUM(E15:Q15)</f>
        <v>775374141</v>
      </c>
      <c r="E15" s="167">
        <f t="shared" si="0"/>
        <v>531511384</v>
      </c>
      <c r="F15" s="167">
        <f t="shared" si="0"/>
        <v>20966000</v>
      </c>
      <c r="G15" s="167">
        <f t="shared" si="0"/>
        <v>69592391</v>
      </c>
      <c r="H15" s="167">
        <f t="shared" si="0"/>
        <v>41561358</v>
      </c>
      <c r="I15" s="167">
        <f t="shared" si="0"/>
        <v>29501463</v>
      </c>
      <c r="J15" s="167">
        <f t="shared" si="0"/>
        <v>1181166</v>
      </c>
      <c r="K15" s="167">
        <f t="shared" si="0"/>
        <v>718712</v>
      </c>
      <c r="L15" s="167">
        <f t="shared" si="0"/>
        <v>1525365</v>
      </c>
      <c r="M15" s="167">
        <f t="shared" si="0"/>
        <v>539</v>
      </c>
      <c r="N15" s="167">
        <f t="shared" si="0"/>
        <v>55520569</v>
      </c>
      <c r="O15" s="167">
        <f t="shared" si="0"/>
        <v>8158991</v>
      </c>
      <c r="P15" s="168">
        <f t="shared" si="0"/>
        <v>11425934</v>
      </c>
      <c r="Q15" s="169">
        <f t="shared" si="0"/>
        <v>3710269</v>
      </c>
      <c r="T15" s="161"/>
    </row>
    <row r="16" spans="1:20" s="178" customFormat="1" ht="6.75" customHeight="1">
      <c r="A16" s="170"/>
      <c r="B16" s="171"/>
      <c r="C16" s="171"/>
      <c r="D16" s="172"/>
      <c r="E16" s="173"/>
      <c r="F16" s="174"/>
      <c r="G16" s="174"/>
      <c r="H16" s="175"/>
      <c r="I16" s="174"/>
      <c r="J16" s="174"/>
      <c r="K16" s="176"/>
      <c r="L16" s="174"/>
      <c r="M16" s="174"/>
      <c r="N16" s="174"/>
      <c r="O16" s="174"/>
      <c r="P16" s="174"/>
      <c r="Q16" s="177"/>
      <c r="T16" s="179"/>
    </row>
    <row r="17" spans="1:20" s="187" customFormat="1" ht="20.25" customHeight="1">
      <c r="A17" s="761" t="s">
        <v>16</v>
      </c>
      <c r="B17" s="764" t="s">
        <v>448</v>
      </c>
      <c r="C17" s="180" t="s">
        <v>13</v>
      </c>
      <c r="D17" s="181">
        <f>SUM(E17:Q17)</f>
        <v>12013271</v>
      </c>
      <c r="E17" s="182">
        <v>0</v>
      </c>
      <c r="F17" s="182">
        <v>6509150</v>
      </c>
      <c r="G17" s="183">
        <v>0</v>
      </c>
      <c r="H17" s="182">
        <v>3500000</v>
      </c>
      <c r="I17" s="184">
        <v>2000000</v>
      </c>
      <c r="J17" s="182">
        <v>0</v>
      </c>
      <c r="K17" s="185">
        <v>0</v>
      </c>
      <c r="L17" s="183">
        <v>0</v>
      </c>
      <c r="M17" s="183">
        <v>0</v>
      </c>
      <c r="N17" s="182">
        <v>4121</v>
      </c>
      <c r="O17" s="182">
        <v>0</v>
      </c>
      <c r="P17" s="184">
        <v>0</v>
      </c>
      <c r="Q17" s="186">
        <v>0</v>
      </c>
      <c r="T17" s="188"/>
    </row>
    <row r="18" spans="1:20" s="187" customFormat="1" ht="20.25" customHeight="1">
      <c r="A18" s="762"/>
      <c r="B18" s="765"/>
      <c r="C18" s="180" t="s">
        <v>14</v>
      </c>
      <c r="D18" s="181">
        <f>SUM(E18:Q18)</f>
        <v>150</v>
      </c>
      <c r="E18" s="189">
        <v>0</v>
      </c>
      <c r="F18" s="189">
        <v>150</v>
      </c>
      <c r="G18" s="190">
        <v>0</v>
      </c>
      <c r="H18" s="189">
        <v>0</v>
      </c>
      <c r="I18" s="190">
        <v>0</v>
      </c>
      <c r="J18" s="189">
        <v>0</v>
      </c>
      <c r="K18" s="191">
        <v>0</v>
      </c>
      <c r="L18" s="192">
        <v>0</v>
      </c>
      <c r="M18" s="192">
        <v>0</v>
      </c>
      <c r="N18" s="189">
        <v>0</v>
      </c>
      <c r="O18" s="189">
        <v>0</v>
      </c>
      <c r="P18" s="190">
        <v>0</v>
      </c>
      <c r="Q18" s="193">
        <v>0</v>
      </c>
      <c r="T18" s="188"/>
    </row>
    <row r="19" spans="1:20" s="187" customFormat="1" ht="20.25" customHeight="1">
      <c r="A19" s="763"/>
      <c r="B19" s="766"/>
      <c r="C19" s="180" t="s">
        <v>15</v>
      </c>
      <c r="D19" s="181">
        <f>SUM(E19:Q19)</f>
        <v>12013421</v>
      </c>
      <c r="E19" s="189">
        <f>E17+E18</f>
        <v>0</v>
      </c>
      <c r="F19" s="189">
        <f aca="true" t="shared" si="1" ref="F19:P19">F17+F18</f>
        <v>6509300</v>
      </c>
      <c r="G19" s="189">
        <f t="shared" si="1"/>
        <v>0</v>
      </c>
      <c r="H19" s="189">
        <f t="shared" si="1"/>
        <v>3500000</v>
      </c>
      <c r="I19" s="189">
        <f t="shared" si="1"/>
        <v>2000000</v>
      </c>
      <c r="J19" s="189">
        <f t="shared" si="1"/>
        <v>0</v>
      </c>
      <c r="K19" s="189">
        <f t="shared" si="1"/>
        <v>0</v>
      </c>
      <c r="L19" s="189">
        <f t="shared" si="1"/>
        <v>0</v>
      </c>
      <c r="M19" s="189">
        <f>M17+M18</f>
        <v>0</v>
      </c>
      <c r="N19" s="189">
        <f t="shared" si="1"/>
        <v>4121</v>
      </c>
      <c r="O19" s="189">
        <f t="shared" si="1"/>
        <v>0</v>
      </c>
      <c r="P19" s="192">
        <f t="shared" si="1"/>
        <v>0</v>
      </c>
      <c r="Q19" s="193">
        <f>Q17+Q18</f>
        <v>0</v>
      </c>
      <c r="T19" s="188"/>
    </row>
    <row r="20" spans="1:20" s="187" customFormat="1" ht="6.75" customHeight="1">
      <c r="A20" s="194"/>
      <c r="B20" s="195"/>
      <c r="C20" s="196"/>
      <c r="D20" s="197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6"/>
      <c r="T20" s="188"/>
    </row>
    <row r="21" spans="1:20" s="187" customFormat="1" ht="20.25" customHeight="1" hidden="1">
      <c r="A21" s="761" t="s">
        <v>67</v>
      </c>
      <c r="B21" s="764" t="s">
        <v>68</v>
      </c>
      <c r="C21" s="180" t="s">
        <v>13</v>
      </c>
      <c r="D21" s="181">
        <f>SUM(E21:Q21)</f>
        <v>696000</v>
      </c>
      <c r="E21" s="189">
        <v>0</v>
      </c>
      <c r="F21" s="189">
        <v>0</v>
      </c>
      <c r="G21" s="190">
        <v>0</v>
      </c>
      <c r="H21" s="189">
        <v>480000</v>
      </c>
      <c r="I21" s="190">
        <v>160000</v>
      </c>
      <c r="J21" s="189">
        <v>0</v>
      </c>
      <c r="K21" s="191">
        <v>0</v>
      </c>
      <c r="L21" s="192">
        <v>0</v>
      </c>
      <c r="M21" s="192">
        <v>0</v>
      </c>
      <c r="N21" s="189">
        <v>56000</v>
      </c>
      <c r="O21" s="189">
        <v>0</v>
      </c>
      <c r="P21" s="190">
        <v>0</v>
      </c>
      <c r="Q21" s="193">
        <v>0</v>
      </c>
      <c r="T21" s="188"/>
    </row>
    <row r="22" spans="1:20" s="187" customFormat="1" ht="20.25" customHeight="1" hidden="1">
      <c r="A22" s="762"/>
      <c r="B22" s="765"/>
      <c r="C22" s="180" t="s">
        <v>14</v>
      </c>
      <c r="D22" s="181">
        <f>SUM(E22:Q22)</f>
        <v>0</v>
      </c>
      <c r="E22" s="189">
        <v>0</v>
      </c>
      <c r="F22" s="189">
        <v>0</v>
      </c>
      <c r="G22" s="190">
        <v>0</v>
      </c>
      <c r="H22" s="189">
        <v>0</v>
      </c>
      <c r="I22" s="190">
        <v>0</v>
      </c>
      <c r="J22" s="189">
        <v>0</v>
      </c>
      <c r="K22" s="191">
        <v>0</v>
      </c>
      <c r="L22" s="192">
        <v>0</v>
      </c>
      <c r="M22" s="192">
        <v>0</v>
      </c>
      <c r="N22" s="189">
        <v>0</v>
      </c>
      <c r="O22" s="189">
        <v>0</v>
      </c>
      <c r="P22" s="190">
        <v>0</v>
      </c>
      <c r="Q22" s="193">
        <v>0</v>
      </c>
      <c r="T22" s="188"/>
    </row>
    <row r="23" spans="1:20" s="187" customFormat="1" ht="20.25" customHeight="1" hidden="1">
      <c r="A23" s="763"/>
      <c r="B23" s="766"/>
      <c r="C23" s="180" t="s">
        <v>15</v>
      </c>
      <c r="D23" s="181">
        <f>SUM(E23:Q23)</f>
        <v>696000</v>
      </c>
      <c r="E23" s="189">
        <f aca="true" t="shared" si="2" ref="E23:P23">E21+E22</f>
        <v>0</v>
      </c>
      <c r="F23" s="189">
        <f t="shared" si="2"/>
        <v>0</v>
      </c>
      <c r="G23" s="189">
        <f t="shared" si="2"/>
        <v>0</v>
      </c>
      <c r="H23" s="189">
        <f t="shared" si="2"/>
        <v>480000</v>
      </c>
      <c r="I23" s="189">
        <f t="shared" si="2"/>
        <v>160000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>M21+M22</f>
        <v>0</v>
      </c>
      <c r="N23" s="189">
        <f t="shared" si="2"/>
        <v>56000</v>
      </c>
      <c r="O23" s="189">
        <f t="shared" si="2"/>
        <v>0</v>
      </c>
      <c r="P23" s="192">
        <f t="shared" si="2"/>
        <v>0</v>
      </c>
      <c r="Q23" s="193">
        <f>Q21+Q22</f>
        <v>0</v>
      </c>
      <c r="T23" s="188"/>
    </row>
    <row r="24" spans="1:20" s="187" customFormat="1" ht="5.25" customHeight="1" hidden="1">
      <c r="A24" s="194"/>
      <c r="B24" s="195"/>
      <c r="C24" s="195"/>
      <c r="D24" s="197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6"/>
      <c r="T24" s="188"/>
    </row>
    <row r="25" spans="1:20" s="187" customFormat="1" ht="18" customHeight="1">
      <c r="A25" s="761" t="s">
        <v>110</v>
      </c>
      <c r="B25" s="764" t="s">
        <v>111</v>
      </c>
      <c r="C25" s="180" t="s">
        <v>13</v>
      </c>
      <c r="D25" s="181">
        <f>SUM(E25:Q25)</f>
        <v>4095727</v>
      </c>
      <c r="E25" s="182">
        <v>0</v>
      </c>
      <c r="F25" s="182">
        <v>0</v>
      </c>
      <c r="G25" s="184">
        <v>0</v>
      </c>
      <c r="H25" s="182">
        <v>0</v>
      </c>
      <c r="I25" s="184">
        <v>0</v>
      </c>
      <c r="J25" s="182">
        <v>0</v>
      </c>
      <c r="K25" s="185">
        <v>0</v>
      </c>
      <c r="L25" s="183">
        <v>385458</v>
      </c>
      <c r="M25" s="182">
        <v>0</v>
      </c>
      <c r="N25" s="182">
        <v>0</v>
      </c>
      <c r="O25" s="182">
        <v>0</v>
      </c>
      <c r="P25" s="184">
        <v>0</v>
      </c>
      <c r="Q25" s="186">
        <v>3710269</v>
      </c>
      <c r="T25" s="188"/>
    </row>
    <row r="26" spans="1:20" s="187" customFormat="1" ht="18" customHeight="1">
      <c r="A26" s="762"/>
      <c r="B26" s="765"/>
      <c r="C26" s="180" t="s">
        <v>14</v>
      </c>
      <c r="D26" s="181">
        <f>SUM(E26:Q26)</f>
        <v>-16172</v>
      </c>
      <c r="E26" s="189">
        <v>0</v>
      </c>
      <c r="F26" s="189">
        <v>0</v>
      </c>
      <c r="G26" s="190">
        <v>0</v>
      </c>
      <c r="H26" s="189">
        <v>0</v>
      </c>
      <c r="I26" s="190">
        <v>0</v>
      </c>
      <c r="J26" s="189">
        <v>0</v>
      </c>
      <c r="K26" s="191">
        <v>0</v>
      </c>
      <c r="L26" s="192">
        <v>-16172</v>
      </c>
      <c r="M26" s="189">
        <v>0</v>
      </c>
      <c r="N26" s="189">
        <v>0</v>
      </c>
      <c r="O26" s="189">
        <v>0</v>
      </c>
      <c r="P26" s="190">
        <v>0</v>
      </c>
      <c r="Q26" s="193">
        <v>0</v>
      </c>
      <c r="T26" s="188"/>
    </row>
    <row r="27" spans="1:20" s="187" customFormat="1" ht="18" customHeight="1">
      <c r="A27" s="763"/>
      <c r="B27" s="766"/>
      <c r="C27" s="180" t="s">
        <v>15</v>
      </c>
      <c r="D27" s="181">
        <f>SUM(E27:Q27)</f>
        <v>4079555</v>
      </c>
      <c r="E27" s="189">
        <f aca="true" t="shared" si="3" ref="E27:P27">E25+E26</f>
        <v>0</v>
      </c>
      <c r="F27" s="189">
        <f t="shared" si="3"/>
        <v>0</v>
      </c>
      <c r="G27" s="189">
        <f t="shared" si="3"/>
        <v>0</v>
      </c>
      <c r="H27" s="189">
        <f t="shared" si="3"/>
        <v>0</v>
      </c>
      <c r="I27" s="189">
        <f t="shared" si="3"/>
        <v>0</v>
      </c>
      <c r="J27" s="189">
        <f t="shared" si="3"/>
        <v>0</v>
      </c>
      <c r="K27" s="189">
        <f t="shared" si="3"/>
        <v>0</v>
      </c>
      <c r="L27" s="189">
        <f t="shared" si="3"/>
        <v>369286</v>
      </c>
      <c r="M27" s="189">
        <f>M25+M26</f>
        <v>0</v>
      </c>
      <c r="N27" s="189">
        <f t="shared" si="3"/>
        <v>0</v>
      </c>
      <c r="O27" s="189">
        <f t="shared" si="3"/>
        <v>0</v>
      </c>
      <c r="P27" s="192">
        <f t="shared" si="3"/>
        <v>0</v>
      </c>
      <c r="Q27" s="193">
        <f>Q25+Q26</f>
        <v>3710269</v>
      </c>
      <c r="T27" s="188"/>
    </row>
    <row r="28" spans="1:20" s="187" customFormat="1" ht="6.75" customHeight="1">
      <c r="A28" s="198"/>
      <c r="B28" s="196"/>
      <c r="C28" s="195"/>
      <c r="D28" s="197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6"/>
      <c r="T28" s="188"/>
    </row>
    <row r="29" spans="1:20" s="203" customFormat="1" ht="18" customHeight="1" hidden="1">
      <c r="A29" s="773" t="s">
        <v>115</v>
      </c>
      <c r="B29" s="776" t="s">
        <v>116</v>
      </c>
      <c r="C29" s="180" t="s">
        <v>13</v>
      </c>
      <c r="D29" s="181">
        <f>SUM(E29:Q29)</f>
        <v>0</v>
      </c>
      <c r="E29" s="199">
        <v>0</v>
      </c>
      <c r="F29" s="199">
        <v>0</v>
      </c>
      <c r="G29" s="200">
        <v>0</v>
      </c>
      <c r="H29" s="199">
        <v>0</v>
      </c>
      <c r="I29" s="201">
        <v>0</v>
      </c>
      <c r="J29" s="199">
        <v>0</v>
      </c>
      <c r="K29" s="201">
        <v>0</v>
      </c>
      <c r="L29" s="199">
        <v>0</v>
      </c>
      <c r="M29" s="199">
        <v>0</v>
      </c>
      <c r="N29" s="199">
        <v>0</v>
      </c>
      <c r="O29" s="199">
        <v>0</v>
      </c>
      <c r="P29" s="200">
        <v>0</v>
      </c>
      <c r="Q29" s="202">
        <v>0</v>
      </c>
      <c r="T29" s="204"/>
    </row>
    <row r="30" spans="1:20" s="203" customFormat="1" ht="18" customHeight="1" hidden="1">
      <c r="A30" s="774"/>
      <c r="B30" s="777"/>
      <c r="C30" s="180" t="s">
        <v>14</v>
      </c>
      <c r="D30" s="181">
        <f>SUM(E30:Q30)</f>
        <v>0</v>
      </c>
      <c r="E30" s="189">
        <v>0</v>
      </c>
      <c r="F30" s="189">
        <v>0</v>
      </c>
      <c r="G30" s="190">
        <v>0</v>
      </c>
      <c r="H30" s="189">
        <v>0</v>
      </c>
      <c r="I30" s="190">
        <v>0</v>
      </c>
      <c r="J30" s="189">
        <v>0</v>
      </c>
      <c r="K30" s="191">
        <v>0</v>
      </c>
      <c r="L30" s="192">
        <v>0</v>
      </c>
      <c r="M30" s="192">
        <v>0</v>
      </c>
      <c r="N30" s="189">
        <v>0</v>
      </c>
      <c r="O30" s="189">
        <v>0</v>
      </c>
      <c r="P30" s="190">
        <v>0</v>
      </c>
      <c r="Q30" s="193">
        <v>0</v>
      </c>
      <c r="T30" s="204"/>
    </row>
    <row r="31" spans="1:20" s="203" customFormat="1" ht="18" customHeight="1" hidden="1">
      <c r="A31" s="775"/>
      <c r="B31" s="778"/>
      <c r="C31" s="180" t="s">
        <v>15</v>
      </c>
      <c r="D31" s="181">
        <f>SUM(E31:Q31)</f>
        <v>0</v>
      </c>
      <c r="E31" s="189">
        <f aca="true" t="shared" si="4" ref="E31:P31">E29+E30</f>
        <v>0</v>
      </c>
      <c r="F31" s="189">
        <f t="shared" si="4"/>
        <v>0</v>
      </c>
      <c r="G31" s="189">
        <f t="shared" si="4"/>
        <v>0</v>
      </c>
      <c r="H31" s="189">
        <f t="shared" si="4"/>
        <v>0</v>
      </c>
      <c r="I31" s="189">
        <f t="shared" si="4"/>
        <v>0</v>
      </c>
      <c r="J31" s="189">
        <f t="shared" si="4"/>
        <v>0</v>
      </c>
      <c r="K31" s="189">
        <f t="shared" si="4"/>
        <v>0</v>
      </c>
      <c r="L31" s="189">
        <f t="shared" si="4"/>
        <v>0</v>
      </c>
      <c r="M31" s="189">
        <f>M29+M30</f>
        <v>0</v>
      </c>
      <c r="N31" s="189">
        <f t="shared" si="4"/>
        <v>0</v>
      </c>
      <c r="O31" s="189">
        <f t="shared" si="4"/>
        <v>0</v>
      </c>
      <c r="P31" s="192">
        <f t="shared" si="4"/>
        <v>0</v>
      </c>
      <c r="Q31" s="193">
        <f>Q29+Q30</f>
        <v>0</v>
      </c>
      <c r="T31" s="204"/>
    </row>
    <row r="32" spans="1:20" s="203" customFormat="1" ht="6" customHeight="1" hidden="1">
      <c r="A32" s="205"/>
      <c r="B32" s="206"/>
      <c r="C32" s="206"/>
      <c r="D32" s="197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2"/>
      <c r="T32" s="204"/>
    </row>
    <row r="33" spans="1:20" s="203" customFormat="1" ht="18" customHeight="1">
      <c r="A33" s="773" t="s">
        <v>19</v>
      </c>
      <c r="B33" s="776" t="s">
        <v>20</v>
      </c>
      <c r="C33" s="180" t="s">
        <v>13</v>
      </c>
      <c r="D33" s="181">
        <f>SUM(E33:Q33)</f>
        <v>69563299</v>
      </c>
      <c r="E33" s="199">
        <v>0</v>
      </c>
      <c r="F33" s="199">
        <v>6531704</v>
      </c>
      <c r="G33" s="200">
        <v>0</v>
      </c>
      <c r="H33" s="199">
        <v>0</v>
      </c>
      <c r="I33" s="201">
        <v>0</v>
      </c>
      <c r="J33" s="199">
        <v>0</v>
      </c>
      <c r="K33" s="201">
        <v>0</v>
      </c>
      <c r="L33" s="199">
        <v>491479</v>
      </c>
      <c r="M33" s="199">
        <v>0</v>
      </c>
      <c r="N33" s="199">
        <v>49861448</v>
      </c>
      <c r="O33" s="199">
        <v>2716302</v>
      </c>
      <c r="P33" s="200">
        <v>9962366</v>
      </c>
      <c r="Q33" s="202">
        <v>0</v>
      </c>
      <c r="T33" s="204"/>
    </row>
    <row r="34" spans="1:20" s="203" customFormat="1" ht="18" customHeight="1">
      <c r="A34" s="774"/>
      <c r="B34" s="777"/>
      <c r="C34" s="180" t="s">
        <v>14</v>
      </c>
      <c r="D34" s="181">
        <f aca="true" t="shared" si="5" ref="D34:D51">SUM(E34:Q34)</f>
        <v>50000</v>
      </c>
      <c r="E34" s="189">
        <v>0</v>
      </c>
      <c r="F34" s="189">
        <v>50000</v>
      </c>
      <c r="G34" s="190">
        <v>0</v>
      </c>
      <c r="H34" s="189">
        <v>0</v>
      </c>
      <c r="I34" s="190">
        <v>0</v>
      </c>
      <c r="J34" s="189">
        <v>0</v>
      </c>
      <c r="K34" s="191">
        <v>0</v>
      </c>
      <c r="L34" s="192">
        <v>0</v>
      </c>
      <c r="M34" s="192">
        <v>0</v>
      </c>
      <c r="N34" s="189">
        <v>0</v>
      </c>
      <c r="O34" s="189">
        <v>0</v>
      </c>
      <c r="P34" s="190">
        <v>0</v>
      </c>
      <c r="Q34" s="193">
        <v>0</v>
      </c>
      <c r="T34" s="204"/>
    </row>
    <row r="35" spans="1:20" s="203" customFormat="1" ht="18" customHeight="1">
      <c r="A35" s="775"/>
      <c r="B35" s="778"/>
      <c r="C35" s="180" t="s">
        <v>15</v>
      </c>
      <c r="D35" s="181">
        <f t="shared" si="5"/>
        <v>69613299</v>
      </c>
      <c r="E35" s="189">
        <f aca="true" t="shared" si="6" ref="E35:P35">E33+E34</f>
        <v>0</v>
      </c>
      <c r="F35" s="189">
        <f t="shared" si="6"/>
        <v>6581704</v>
      </c>
      <c r="G35" s="189">
        <f t="shared" si="6"/>
        <v>0</v>
      </c>
      <c r="H35" s="189">
        <f t="shared" si="6"/>
        <v>0</v>
      </c>
      <c r="I35" s="189">
        <f t="shared" si="6"/>
        <v>0</v>
      </c>
      <c r="J35" s="189">
        <f t="shared" si="6"/>
        <v>0</v>
      </c>
      <c r="K35" s="189">
        <f t="shared" si="6"/>
        <v>0</v>
      </c>
      <c r="L35" s="189">
        <f t="shared" si="6"/>
        <v>491479</v>
      </c>
      <c r="M35" s="189">
        <f t="shared" si="6"/>
        <v>0</v>
      </c>
      <c r="N35" s="189">
        <f t="shared" si="6"/>
        <v>49861448</v>
      </c>
      <c r="O35" s="189">
        <f t="shared" si="6"/>
        <v>2716302</v>
      </c>
      <c r="P35" s="192">
        <f t="shared" si="6"/>
        <v>9962366</v>
      </c>
      <c r="Q35" s="193">
        <f>Q33+Q34</f>
        <v>0</v>
      </c>
      <c r="T35" s="204"/>
    </row>
    <row r="36" spans="1:20" s="203" customFormat="1" ht="6.75" customHeight="1">
      <c r="A36" s="20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10"/>
      <c r="T36" s="204"/>
    </row>
    <row r="37" spans="1:20" s="129" customFormat="1" ht="20.25" customHeight="1">
      <c r="A37" s="773" t="s">
        <v>69</v>
      </c>
      <c r="B37" s="776" t="s">
        <v>70</v>
      </c>
      <c r="C37" s="180" t="s">
        <v>13</v>
      </c>
      <c r="D37" s="181">
        <f>SUM(E37:Q37)</f>
        <v>554529</v>
      </c>
      <c r="E37" s="199">
        <v>0</v>
      </c>
      <c r="F37" s="199">
        <v>650</v>
      </c>
      <c r="G37" s="200">
        <v>0</v>
      </c>
      <c r="H37" s="199">
        <v>0</v>
      </c>
      <c r="I37" s="201">
        <v>0</v>
      </c>
      <c r="J37" s="199">
        <v>0</v>
      </c>
      <c r="K37" s="201">
        <v>0</v>
      </c>
      <c r="L37" s="199">
        <v>385879</v>
      </c>
      <c r="M37" s="199">
        <v>0</v>
      </c>
      <c r="N37" s="199">
        <v>168000</v>
      </c>
      <c r="O37" s="199">
        <v>0</v>
      </c>
      <c r="P37" s="200">
        <v>0</v>
      </c>
      <c r="Q37" s="202">
        <v>0</v>
      </c>
      <c r="T37" s="211"/>
    </row>
    <row r="38" spans="1:20" s="129" customFormat="1" ht="20.25" customHeight="1">
      <c r="A38" s="774"/>
      <c r="B38" s="777"/>
      <c r="C38" s="180" t="s">
        <v>14</v>
      </c>
      <c r="D38" s="181">
        <f t="shared" si="5"/>
        <v>-7490</v>
      </c>
      <c r="E38" s="189">
        <v>0</v>
      </c>
      <c r="F38" s="189">
        <v>0</v>
      </c>
      <c r="G38" s="190">
        <v>0</v>
      </c>
      <c r="H38" s="189">
        <v>0</v>
      </c>
      <c r="I38" s="190">
        <v>0</v>
      </c>
      <c r="J38" s="189">
        <v>0</v>
      </c>
      <c r="K38" s="191">
        <v>0</v>
      </c>
      <c r="L38" s="192">
        <v>-7490</v>
      </c>
      <c r="M38" s="192">
        <v>0</v>
      </c>
      <c r="N38" s="189">
        <v>0</v>
      </c>
      <c r="O38" s="189">
        <v>0</v>
      </c>
      <c r="P38" s="190">
        <v>0</v>
      </c>
      <c r="Q38" s="193">
        <v>0</v>
      </c>
      <c r="T38" s="211"/>
    </row>
    <row r="39" spans="1:20" s="129" customFormat="1" ht="20.25" customHeight="1">
      <c r="A39" s="775"/>
      <c r="B39" s="778"/>
      <c r="C39" s="180" t="s">
        <v>15</v>
      </c>
      <c r="D39" s="181">
        <f t="shared" si="5"/>
        <v>547039</v>
      </c>
      <c r="E39" s="189">
        <f aca="true" t="shared" si="7" ref="E39:P39">E37+E38</f>
        <v>0</v>
      </c>
      <c r="F39" s="189">
        <f t="shared" si="7"/>
        <v>650</v>
      </c>
      <c r="G39" s="189">
        <f t="shared" si="7"/>
        <v>0</v>
      </c>
      <c r="H39" s="189">
        <f t="shared" si="7"/>
        <v>0</v>
      </c>
      <c r="I39" s="189">
        <f t="shared" si="7"/>
        <v>0</v>
      </c>
      <c r="J39" s="189">
        <f t="shared" si="7"/>
        <v>0</v>
      </c>
      <c r="K39" s="189">
        <f t="shared" si="7"/>
        <v>0</v>
      </c>
      <c r="L39" s="189">
        <f t="shared" si="7"/>
        <v>378389</v>
      </c>
      <c r="M39" s="189">
        <f t="shared" si="7"/>
        <v>0</v>
      </c>
      <c r="N39" s="189">
        <f t="shared" si="7"/>
        <v>168000</v>
      </c>
      <c r="O39" s="189">
        <f t="shared" si="7"/>
        <v>0</v>
      </c>
      <c r="P39" s="192">
        <f t="shared" si="7"/>
        <v>0</v>
      </c>
      <c r="Q39" s="193">
        <f>Q37+Q38</f>
        <v>0</v>
      </c>
      <c r="T39" s="211"/>
    </row>
    <row r="40" spans="1:20" s="203" customFormat="1" ht="6.75" customHeight="1">
      <c r="A40" s="212"/>
      <c r="B40" s="213"/>
      <c r="C40" s="214"/>
      <c r="D40" s="208"/>
      <c r="E40" s="214"/>
      <c r="F40" s="214"/>
      <c r="G40" s="214"/>
      <c r="H40" s="214"/>
      <c r="I40" s="214"/>
      <c r="J40" s="214"/>
      <c r="K40" s="214"/>
      <c r="L40" s="214"/>
      <c r="M40" s="208"/>
      <c r="N40" s="214"/>
      <c r="O40" s="214"/>
      <c r="P40" s="214"/>
      <c r="Q40" s="215"/>
      <c r="T40" s="204"/>
    </row>
    <row r="41" spans="1:20" s="129" customFormat="1" ht="20.25" customHeight="1" hidden="1">
      <c r="A41" s="773" t="s">
        <v>22</v>
      </c>
      <c r="B41" s="776" t="s">
        <v>23</v>
      </c>
      <c r="C41" s="180" t="s">
        <v>13</v>
      </c>
      <c r="D41" s="181">
        <f>SUM(E41:Q41)</f>
        <v>820000</v>
      </c>
      <c r="E41" s="199">
        <v>0</v>
      </c>
      <c r="F41" s="199">
        <v>820000</v>
      </c>
      <c r="G41" s="200">
        <v>0</v>
      </c>
      <c r="H41" s="199">
        <v>0</v>
      </c>
      <c r="I41" s="201">
        <v>0</v>
      </c>
      <c r="J41" s="199">
        <v>0</v>
      </c>
      <c r="K41" s="201">
        <v>0</v>
      </c>
      <c r="L41" s="199">
        <v>0</v>
      </c>
      <c r="M41" s="199">
        <v>0</v>
      </c>
      <c r="N41" s="199">
        <v>0</v>
      </c>
      <c r="O41" s="199">
        <v>0</v>
      </c>
      <c r="P41" s="200">
        <v>0</v>
      </c>
      <c r="Q41" s="202">
        <v>0</v>
      </c>
      <c r="T41" s="211"/>
    </row>
    <row r="42" spans="1:20" s="129" customFormat="1" ht="20.25" customHeight="1" hidden="1">
      <c r="A42" s="774"/>
      <c r="B42" s="777"/>
      <c r="C42" s="180" t="s">
        <v>14</v>
      </c>
      <c r="D42" s="181">
        <f t="shared" si="5"/>
        <v>0</v>
      </c>
      <c r="E42" s="189">
        <v>0</v>
      </c>
      <c r="F42" s="189">
        <v>0</v>
      </c>
      <c r="G42" s="190">
        <v>0</v>
      </c>
      <c r="H42" s="189">
        <v>0</v>
      </c>
      <c r="I42" s="190">
        <v>0</v>
      </c>
      <c r="J42" s="189">
        <v>0</v>
      </c>
      <c r="K42" s="191">
        <v>0</v>
      </c>
      <c r="L42" s="192">
        <v>0</v>
      </c>
      <c r="M42" s="192">
        <v>0</v>
      </c>
      <c r="N42" s="189">
        <v>0</v>
      </c>
      <c r="O42" s="189">
        <v>0</v>
      </c>
      <c r="P42" s="190">
        <v>0</v>
      </c>
      <c r="Q42" s="193">
        <v>0</v>
      </c>
      <c r="T42" s="211"/>
    </row>
    <row r="43" spans="1:20" s="129" customFormat="1" ht="20.25" customHeight="1" hidden="1">
      <c r="A43" s="775"/>
      <c r="B43" s="778"/>
      <c r="C43" s="180" t="s">
        <v>15</v>
      </c>
      <c r="D43" s="181">
        <f t="shared" si="5"/>
        <v>820000</v>
      </c>
      <c r="E43" s="189">
        <f aca="true" t="shared" si="8" ref="E43:P43">E41+E42</f>
        <v>0</v>
      </c>
      <c r="F43" s="189">
        <f t="shared" si="8"/>
        <v>820000</v>
      </c>
      <c r="G43" s="189">
        <f t="shared" si="8"/>
        <v>0</v>
      </c>
      <c r="H43" s="189">
        <f t="shared" si="8"/>
        <v>0</v>
      </c>
      <c r="I43" s="189">
        <f t="shared" si="8"/>
        <v>0</v>
      </c>
      <c r="J43" s="189">
        <f t="shared" si="8"/>
        <v>0</v>
      </c>
      <c r="K43" s="189">
        <f t="shared" si="8"/>
        <v>0</v>
      </c>
      <c r="L43" s="189">
        <f t="shared" si="8"/>
        <v>0</v>
      </c>
      <c r="M43" s="189">
        <f t="shared" si="8"/>
        <v>0</v>
      </c>
      <c r="N43" s="189">
        <f t="shared" si="8"/>
        <v>0</v>
      </c>
      <c r="O43" s="189">
        <f t="shared" si="8"/>
        <v>0</v>
      </c>
      <c r="P43" s="192">
        <f t="shared" si="8"/>
        <v>0</v>
      </c>
      <c r="Q43" s="193">
        <f>Q41+Q42</f>
        <v>0</v>
      </c>
      <c r="T43" s="211"/>
    </row>
    <row r="44" spans="1:20" s="129" customFormat="1" ht="20.25" customHeight="1" hidden="1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16"/>
      <c r="T44" s="211"/>
    </row>
    <row r="45" spans="1:20" s="129" customFormat="1" ht="20.25" customHeight="1">
      <c r="A45" s="773" t="s">
        <v>25</v>
      </c>
      <c r="B45" s="776" t="s">
        <v>26</v>
      </c>
      <c r="C45" s="180" t="s">
        <v>13</v>
      </c>
      <c r="D45" s="181">
        <f>SUM(E45:Q45)</f>
        <v>370450</v>
      </c>
      <c r="E45" s="199">
        <v>0</v>
      </c>
      <c r="F45" s="199">
        <v>26450</v>
      </c>
      <c r="G45" s="200">
        <v>0</v>
      </c>
      <c r="H45" s="199">
        <v>0</v>
      </c>
      <c r="I45" s="201">
        <v>0</v>
      </c>
      <c r="J45" s="199">
        <v>0</v>
      </c>
      <c r="K45" s="201">
        <v>0</v>
      </c>
      <c r="L45" s="199">
        <v>0</v>
      </c>
      <c r="M45" s="199">
        <v>0</v>
      </c>
      <c r="N45" s="199">
        <v>344000</v>
      </c>
      <c r="O45" s="199">
        <v>0</v>
      </c>
      <c r="P45" s="200">
        <v>0</v>
      </c>
      <c r="Q45" s="202">
        <v>0</v>
      </c>
      <c r="T45" s="211"/>
    </row>
    <row r="46" spans="1:20" s="129" customFormat="1" ht="20.25" customHeight="1">
      <c r="A46" s="774"/>
      <c r="B46" s="777"/>
      <c r="C46" s="180" t="s">
        <v>14</v>
      </c>
      <c r="D46" s="181">
        <f t="shared" si="5"/>
        <v>40000</v>
      </c>
      <c r="E46" s="189">
        <v>0</v>
      </c>
      <c r="F46" s="189">
        <v>0</v>
      </c>
      <c r="G46" s="190">
        <v>0</v>
      </c>
      <c r="H46" s="189">
        <v>0</v>
      </c>
      <c r="I46" s="190">
        <v>0</v>
      </c>
      <c r="J46" s="189">
        <v>0</v>
      </c>
      <c r="K46" s="191">
        <v>0</v>
      </c>
      <c r="L46" s="192">
        <v>0</v>
      </c>
      <c r="M46" s="192">
        <v>0</v>
      </c>
      <c r="N46" s="189">
        <v>0</v>
      </c>
      <c r="O46" s="189">
        <v>0</v>
      </c>
      <c r="P46" s="190">
        <v>40000</v>
      </c>
      <c r="Q46" s="193">
        <v>0</v>
      </c>
      <c r="T46" s="211"/>
    </row>
    <row r="47" spans="1:20" s="129" customFormat="1" ht="20.25" customHeight="1">
      <c r="A47" s="775"/>
      <c r="B47" s="778"/>
      <c r="C47" s="180" t="s">
        <v>15</v>
      </c>
      <c r="D47" s="181">
        <f t="shared" si="5"/>
        <v>410450</v>
      </c>
      <c r="E47" s="189">
        <f aca="true" t="shared" si="9" ref="E47:P47">E45+E46</f>
        <v>0</v>
      </c>
      <c r="F47" s="189">
        <f t="shared" si="9"/>
        <v>26450</v>
      </c>
      <c r="G47" s="189">
        <f t="shared" si="9"/>
        <v>0</v>
      </c>
      <c r="H47" s="189">
        <f t="shared" si="9"/>
        <v>0</v>
      </c>
      <c r="I47" s="189">
        <f t="shared" si="9"/>
        <v>0</v>
      </c>
      <c r="J47" s="189">
        <f t="shared" si="9"/>
        <v>0</v>
      </c>
      <c r="K47" s="189">
        <f t="shared" si="9"/>
        <v>0</v>
      </c>
      <c r="L47" s="189">
        <f t="shared" si="9"/>
        <v>0</v>
      </c>
      <c r="M47" s="189">
        <f t="shared" si="9"/>
        <v>0</v>
      </c>
      <c r="N47" s="189">
        <f t="shared" si="9"/>
        <v>344000</v>
      </c>
      <c r="O47" s="189">
        <f t="shared" si="9"/>
        <v>0</v>
      </c>
      <c r="P47" s="192">
        <f t="shared" si="9"/>
        <v>40000</v>
      </c>
      <c r="Q47" s="193">
        <f>Q45+Q46</f>
        <v>0</v>
      </c>
      <c r="T47" s="211"/>
    </row>
    <row r="48" spans="1:20" s="129" customFormat="1" ht="6.75" customHeight="1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16"/>
      <c r="T48" s="211"/>
    </row>
    <row r="49" spans="1:20" s="129" customFormat="1" ht="18.75" customHeight="1">
      <c r="A49" s="773" t="s">
        <v>71</v>
      </c>
      <c r="B49" s="776" t="s">
        <v>72</v>
      </c>
      <c r="C49" s="180" t="s">
        <v>13</v>
      </c>
      <c r="D49" s="181">
        <f>SUM(E49:Q49)</f>
        <v>802799</v>
      </c>
      <c r="E49" s="199">
        <v>0</v>
      </c>
      <c r="F49" s="199">
        <v>0</v>
      </c>
      <c r="G49" s="200">
        <v>0</v>
      </c>
      <c r="H49" s="199">
        <v>0</v>
      </c>
      <c r="I49" s="201">
        <v>0</v>
      </c>
      <c r="J49" s="199">
        <v>65828</v>
      </c>
      <c r="K49" s="201">
        <v>0</v>
      </c>
      <c r="L49" s="199">
        <v>0</v>
      </c>
      <c r="M49" s="199">
        <v>354</v>
      </c>
      <c r="N49" s="199">
        <v>0</v>
      </c>
      <c r="O49" s="199">
        <v>736617</v>
      </c>
      <c r="P49" s="200">
        <v>0</v>
      </c>
      <c r="Q49" s="202">
        <v>0</v>
      </c>
      <c r="T49" s="211"/>
    </row>
    <row r="50" spans="1:20" s="129" customFormat="1" ht="18.75" customHeight="1">
      <c r="A50" s="774"/>
      <c r="B50" s="777"/>
      <c r="C50" s="180" t="s">
        <v>14</v>
      </c>
      <c r="D50" s="181">
        <f t="shared" si="5"/>
        <v>13220</v>
      </c>
      <c r="E50" s="189">
        <v>0</v>
      </c>
      <c r="F50" s="189">
        <v>0</v>
      </c>
      <c r="G50" s="190">
        <v>0</v>
      </c>
      <c r="H50" s="189">
        <v>0</v>
      </c>
      <c r="I50" s="190">
        <v>0</v>
      </c>
      <c r="J50" s="189">
        <f>12154-10031</f>
        <v>2123</v>
      </c>
      <c r="K50" s="191">
        <v>0</v>
      </c>
      <c r="L50" s="192">
        <v>0</v>
      </c>
      <c r="M50" s="192">
        <v>185</v>
      </c>
      <c r="N50" s="189">
        <v>0</v>
      </c>
      <c r="O50" s="189">
        <f>10912</f>
        <v>10912</v>
      </c>
      <c r="P50" s="190">
        <v>0</v>
      </c>
      <c r="Q50" s="193">
        <v>0</v>
      </c>
      <c r="T50" s="211"/>
    </row>
    <row r="51" spans="1:20" s="129" customFormat="1" ht="18.75" customHeight="1">
      <c r="A51" s="775"/>
      <c r="B51" s="778"/>
      <c r="C51" s="180" t="s">
        <v>15</v>
      </c>
      <c r="D51" s="181">
        <f t="shared" si="5"/>
        <v>816019</v>
      </c>
      <c r="E51" s="189">
        <f aca="true" t="shared" si="10" ref="E51:P51">E49+E50</f>
        <v>0</v>
      </c>
      <c r="F51" s="189">
        <f t="shared" si="10"/>
        <v>0</v>
      </c>
      <c r="G51" s="189">
        <f t="shared" si="10"/>
        <v>0</v>
      </c>
      <c r="H51" s="189">
        <f t="shared" si="10"/>
        <v>0</v>
      </c>
      <c r="I51" s="189">
        <f t="shared" si="10"/>
        <v>0</v>
      </c>
      <c r="J51" s="189">
        <f t="shared" si="10"/>
        <v>67951</v>
      </c>
      <c r="K51" s="189">
        <f t="shared" si="10"/>
        <v>0</v>
      </c>
      <c r="L51" s="189">
        <f t="shared" si="10"/>
        <v>0</v>
      </c>
      <c r="M51" s="189">
        <f t="shared" si="10"/>
        <v>539</v>
      </c>
      <c r="N51" s="189">
        <f t="shared" si="10"/>
        <v>0</v>
      </c>
      <c r="O51" s="189">
        <f t="shared" si="10"/>
        <v>747529</v>
      </c>
      <c r="P51" s="192">
        <f t="shared" si="10"/>
        <v>0</v>
      </c>
      <c r="Q51" s="193">
        <f>Q49+Q50</f>
        <v>0</v>
      </c>
      <c r="T51" s="211"/>
    </row>
    <row r="52" spans="1:20" s="129" customFormat="1" ht="6.75" customHeight="1">
      <c r="A52" s="205"/>
      <c r="B52" s="206"/>
      <c r="C52" s="206"/>
      <c r="D52" s="208"/>
      <c r="E52" s="200"/>
      <c r="F52" s="200"/>
      <c r="G52" s="200"/>
      <c r="H52" s="200"/>
      <c r="I52" s="200"/>
      <c r="J52" s="200"/>
      <c r="K52" s="200"/>
      <c r="L52" s="200"/>
      <c r="M52" s="208"/>
      <c r="N52" s="200"/>
      <c r="O52" s="200"/>
      <c r="P52" s="200"/>
      <c r="Q52" s="202"/>
      <c r="T52" s="211"/>
    </row>
    <row r="53" spans="1:20" s="203" customFormat="1" ht="18" customHeight="1">
      <c r="A53" s="773" t="s">
        <v>28</v>
      </c>
      <c r="B53" s="776" t="s">
        <v>29</v>
      </c>
      <c r="C53" s="180" t="s">
        <v>13</v>
      </c>
      <c r="D53" s="181">
        <f aca="true" t="shared" si="11" ref="D53:D103">SUM(E53:Q53)</f>
        <v>3040615</v>
      </c>
      <c r="E53" s="199">
        <v>0</v>
      </c>
      <c r="F53" s="199">
        <v>141400</v>
      </c>
      <c r="G53" s="217">
        <v>0</v>
      </c>
      <c r="H53" s="199">
        <v>1275000</v>
      </c>
      <c r="I53" s="201">
        <v>225000</v>
      </c>
      <c r="J53" s="199">
        <v>1113215</v>
      </c>
      <c r="K53" s="201">
        <v>0</v>
      </c>
      <c r="L53" s="199">
        <v>0</v>
      </c>
      <c r="M53" s="199">
        <v>0</v>
      </c>
      <c r="N53" s="199">
        <v>286000</v>
      </c>
      <c r="O53" s="199">
        <v>0</v>
      </c>
      <c r="P53" s="200">
        <v>0</v>
      </c>
      <c r="Q53" s="202">
        <v>0</v>
      </c>
      <c r="T53" s="204"/>
    </row>
    <row r="54" spans="1:20" s="203" customFormat="1" ht="18" customHeight="1">
      <c r="A54" s="774"/>
      <c r="B54" s="777"/>
      <c r="C54" s="180" t="s">
        <v>14</v>
      </c>
      <c r="D54" s="181">
        <f t="shared" si="11"/>
        <v>2800</v>
      </c>
      <c r="E54" s="189">
        <v>0</v>
      </c>
      <c r="F54" s="189">
        <v>0</v>
      </c>
      <c r="G54" s="190">
        <v>0</v>
      </c>
      <c r="H54" s="189">
        <v>0</v>
      </c>
      <c r="I54" s="190">
        <v>0</v>
      </c>
      <c r="J54" s="189">
        <v>0</v>
      </c>
      <c r="K54" s="191">
        <v>0</v>
      </c>
      <c r="L54" s="192">
        <v>0</v>
      </c>
      <c r="M54" s="192">
        <v>0</v>
      </c>
      <c r="N54" s="189">
        <v>0</v>
      </c>
      <c r="O54" s="189">
        <v>0</v>
      </c>
      <c r="P54" s="190">
        <v>2800</v>
      </c>
      <c r="Q54" s="193">
        <v>0</v>
      </c>
      <c r="T54" s="204"/>
    </row>
    <row r="55" spans="1:20" s="203" customFormat="1" ht="18" customHeight="1">
      <c r="A55" s="775"/>
      <c r="B55" s="778"/>
      <c r="C55" s="180" t="s">
        <v>15</v>
      </c>
      <c r="D55" s="181">
        <f t="shared" si="11"/>
        <v>3043415</v>
      </c>
      <c r="E55" s="189">
        <f aca="true" t="shared" si="12" ref="E55:P55">E53+E54</f>
        <v>0</v>
      </c>
      <c r="F55" s="189">
        <f t="shared" si="12"/>
        <v>141400</v>
      </c>
      <c r="G55" s="189">
        <f t="shared" si="12"/>
        <v>0</v>
      </c>
      <c r="H55" s="189">
        <f t="shared" si="12"/>
        <v>1275000</v>
      </c>
      <c r="I55" s="189">
        <f t="shared" si="12"/>
        <v>225000</v>
      </c>
      <c r="J55" s="189">
        <f t="shared" si="12"/>
        <v>1113215</v>
      </c>
      <c r="K55" s="189">
        <f t="shared" si="12"/>
        <v>0</v>
      </c>
      <c r="L55" s="189">
        <f t="shared" si="12"/>
        <v>0</v>
      </c>
      <c r="M55" s="189">
        <f t="shared" si="12"/>
        <v>0</v>
      </c>
      <c r="N55" s="189">
        <f t="shared" si="12"/>
        <v>286000</v>
      </c>
      <c r="O55" s="189">
        <f t="shared" si="12"/>
        <v>0</v>
      </c>
      <c r="P55" s="192">
        <f t="shared" si="12"/>
        <v>2800</v>
      </c>
      <c r="Q55" s="193">
        <f>Q53+Q54</f>
        <v>0</v>
      </c>
      <c r="T55" s="204"/>
    </row>
    <row r="56" spans="1:20" s="203" customFormat="1" ht="6.75" customHeight="1">
      <c r="A56" s="205"/>
      <c r="B56" s="206"/>
      <c r="C56" s="206"/>
      <c r="D56" s="208"/>
      <c r="E56" s="200"/>
      <c r="F56" s="200"/>
      <c r="G56" s="200"/>
      <c r="H56" s="200"/>
      <c r="I56" s="200"/>
      <c r="J56" s="200"/>
      <c r="K56" s="200"/>
      <c r="L56" s="200"/>
      <c r="M56" s="208"/>
      <c r="N56" s="200"/>
      <c r="O56" s="200"/>
      <c r="P56" s="200"/>
      <c r="Q56" s="202"/>
      <c r="T56" s="204"/>
    </row>
    <row r="57" spans="1:20" s="203" customFormat="1" ht="20.25" customHeight="1" hidden="1">
      <c r="A57" s="773" t="s">
        <v>57</v>
      </c>
      <c r="B57" s="776" t="s">
        <v>58</v>
      </c>
      <c r="C57" s="180" t="s">
        <v>13</v>
      </c>
      <c r="D57" s="181">
        <f>SUM(E57:Q57)</f>
        <v>5000</v>
      </c>
      <c r="E57" s="199">
        <v>0</v>
      </c>
      <c r="F57" s="199">
        <v>0</v>
      </c>
      <c r="G57" s="217">
        <v>0</v>
      </c>
      <c r="H57" s="199">
        <v>0</v>
      </c>
      <c r="I57" s="201">
        <v>0</v>
      </c>
      <c r="J57" s="199">
        <v>0</v>
      </c>
      <c r="K57" s="201">
        <v>0</v>
      </c>
      <c r="L57" s="199">
        <v>0</v>
      </c>
      <c r="M57" s="199">
        <v>0</v>
      </c>
      <c r="N57" s="199">
        <v>5000</v>
      </c>
      <c r="O57" s="199">
        <v>0</v>
      </c>
      <c r="P57" s="200">
        <v>0</v>
      </c>
      <c r="Q57" s="202">
        <v>0</v>
      </c>
      <c r="T57" s="204"/>
    </row>
    <row r="58" spans="1:20" s="203" customFormat="1" ht="20.25" customHeight="1" hidden="1">
      <c r="A58" s="774"/>
      <c r="B58" s="777"/>
      <c r="C58" s="180" t="s">
        <v>14</v>
      </c>
      <c r="D58" s="181">
        <f t="shared" si="11"/>
        <v>0</v>
      </c>
      <c r="E58" s="189">
        <v>0</v>
      </c>
      <c r="F58" s="189">
        <v>0</v>
      </c>
      <c r="G58" s="190">
        <v>0</v>
      </c>
      <c r="H58" s="189">
        <v>0</v>
      </c>
      <c r="I58" s="190">
        <v>0</v>
      </c>
      <c r="J58" s="189">
        <v>0</v>
      </c>
      <c r="K58" s="191">
        <v>0</v>
      </c>
      <c r="L58" s="192">
        <v>0</v>
      </c>
      <c r="M58" s="192">
        <v>0</v>
      </c>
      <c r="N58" s="189">
        <v>0</v>
      </c>
      <c r="O58" s="189">
        <v>0</v>
      </c>
      <c r="P58" s="190">
        <v>0</v>
      </c>
      <c r="Q58" s="193">
        <v>0</v>
      </c>
      <c r="T58" s="204"/>
    </row>
    <row r="59" spans="1:20" s="203" customFormat="1" ht="20.25" customHeight="1" hidden="1">
      <c r="A59" s="775"/>
      <c r="B59" s="778"/>
      <c r="C59" s="180" t="s">
        <v>15</v>
      </c>
      <c r="D59" s="181">
        <f t="shared" si="11"/>
        <v>5000</v>
      </c>
      <c r="E59" s="189">
        <f aca="true" t="shared" si="13" ref="E59:P59">E57+E58</f>
        <v>0</v>
      </c>
      <c r="F59" s="189">
        <f t="shared" si="13"/>
        <v>0</v>
      </c>
      <c r="G59" s="189">
        <f t="shared" si="13"/>
        <v>0</v>
      </c>
      <c r="H59" s="189">
        <f t="shared" si="13"/>
        <v>0</v>
      </c>
      <c r="I59" s="189">
        <f t="shared" si="13"/>
        <v>0</v>
      </c>
      <c r="J59" s="189">
        <f t="shared" si="13"/>
        <v>0</v>
      </c>
      <c r="K59" s="189">
        <f t="shared" si="13"/>
        <v>0</v>
      </c>
      <c r="L59" s="189">
        <f t="shared" si="13"/>
        <v>0</v>
      </c>
      <c r="M59" s="189">
        <f t="shared" si="13"/>
        <v>0</v>
      </c>
      <c r="N59" s="189">
        <f t="shared" si="13"/>
        <v>5000</v>
      </c>
      <c r="O59" s="189">
        <f t="shared" si="13"/>
        <v>0</v>
      </c>
      <c r="P59" s="192">
        <f t="shared" si="13"/>
        <v>0</v>
      </c>
      <c r="Q59" s="193">
        <f>Q57+Q58</f>
        <v>0</v>
      </c>
      <c r="T59" s="204"/>
    </row>
    <row r="60" spans="1:20" s="203" customFormat="1" ht="5.25" customHeight="1" hidden="1">
      <c r="A60" s="205"/>
      <c r="B60" s="206"/>
      <c r="C60" s="206"/>
      <c r="D60" s="208"/>
      <c r="E60" s="200"/>
      <c r="F60" s="200"/>
      <c r="G60" s="200"/>
      <c r="H60" s="200"/>
      <c r="I60" s="200"/>
      <c r="J60" s="200"/>
      <c r="K60" s="200"/>
      <c r="L60" s="200"/>
      <c r="M60" s="208"/>
      <c r="N60" s="200"/>
      <c r="O60" s="200"/>
      <c r="P60" s="200"/>
      <c r="Q60" s="202"/>
      <c r="T60" s="204"/>
    </row>
    <row r="61" spans="1:20" s="203" customFormat="1" ht="26.25" customHeight="1" hidden="1">
      <c r="A61" s="773" t="s">
        <v>449</v>
      </c>
      <c r="B61" s="776" t="s">
        <v>450</v>
      </c>
      <c r="C61" s="180" t="s">
        <v>13</v>
      </c>
      <c r="D61" s="181">
        <f>SUM(E61:Q61)</f>
        <v>298935110</v>
      </c>
      <c r="E61" s="199">
        <v>297864135</v>
      </c>
      <c r="F61" s="199">
        <v>1070975</v>
      </c>
      <c r="G61" s="200">
        <v>0</v>
      </c>
      <c r="H61" s="199">
        <v>0</v>
      </c>
      <c r="I61" s="201">
        <v>0</v>
      </c>
      <c r="J61" s="199">
        <v>0</v>
      </c>
      <c r="K61" s="201">
        <v>0</v>
      </c>
      <c r="L61" s="199">
        <v>0</v>
      </c>
      <c r="M61" s="199">
        <v>0</v>
      </c>
      <c r="N61" s="199">
        <v>0</v>
      </c>
      <c r="O61" s="199">
        <v>0</v>
      </c>
      <c r="P61" s="200">
        <v>0</v>
      </c>
      <c r="Q61" s="202">
        <v>0</v>
      </c>
      <c r="T61" s="204"/>
    </row>
    <row r="62" spans="1:20" s="203" customFormat="1" ht="26.25" customHeight="1" hidden="1">
      <c r="A62" s="774"/>
      <c r="B62" s="777"/>
      <c r="C62" s="180" t="s">
        <v>14</v>
      </c>
      <c r="D62" s="181">
        <f t="shared" si="11"/>
        <v>0</v>
      </c>
      <c r="E62" s="189">
        <v>0</v>
      </c>
      <c r="F62" s="189">
        <v>0</v>
      </c>
      <c r="G62" s="190">
        <v>0</v>
      </c>
      <c r="H62" s="189">
        <v>0</v>
      </c>
      <c r="I62" s="190">
        <v>0</v>
      </c>
      <c r="J62" s="189">
        <v>0</v>
      </c>
      <c r="K62" s="191">
        <v>0</v>
      </c>
      <c r="L62" s="192">
        <v>0</v>
      </c>
      <c r="M62" s="192">
        <v>0</v>
      </c>
      <c r="N62" s="189">
        <v>0</v>
      </c>
      <c r="O62" s="189">
        <v>0</v>
      </c>
      <c r="P62" s="190">
        <v>0</v>
      </c>
      <c r="Q62" s="193">
        <v>0</v>
      </c>
      <c r="T62" s="204"/>
    </row>
    <row r="63" spans="1:20" s="203" customFormat="1" ht="26.25" customHeight="1" hidden="1">
      <c r="A63" s="775"/>
      <c r="B63" s="778"/>
      <c r="C63" s="180" t="s">
        <v>15</v>
      </c>
      <c r="D63" s="181">
        <f t="shared" si="11"/>
        <v>298935110</v>
      </c>
      <c r="E63" s="189">
        <f aca="true" t="shared" si="14" ref="E63:P63">E61+E62</f>
        <v>297864135</v>
      </c>
      <c r="F63" s="189">
        <f t="shared" si="14"/>
        <v>1070975</v>
      </c>
      <c r="G63" s="189">
        <f t="shared" si="14"/>
        <v>0</v>
      </c>
      <c r="H63" s="189">
        <f t="shared" si="14"/>
        <v>0</v>
      </c>
      <c r="I63" s="189">
        <f t="shared" si="14"/>
        <v>0</v>
      </c>
      <c r="J63" s="189">
        <f t="shared" si="14"/>
        <v>0</v>
      </c>
      <c r="K63" s="189">
        <f t="shared" si="14"/>
        <v>0</v>
      </c>
      <c r="L63" s="189">
        <f t="shared" si="14"/>
        <v>0</v>
      </c>
      <c r="M63" s="189">
        <f t="shared" si="14"/>
        <v>0</v>
      </c>
      <c r="N63" s="189">
        <f t="shared" si="14"/>
        <v>0</v>
      </c>
      <c r="O63" s="189">
        <f t="shared" si="14"/>
        <v>0</v>
      </c>
      <c r="P63" s="192">
        <f t="shared" si="14"/>
        <v>0</v>
      </c>
      <c r="Q63" s="193">
        <f>Q61+Q62</f>
        <v>0</v>
      </c>
      <c r="T63" s="204"/>
    </row>
    <row r="64" spans="1:20" s="203" customFormat="1" ht="9.75" customHeight="1" hidden="1">
      <c r="A64" s="205"/>
      <c r="B64" s="206"/>
      <c r="C64" s="206"/>
      <c r="D64" s="208"/>
      <c r="E64" s="200"/>
      <c r="F64" s="200"/>
      <c r="G64" s="200"/>
      <c r="H64" s="200"/>
      <c r="I64" s="200"/>
      <c r="J64" s="200"/>
      <c r="K64" s="200"/>
      <c r="L64" s="200"/>
      <c r="M64" s="208"/>
      <c r="N64" s="200"/>
      <c r="O64" s="200"/>
      <c r="P64" s="200"/>
      <c r="Q64" s="202"/>
      <c r="T64" s="204"/>
    </row>
    <row r="65" spans="1:20" s="203" customFormat="1" ht="20.25" customHeight="1">
      <c r="A65" s="773" t="s">
        <v>149</v>
      </c>
      <c r="B65" s="776" t="s">
        <v>150</v>
      </c>
      <c r="C65" s="180" t="s">
        <v>13</v>
      </c>
      <c r="D65" s="181">
        <f>SUM(E65:Q65)</f>
        <v>357437470</v>
      </c>
      <c r="E65" s="199">
        <v>240503278</v>
      </c>
      <c r="F65" s="199">
        <v>1714000</v>
      </c>
      <c r="G65" s="217">
        <v>57696542</v>
      </c>
      <c r="H65" s="199">
        <v>33069650</v>
      </c>
      <c r="I65" s="201">
        <v>24454000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217">
        <v>0</v>
      </c>
      <c r="Q65" s="202">
        <v>0</v>
      </c>
      <c r="T65" s="204"/>
    </row>
    <row r="66" spans="1:20" s="203" customFormat="1" ht="20.25" customHeight="1">
      <c r="A66" s="774"/>
      <c r="B66" s="777"/>
      <c r="C66" s="180" t="s">
        <v>14</v>
      </c>
      <c r="D66" s="181">
        <f t="shared" si="11"/>
        <v>-41601</v>
      </c>
      <c r="E66" s="189">
        <f>-1984850-4871179</f>
        <v>-6856029</v>
      </c>
      <c r="F66" s="189">
        <v>0</v>
      </c>
      <c r="G66" s="190">
        <f>1760181+979320+1833179+1479841</f>
        <v>6052521</v>
      </c>
      <c r="H66" s="189">
        <v>761907</v>
      </c>
      <c r="I66" s="190">
        <f>-190614+190614</f>
        <v>0</v>
      </c>
      <c r="J66" s="189">
        <v>0</v>
      </c>
      <c r="K66" s="191">
        <v>0</v>
      </c>
      <c r="L66" s="192">
        <v>0</v>
      </c>
      <c r="M66" s="192">
        <v>0</v>
      </c>
      <c r="N66" s="189">
        <v>0</v>
      </c>
      <c r="O66" s="189">
        <v>0</v>
      </c>
      <c r="P66" s="190">
        <v>0</v>
      </c>
      <c r="Q66" s="193">
        <v>0</v>
      </c>
      <c r="T66" s="204"/>
    </row>
    <row r="67" spans="1:20" s="203" customFormat="1" ht="20.25" customHeight="1">
      <c r="A67" s="775"/>
      <c r="B67" s="778"/>
      <c r="C67" s="180" t="s">
        <v>15</v>
      </c>
      <c r="D67" s="181">
        <f t="shared" si="11"/>
        <v>357395869</v>
      </c>
      <c r="E67" s="189">
        <f aca="true" t="shared" si="15" ref="E67:P67">E65+E66</f>
        <v>233647249</v>
      </c>
      <c r="F67" s="189">
        <f t="shared" si="15"/>
        <v>1714000</v>
      </c>
      <c r="G67" s="189">
        <f t="shared" si="15"/>
        <v>63749063</v>
      </c>
      <c r="H67" s="189">
        <f t="shared" si="15"/>
        <v>33831557</v>
      </c>
      <c r="I67" s="189">
        <f t="shared" si="15"/>
        <v>24454000</v>
      </c>
      <c r="J67" s="189">
        <f t="shared" si="15"/>
        <v>0</v>
      </c>
      <c r="K67" s="189">
        <f t="shared" si="15"/>
        <v>0</v>
      </c>
      <c r="L67" s="189">
        <f t="shared" si="15"/>
        <v>0</v>
      </c>
      <c r="M67" s="189">
        <f t="shared" si="15"/>
        <v>0</v>
      </c>
      <c r="N67" s="189">
        <f t="shared" si="15"/>
        <v>0</v>
      </c>
      <c r="O67" s="189">
        <f t="shared" si="15"/>
        <v>0</v>
      </c>
      <c r="P67" s="192">
        <f t="shared" si="15"/>
        <v>0</v>
      </c>
      <c r="Q67" s="193">
        <f>Q65+Q66</f>
        <v>0</v>
      </c>
      <c r="T67" s="204"/>
    </row>
    <row r="68" spans="1:20" s="203" customFormat="1" ht="6.75" customHeight="1">
      <c r="A68" s="205"/>
      <c r="B68" s="206"/>
      <c r="C68" s="206"/>
      <c r="D68" s="208"/>
      <c r="E68" s="200"/>
      <c r="F68" s="200"/>
      <c r="G68" s="200"/>
      <c r="H68" s="200"/>
      <c r="I68" s="200"/>
      <c r="J68" s="200"/>
      <c r="K68" s="200"/>
      <c r="L68" s="200"/>
      <c r="M68" s="208"/>
      <c r="N68" s="200"/>
      <c r="O68" s="200"/>
      <c r="P68" s="200"/>
      <c r="Q68" s="202"/>
      <c r="T68" s="204"/>
    </row>
    <row r="69" spans="1:20" s="203" customFormat="1" ht="20.25" customHeight="1">
      <c r="A69" s="773" t="s">
        <v>31</v>
      </c>
      <c r="B69" s="776" t="s">
        <v>32</v>
      </c>
      <c r="C69" s="180" t="s">
        <v>13</v>
      </c>
      <c r="D69" s="181">
        <f>SUM(E69:Q69)</f>
        <v>1483915</v>
      </c>
      <c r="E69" s="199">
        <v>0</v>
      </c>
      <c r="F69" s="199">
        <v>480480</v>
      </c>
      <c r="G69" s="200">
        <v>288116</v>
      </c>
      <c r="H69" s="199">
        <v>0</v>
      </c>
      <c r="I69" s="201">
        <v>35319</v>
      </c>
      <c r="J69" s="199">
        <v>0</v>
      </c>
      <c r="K69" s="201">
        <v>0</v>
      </c>
      <c r="L69" s="199">
        <v>0</v>
      </c>
      <c r="M69" s="199">
        <v>0</v>
      </c>
      <c r="N69" s="199">
        <v>0</v>
      </c>
      <c r="O69" s="199">
        <v>680000</v>
      </c>
      <c r="P69" s="200">
        <v>0</v>
      </c>
      <c r="Q69" s="202">
        <v>0</v>
      </c>
      <c r="T69" s="204"/>
    </row>
    <row r="70" spans="1:20" s="203" customFormat="1" ht="20.25" customHeight="1">
      <c r="A70" s="774"/>
      <c r="B70" s="777"/>
      <c r="C70" s="180" t="s">
        <v>14</v>
      </c>
      <c r="D70" s="181">
        <f t="shared" si="11"/>
        <v>36404</v>
      </c>
      <c r="E70" s="189">
        <v>0</v>
      </c>
      <c r="F70" s="189">
        <v>0</v>
      </c>
      <c r="G70" s="190">
        <v>30681</v>
      </c>
      <c r="H70" s="189">
        <v>0</v>
      </c>
      <c r="I70" s="190">
        <v>5723</v>
      </c>
      <c r="J70" s="189">
        <v>0</v>
      </c>
      <c r="K70" s="191">
        <v>0</v>
      </c>
      <c r="L70" s="192">
        <v>0</v>
      </c>
      <c r="M70" s="192">
        <v>0</v>
      </c>
      <c r="N70" s="189">
        <v>0</v>
      </c>
      <c r="O70" s="189">
        <v>0</v>
      </c>
      <c r="P70" s="190">
        <v>0</v>
      </c>
      <c r="Q70" s="193">
        <v>0</v>
      </c>
      <c r="T70" s="204"/>
    </row>
    <row r="71" spans="1:20" s="203" customFormat="1" ht="20.25" customHeight="1">
      <c r="A71" s="775"/>
      <c r="B71" s="778"/>
      <c r="C71" s="180" t="s">
        <v>15</v>
      </c>
      <c r="D71" s="181">
        <f t="shared" si="11"/>
        <v>1520319</v>
      </c>
      <c r="E71" s="189">
        <f aca="true" t="shared" si="16" ref="E71:P71">E69+E70</f>
        <v>0</v>
      </c>
      <c r="F71" s="189">
        <f t="shared" si="16"/>
        <v>480480</v>
      </c>
      <c r="G71" s="189">
        <f t="shared" si="16"/>
        <v>318797</v>
      </c>
      <c r="H71" s="189">
        <f t="shared" si="16"/>
        <v>0</v>
      </c>
      <c r="I71" s="189">
        <f t="shared" si="16"/>
        <v>41042</v>
      </c>
      <c r="J71" s="189">
        <f t="shared" si="16"/>
        <v>0</v>
      </c>
      <c r="K71" s="189">
        <f t="shared" si="16"/>
        <v>0</v>
      </c>
      <c r="L71" s="189">
        <f t="shared" si="16"/>
        <v>0</v>
      </c>
      <c r="M71" s="189">
        <f t="shared" si="16"/>
        <v>0</v>
      </c>
      <c r="N71" s="189">
        <f t="shared" si="16"/>
        <v>0</v>
      </c>
      <c r="O71" s="189">
        <f t="shared" si="16"/>
        <v>680000</v>
      </c>
      <c r="P71" s="192">
        <f t="shared" si="16"/>
        <v>0</v>
      </c>
      <c r="Q71" s="193">
        <f>Q69+Q70</f>
        <v>0</v>
      </c>
      <c r="T71" s="204"/>
    </row>
    <row r="72" spans="1:20" s="203" customFormat="1" ht="6.75" customHeight="1">
      <c r="A72" s="205"/>
      <c r="B72" s="206"/>
      <c r="C72" s="206"/>
      <c r="D72" s="208"/>
      <c r="E72" s="200"/>
      <c r="F72" s="200"/>
      <c r="G72" s="200"/>
      <c r="H72" s="200"/>
      <c r="I72" s="200"/>
      <c r="J72" s="200"/>
      <c r="K72" s="200"/>
      <c r="L72" s="200"/>
      <c r="M72" s="208"/>
      <c r="N72" s="200"/>
      <c r="O72" s="200"/>
      <c r="P72" s="200"/>
      <c r="Q72" s="202"/>
      <c r="T72" s="204"/>
    </row>
    <row r="73" spans="1:20" s="203" customFormat="1" ht="20.25" customHeight="1">
      <c r="A73" s="773" t="s">
        <v>34</v>
      </c>
      <c r="B73" s="776" t="s">
        <v>35</v>
      </c>
      <c r="C73" s="180" t="s">
        <v>13</v>
      </c>
      <c r="D73" s="181">
        <f>SUM(E73:Q73)</f>
        <v>64002</v>
      </c>
      <c r="E73" s="199">
        <v>0</v>
      </c>
      <c r="F73" s="199">
        <v>0</v>
      </c>
      <c r="G73" s="200">
        <v>33416</v>
      </c>
      <c r="H73" s="199">
        <v>0</v>
      </c>
      <c r="I73" s="201">
        <v>2586</v>
      </c>
      <c r="J73" s="199">
        <v>0</v>
      </c>
      <c r="K73" s="201">
        <v>0</v>
      </c>
      <c r="L73" s="199">
        <v>0</v>
      </c>
      <c r="M73" s="199">
        <v>0</v>
      </c>
      <c r="N73" s="199">
        <v>28000</v>
      </c>
      <c r="O73" s="199">
        <v>0</v>
      </c>
      <c r="P73" s="200">
        <v>0</v>
      </c>
      <c r="Q73" s="202">
        <v>0</v>
      </c>
      <c r="T73" s="204"/>
    </row>
    <row r="74" spans="1:20" s="203" customFormat="1" ht="20.25" customHeight="1">
      <c r="A74" s="774"/>
      <c r="B74" s="777"/>
      <c r="C74" s="180" t="s">
        <v>14</v>
      </c>
      <c r="D74" s="181">
        <f t="shared" si="11"/>
        <v>22027</v>
      </c>
      <c r="E74" s="189">
        <v>0</v>
      </c>
      <c r="F74" s="189">
        <v>16359</v>
      </c>
      <c r="G74" s="190">
        <v>5918</v>
      </c>
      <c r="H74" s="189">
        <v>0</v>
      </c>
      <c r="I74" s="190">
        <v>-250</v>
      </c>
      <c r="J74" s="189">
        <v>0</v>
      </c>
      <c r="K74" s="191">
        <v>0</v>
      </c>
      <c r="L74" s="192">
        <v>0</v>
      </c>
      <c r="M74" s="192">
        <v>0</v>
      </c>
      <c r="N74" s="189">
        <v>0</v>
      </c>
      <c r="O74" s="189">
        <v>0</v>
      </c>
      <c r="P74" s="190">
        <v>0</v>
      </c>
      <c r="Q74" s="193">
        <v>0</v>
      </c>
      <c r="T74" s="204"/>
    </row>
    <row r="75" spans="1:20" s="203" customFormat="1" ht="20.25" customHeight="1">
      <c r="A75" s="775"/>
      <c r="B75" s="778"/>
      <c r="C75" s="180" t="s">
        <v>15</v>
      </c>
      <c r="D75" s="181">
        <f t="shared" si="11"/>
        <v>86029</v>
      </c>
      <c r="E75" s="189">
        <f aca="true" t="shared" si="17" ref="E75:P75">E73+E74</f>
        <v>0</v>
      </c>
      <c r="F75" s="189">
        <f t="shared" si="17"/>
        <v>16359</v>
      </c>
      <c r="G75" s="189">
        <f t="shared" si="17"/>
        <v>39334</v>
      </c>
      <c r="H75" s="189">
        <f t="shared" si="17"/>
        <v>0</v>
      </c>
      <c r="I75" s="189">
        <f t="shared" si="17"/>
        <v>2336</v>
      </c>
      <c r="J75" s="189">
        <f t="shared" si="17"/>
        <v>0</v>
      </c>
      <c r="K75" s="189">
        <f t="shared" si="17"/>
        <v>0</v>
      </c>
      <c r="L75" s="189">
        <f t="shared" si="17"/>
        <v>0</v>
      </c>
      <c r="M75" s="189">
        <f t="shared" si="17"/>
        <v>0</v>
      </c>
      <c r="N75" s="189">
        <f t="shared" si="17"/>
        <v>28000</v>
      </c>
      <c r="O75" s="189">
        <f t="shared" si="17"/>
        <v>0</v>
      </c>
      <c r="P75" s="192">
        <f t="shared" si="17"/>
        <v>0</v>
      </c>
      <c r="Q75" s="193">
        <f>Q73+Q74</f>
        <v>0</v>
      </c>
      <c r="T75" s="204"/>
    </row>
    <row r="76" spans="1:20" s="203" customFormat="1" ht="6.75" customHeight="1">
      <c r="A76" s="205"/>
      <c r="B76" s="206"/>
      <c r="C76" s="206"/>
      <c r="D76" s="208"/>
      <c r="E76" s="200"/>
      <c r="F76" s="200"/>
      <c r="G76" s="200"/>
      <c r="H76" s="200"/>
      <c r="I76" s="200"/>
      <c r="J76" s="200"/>
      <c r="K76" s="200"/>
      <c r="L76" s="200"/>
      <c r="M76" s="208"/>
      <c r="N76" s="200"/>
      <c r="O76" s="200"/>
      <c r="P76" s="200"/>
      <c r="Q76" s="202"/>
      <c r="T76" s="204"/>
    </row>
    <row r="77" spans="1:20" s="203" customFormat="1" ht="20.25" customHeight="1">
      <c r="A77" s="773" t="s">
        <v>240</v>
      </c>
      <c r="B77" s="776" t="s">
        <v>36</v>
      </c>
      <c r="C77" s="180" t="s">
        <v>13</v>
      </c>
      <c r="D77" s="181">
        <f>SUM(E77:Q77)</f>
        <v>5096967</v>
      </c>
      <c r="E77" s="199">
        <v>0</v>
      </c>
      <c r="F77" s="199">
        <v>3000</v>
      </c>
      <c r="G77" s="200">
        <v>4202869</v>
      </c>
      <c r="H77" s="199">
        <v>0</v>
      </c>
      <c r="I77" s="201">
        <v>714098</v>
      </c>
      <c r="J77" s="199">
        <v>0</v>
      </c>
      <c r="K77" s="201">
        <v>0</v>
      </c>
      <c r="L77" s="199">
        <v>0</v>
      </c>
      <c r="M77" s="199">
        <v>0</v>
      </c>
      <c r="N77" s="199">
        <v>100000</v>
      </c>
      <c r="O77" s="199">
        <v>77000</v>
      </c>
      <c r="P77" s="200">
        <v>0</v>
      </c>
      <c r="Q77" s="202">
        <v>0</v>
      </c>
      <c r="T77" s="204"/>
    </row>
    <row r="78" spans="1:20" s="203" customFormat="1" ht="20.25" customHeight="1">
      <c r="A78" s="774"/>
      <c r="B78" s="777"/>
      <c r="C78" s="180" t="s">
        <v>14</v>
      </c>
      <c r="D78" s="181">
        <f t="shared" si="11"/>
        <v>388916</v>
      </c>
      <c r="E78" s="189">
        <v>0</v>
      </c>
      <c r="F78" s="189">
        <v>0</v>
      </c>
      <c r="G78" s="190">
        <f>359929</f>
        <v>359929</v>
      </c>
      <c r="H78" s="189">
        <v>0</v>
      </c>
      <c r="I78" s="190">
        <v>28987</v>
      </c>
      <c r="J78" s="189">
        <v>0</v>
      </c>
      <c r="K78" s="191">
        <v>0</v>
      </c>
      <c r="L78" s="192">
        <v>0</v>
      </c>
      <c r="M78" s="192">
        <v>0</v>
      </c>
      <c r="N78" s="189">
        <v>0</v>
      </c>
      <c r="O78" s="189">
        <v>0</v>
      </c>
      <c r="P78" s="190">
        <v>0</v>
      </c>
      <c r="Q78" s="193">
        <v>0</v>
      </c>
      <c r="T78" s="204"/>
    </row>
    <row r="79" spans="1:20" s="203" customFormat="1" ht="20.25" customHeight="1">
      <c r="A79" s="775"/>
      <c r="B79" s="778"/>
      <c r="C79" s="180" t="s">
        <v>15</v>
      </c>
      <c r="D79" s="181">
        <f t="shared" si="11"/>
        <v>5485883</v>
      </c>
      <c r="E79" s="189">
        <f aca="true" t="shared" si="18" ref="E79:P79">E77+E78</f>
        <v>0</v>
      </c>
      <c r="F79" s="189">
        <f t="shared" si="18"/>
        <v>3000</v>
      </c>
      <c r="G79" s="189">
        <f t="shared" si="18"/>
        <v>4562798</v>
      </c>
      <c r="H79" s="189">
        <f t="shared" si="18"/>
        <v>0</v>
      </c>
      <c r="I79" s="189">
        <f t="shared" si="18"/>
        <v>743085</v>
      </c>
      <c r="J79" s="189">
        <f t="shared" si="18"/>
        <v>0</v>
      </c>
      <c r="K79" s="189">
        <f t="shared" si="18"/>
        <v>0</v>
      </c>
      <c r="L79" s="189">
        <f t="shared" si="18"/>
        <v>0</v>
      </c>
      <c r="M79" s="189">
        <f t="shared" si="18"/>
        <v>0</v>
      </c>
      <c r="N79" s="189">
        <f t="shared" si="18"/>
        <v>100000</v>
      </c>
      <c r="O79" s="189">
        <f t="shared" si="18"/>
        <v>77000</v>
      </c>
      <c r="P79" s="192">
        <f t="shared" si="18"/>
        <v>0</v>
      </c>
      <c r="Q79" s="193">
        <f>Q77+Q78</f>
        <v>0</v>
      </c>
      <c r="T79" s="204"/>
    </row>
    <row r="80" spans="1:20" s="203" customFormat="1" ht="6.75" customHeight="1">
      <c r="A80" s="205"/>
      <c r="B80" s="206"/>
      <c r="C80" s="206"/>
      <c r="D80" s="208"/>
      <c r="E80" s="200"/>
      <c r="F80" s="200"/>
      <c r="G80" s="200"/>
      <c r="H80" s="200"/>
      <c r="I80" s="200"/>
      <c r="J80" s="200"/>
      <c r="K80" s="200"/>
      <c r="L80" s="200"/>
      <c r="M80" s="208"/>
      <c r="N80" s="200"/>
      <c r="O80" s="200"/>
      <c r="P80" s="200"/>
      <c r="Q80" s="202"/>
      <c r="T80" s="204"/>
    </row>
    <row r="81" spans="1:20" s="203" customFormat="1" ht="20.25" customHeight="1">
      <c r="A81" s="773" t="s">
        <v>77</v>
      </c>
      <c r="B81" s="776" t="s">
        <v>451</v>
      </c>
      <c r="C81" s="180" t="s">
        <v>13</v>
      </c>
      <c r="D81" s="181">
        <f>SUM(E81:Q81)</f>
        <v>6786586</v>
      </c>
      <c r="E81" s="199">
        <v>0</v>
      </c>
      <c r="F81" s="199">
        <v>2421785</v>
      </c>
      <c r="G81" s="217">
        <v>0</v>
      </c>
      <c r="H81" s="199">
        <v>2474801</v>
      </c>
      <c r="I81" s="201">
        <v>1876000</v>
      </c>
      <c r="J81" s="199">
        <v>0</v>
      </c>
      <c r="K81" s="201">
        <v>0</v>
      </c>
      <c r="L81" s="199">
        <v>0</v>
      </c>
      <c r="M81" s="199">
        <v>0</v>
      </c>
      <c r="N81" s="199">
        <v>14000</v>
      </c>
      <c r="O81" s="199">
        <v>0</v>
      </c>
      <c r="P81" s="200">
        <v>0</v>
      </c>
      <c r="Q81" s="202">
        <v>0</v>
      </c>
      <c r="T81" s="204"/>
    </row>
    <row r="82" spans="1:20" s="203" customFormat="1" ht="20.25" customHeight="1">
      <c r="A82" s="774"/>
      <c r="B82" s="777"/>
      <c r="C82" s="180" t="s">
        <v>14</v>
      </c>
      <c r="D82" s="181">
        <f t="shared" si="11"/>
        <v>62794</v>
      </c>
      <c r="E82" s="189">
        <v>0</v>
      </c>
      <c r="F82" s="189">
        <v>62794</v>
      </c>
      <c r="G82" s="190">
        <v>0</v>
      </c>
      <c r="H82" s="189">
        <v>0</v>
      </c>
      <c r="I82" s="190">
        <v>0</v>
      </c>
      <c r="J82" s="189">
        <v>0</v>
      </c>
      <c r="K82" s="191">
        <v>0</v>
      </c>
      <c r="L82" s="192">
        <v>0</v>
      </c>
      <c r="M82" s="192">
        <v>0</v>
      </c>
      <c r="N82" s="189">
        <v>0</v>
      </c>
      <c r="O82" s="189">
        <v>0</v>
      </c>
      <c r="P82" s="190">
        <v>0</v>
      </c>
      <c r="Q82" s="193">
        <v>0</v>
      </c>
      <c r="T82" s="204"/>
    </row>
    <row r="83" spans="1:20" s="203" customFormat="1" ht="20.25" customHeight="1">
      <c r="A83" s="775"/>
      <c r="B83" s="778"/>
      <c r="C83" s="180" t="s">
        <v>15</v>
      </c>
      <c r="D83" s="181">
        <f t="shared" si="11"/>
        <v>6849380</v>
      </c>
      <c r="E83" s="189">
        <f aca="true" t="shared" si="19" ref="E83:P83">E81+E82</f>
        <v>0</v>
      </c>
      <c r="F83" s="189">
        <f t="shared" si="19"/>
        <v>2484579</v>
      </c>
      <c r="G83" s="189">
        <f t="shared" si="19"/>
        <v>0</v>
      </c>
      <c r="H83" s="189">
        <f t="shared" si="19"/>
        <v>2474801</v>
      </c>
      <c r="I83" s="189">
        <f t="shared" si="19"/>
        <v>1876000</v>
      </c>
      <c r="J83" s="189">
        <f t="shared" si="19"/>
        <v>0</v>
      </c>
      <c r="K83" s="189">
        <f t="shared" si="19"/>
        <v>0</v>
      </c>
      <c r="L83" s="189">
        <f t="shared" si="19"/>
        <v>0</v>
      </c>
      <c r="M83" s="189">
        <f t="shared" si="19"/>
        <v>0</v>
      </c>
      <c r="N83" s="189">
        <f t="shared" si="19"/>
        <v>14000</v>
      </c>
      <c r="O83" s="189">
        <f t="shared" si="19"/>
        <v>0</v>
      </c>
      <c r="P83" s="192">
        <f t="shared" si="19"/>
        <v>0</v>
      </c>
      <c r="Q83" s="193">
        <f>Q81+Q82</f>
        <v>0</v>
      </c>
      <c r="T83" s="204"/>
    </row>
    <row r="84" spans="1:20" s="203" customFormat="1" ht="6.75" customHeight="1">
      <c r="A84" s="205"/>
      <c r="B84" s="206"/>
      <c r="C84" s="206"/>
      <c r="D84" s="208"/>
      <c r="E84" s="200"/>
      <c r="F84" s="200"/>
      <c r="G84" s="200"/>
      <c r="H84" s="200"/>
      <c r="I84" s="200"/>
      <c r="J84" s="200"/>
      <c r="K84" s="200"/>
      <c r="L84" s="200"/>
      <c r="M84" s="208"/>
      <c r="N84" s="200"/>
      <c r="O84" s="200"/>
      <c r="P84" s="200"/>
      <c r="Q84" s="202"/>
      <c r="T84" s="204"/>
    </row>
    <row r="85" spans="1:20" s="203" customFormat="1" ht="20.25" customHeight="1" hidden="1">
      <c r="A85" s="773" t="s">
        <v>246</v>
      </c>
      <c r="B85" s="776" t="s">
        <v>247</v>
      </c>
      <c r="C85" s="180" t="s">
        <v>13</v>
      </c>
      <c r="D85" s="181">
        <f>SUM(E85:Q85)</f>
        <v>6350</v>
      </c>
      <c r="E85" s="199">
        <v>0</v>
      </c>
      <c r="F85" s="199">
        <v>6350</v>
      </c>
      <c r="G85" s="217">
        <v>0</v>
      </c>
      <c r="H85" s="199">
        <v>0</v>
      </c>
      <c r="I85" s="200">
        <v>0</v>
      </c>
      <c r="J85" s="199">
        <v>0</v>
      </c>
      <c r="K85" s="201">
        <v>0</v>
      </c>
      <c r="L85" s="217">
        <v>0</v>
      </c>
      <c r="M85" s="199">
        <v>0</v>
      </c>
      <c r="N85" s="199">
        <v>0</v>
      </c>
      <c r="O85" s="199">
        <v>0</v>
      </c>
      <c r="P85" s="200">
        <v>0</v>
      </c>
      <c r="Q85" s="202">
        <v>0</v>
      </c>
      <c r="T85" s="204"/>
    </row>
    <row r="86" spans="1:20" s="203" customFormat="1" ht="20.25" customHeight="1" hidden="1">
      <c r="A86" s="774"/>
      <c r="B86" s="777"/>
      <c r="C86" s="180" t="s">
        <v>14</v>
      </c>
      <c r="D86" s="181">
        <f t="shared" si="11"/>
        <v>0</v>
      </c>
      <c r="E86" s="189">
        <v>0</v>
      </c>
      <c r="F86" s="189">
        <v>0</v>
      </c>
      <c r="G86" s="190">
        <v>0</v>
      </c>
      <c r="H86" s="189">
        <v>0</v>
      </c>
      <c r="I86" s="190">
        <v>0</v>
      </c>
      <c r="J86" s="189">
        <v>0</v>
      </c>
      <c r="K86" s="191">
        <v>0</v>
      </c>
      <c r="L86" s="192">
        <v>0</v>
      </c>
      <c r="M86" s="192">
        <v>0</v>
      </c>
      <c r="N86" s="189">
        <v>0</v>
      </c>
      <c r="O86" s="189">
        <v>0</v>
      </c>
      <c r="P86" s="190">
        <v>0</v>
      </c>
      <c r="Q86" s="193">
        <v>0</v>
      </c>
      <c r="T86" s="204"/>
    </row>
    <row r="87" spans="1:20" s="203" customFormat="1" ht="20.25" customHeight="1" hidden="1">
      <c r="A87" s="775"/>
      <c r="B87" s="778"/>
      <c r="C87" s="180" t="s">
        <v>15</v>
      </c>
      <c r="D87" s="181">
        <f t="shared" si="11"/>
        <v>6350</v>
      </c>
      <c r="E87" s="189">
        <f aca="true" t="shared" si="20" ref="E87:P87">E85+E86</f>
        <v>0</v>
      </c>
      <c r="F87" s="189">
        <f t="shared" si="20"/>
        <v>6350</v>
      </c>
      <c r="G87" s="189">
        <f t="shared" si="20"/>
        <v>0</v>
      </c>
      <c r="H87" s="189">
        <f t="shared" si="20"/>
        <v>0</v>
      </c>
      <c r="I87" s="189">
        <f t="shared" si="20"/>
        <v>0</v>
      </c>
      <c r="J87" s="189">
        <f t="shared" si="20"/>
        <v>0</v>
      </c>
      <c r="K87" s="189">
        <f t="shared" si="20"/>
        <v>0</v>
      </c>
      <c r="L87" s="189">
        <f t="shared" si="20"/>
        <v>0</v>
      </c>
      <c r="M87" s="189">
        <f t="shared" si="20"/>
        <v>0</v>
      </c>
      <c r="N87" s="189">
        <f t="shared" si="20"/>
        <v>0</v>
      </c>
      <c r="O87" s="189">
        <f t="shared" si="20"/>
        <v>0</v>
      </c>
      <c r="P87" s="192">
        <f t="shared" si="20"/>
        <v>0</v>
      </c>
      <c r="Q87" s="193">
        <f>Q85+Q86</f>
        <v>0</v>
      </c>
      <c r="T87" s="204"/>
    </row>
    <row r="88" spans="1:20" s="203" customFormat="1" ht="20.25" customHeight="1" hidden="1">
      <c r="A88" s="205"/>
      <c r="B88" s="206"/>
      <c r="C88" s="206"/>
      <c r="D88" s="208"/>
      <c r="E88" s="200"/>
      <c r="F88" s="200"/>
      <c r="G88" s="200"/>
      <c r="H88" s="200"/>
      <c r="I88" s="200"/>
      <c r="J88" s="200"/>
      <c r="K88" s="200"/>
      <c r="L88" s="200"/>
      <c r="M88" s="208"/>
      <c r="N88" s="200"/>
      <c r="O88" s="200"/>
      <c r="P88" s="200"/>
      <c r="Q88" s="202"/>
      <c r="T88" s="204"/>
    </row>
    <row r="89" spans="1:20" s="203" customFormat="1" ht="20.25" customHeight="1" hidden="1">
      <c r="A89" s="773" t="s">
        <v>400</v>
      </c>
      <c r="B89" s="776" t="s">
        <v>63</v>
      </c>
      <c r="C89" s="180" t="s">
        <v>13</v>
      </c>
      <c r="D89" s="181">
        <f>SUM(E89:Q89)</f>
        <v>1761000</v>
      </c>
      <c r="E89" s="199">
        <v>0</v>
      </c>
      <c r="F89" s="199">
        <v>0</v>
      </c>
      <c r="G89" s="217">
        <v>0</v>
      </c>
      <c r="H89" s="199">
        <v>0</v>
      </c>
      <c r="I89" s="200">
        <v>0</v>
      </c>
      <c r="J89" s="199">
        <v>0</v>
      </c>
      <c r="K89" s="201">
        <v>0</v>
      </c>
      <c r="L89" s="217">
        <v>0</v>
      </c>
      <c r="M89" s="199">
        <v>0</v>
      </c>
      <c r="N89" s="199">
        <v>1761000</v>
      </c>
      <c r="O89" s="199">
        <v>0</v>
      </c>
      <c r="P89" s="200">
        <v>0</v>
      </c>
      <c r="Q89" s="202">
        <v>0</v>
      </c>
      <c r="T89" s="204"/>
    </row>
    <row r="90" spans="1:20" s="203" customFormat="1" ht="20.25" customHeight="1" hidden="1">
      <c r="A90" s="774"/>
      <c r="B90" s="777"/>
      <c r="C90" s="180" t="s">
        <v>14</v>
      </c>
      <c r="D90" s="181">
        <f t="shared" si="11"/>
        <v>0</v>
      </c>
      <c r="E90" s="189">
        <v>0</v>
      </c>
      <c r="F90" s="189">
        <v>0</v>
      </c>
      <c r="G90" s="190">
        <v>0</v>
      </c>
      <c r="H90" s="189">
        <v>0</v>
      </c>
      <c r="I90" s="190">
        <v>0</v>
      </c>
      <c r="J90" s="189">
        <v>0</v>
      </c>
      <c r="K90" s="191">
        <v>0</v>
      </c>
      <c r="L90" s="192">
        <v>0</v>
      </c>
      <c r="M90" s="192">
        <v>0</v>
      </c>
      <c r="N90" s="189">
        <v>0</v>
      </c>
      <c r="O90" s="189">
        <v>0</v>
      </c>
      <c r="P90" s="190">
        <v>0</v>
      </c>
      <c r="Q90" s="193">
        <v>0</v>
      </c>
      <c r="T90" s="204"/>
    </row>
    <row r="91" spans="1:20" s="203" customFormat="1" ht="20.25" customHeight="1" hidden="1">
      <c r="A91" s="775"/>
      <c r="B91" s="778"/>
      <c r="C91" s="180" t="s">
        <v>15</v>
      </c>
      <c r="D91" s="181">
        <f t="shared" si="11"/>
        <v>1761000</v>
      </c>
      <c r="E91" s="189">
        <f aca="true" t="shared" si="21" ref="E91:P91">E89+E90</f>
        <v>0</v>
      </c>
      <c r="F91" s="189">
        <f t="shared" si="21"/>
        <v>0</v>
      </c>
      <c r="G91" s="189">
        <f t="shared" si="21"/>
        <v>0</v>
      </c>
      <c r="H91" s="189">
        <f t="shared" si="21"/>
        <v>0</v>
      </c>
      <c r="I91" s="189">
        <f t="shared" si="21"/>
        <v>0</v>
      </c>
      <c r="J91" s="189">
        <f t="shared" si="21"/>
        <v>0</v>
      </c>
      <c r="K91" s="189">
        <f t="shared" si="21"/>
        <v>0</v>
      </c>
      <c r="L91" s="189">
        <f t="shared" si="21"/>
        <v>0</v>
      </c>
      <c r="M91" s="189">
        <f t="shared" si="21"/>
        <v>0</v>
      </c>
      <c r="N91" s="189">
        <f t="shared" si="21"/>
        <v>1761000</v>
      </c>
      <c r="O91" s="189">
        <f t="shared" si="21"/>
        <v>0</v>
      </c>
      <c r="P91" s="192">
        <f t="shared" si="21"/>
        <v>0</v>
      </c>
      <c r="Q91" s="193">
        <f>Q89+Q90</f>
        <v>0</v>
      </c>
      <c r="T91" s="204"/>
    </row>
    <row r="92" spans="1:20" s="203" customFormat="1" ht="20.25" customHeight="1" hidden="1">
      <c r="A92" s="212"/>
      <c r="B92" s="218"/>
      <c r="C92" s="206"/>
      <c r="D92" s="208"/>
      <c r="E92" s="200"/>
      <c r="F92" s="200"/>
      <c r="G92" s="200"/>
      <c r="H92" s="200"/>
      <c r="I92" s="200"/>
      <c r="J92" s="200"/>
      <c r="K92" s="200"/>
      <c r="L92" s="200"/>
      <c r="M92" s="208"/>
      <c r="N92" s="200"/>
      <c r="O92" s="200"/>
      <c r="P92" s="200"/>
      <c r="Q92" s="202"/>
      <c r="T92" s="204"/>
    </row>
    <row r="93" spans="1:20" s="203" customFormat="1" ht="20.25" customHeight="1">
      <c r="A93" s="773" t="s">
        <v>79</v>
      </c>
      <c r="B93" s="776" t="s">
        <v>38</v>
      </c>
      <c r="C93" s="180" t="s">
        <v>13</v>
      </c>
      <c r="D93" s="181">
        <f>SUM(E93:Q93)</f>
        <v>3130029</v>
      </c>
      <c r="E93" s="199">
        <v>0</v>
      </c>
      <c r="F93" s="199">
        <v>958851</v>
      </c>
      <c r="G93" s="217">
        <v>646841</v>
      </c>
      <c r="H93" s="199">
        <v>0</v>
      </c>
      <c r="I93" s="200">
        <v>0</v>
      </c>
      <c r="J93" s="199">
        <v>0</v>
      </c>
      <c r="K93" s="201">
        <v>718712</v>
      </c>
      <c r="L93" s="217">
        <v>92625</v>
      </c>
      <c r="M93" s="199">
        <v>0</v>
      </c>
      <c r="N93" s="199">
        <v>713000</v>
      </c>
      <c r="O93" s="199">
        <v>0</v>
      </c>
      <c r="P93" s="200">
        <v>0</v>
      </c>
      <c r="Q93" s="202">
        <v>0</v>
      </c>
      <c r="T93" s="204"/>
    </row>
    <row r="94" spans="1:20" s="203" customFormat="1" ht="20.25" customHeight="1">
      <c r="A94" s="774"/>
      <c r="B94" s="777"/>
      <c r="C94" s="180" t="s">
        <v>14</v>
      </c>
      <c r="D94" s="181">
        <f t="shared" si="11"/>
        <v>65000</v>
      </c>
      <c r="E94" s="189">
        <v>0</v>
      </c>
      <c r="F94" s="189">
        <v>45000</v>
      </c>
      <c r="G94" s="190">
        <v>0</v>
      </c>
      <c r="H94" s="189">
        <v>0</v>
      </c>
      <c r="I94" s="190">
        <v>0</v>
      </c>
      <c r="J94" s="189">
        <v>0</v>
      </c>
      <c r="K94" s="191">
        <v>0</v>
      </c>
      <c r="L94" s="192">
        <v>0</v>
      </c>
      <c r="M94" s="192">
        <v>0</v>
      </c>
      <c r="N94" s="189">
        <v>0</v>
      </c>
      <c r="O94" s="189">
        <v>0</v>
      </c>
      <c r="P94" s="190">
        <v>20000</v>
      </c>
      <c r="Q94" s="193">
        <v>0</v>
      </c>
      <c r="T94" s="204"/>
    </row>
    <row r="95" spans="1:20" s="203" customFormat="1" ht="20.25" customHeight="1">
      <c r="A95" s="775"/>
      <c r="B95" s="778"/>
      <c r="C95" s="180" t="s">
        <v>15</v>
      </c>
      <c r="D95" s="181">
        <f t="shared" si="11"/>
        <v>3195029</v>
      </c>
      <c r="E95" s="189">
        <f aca="true" t="shared" si="22" ref="E95:P95">E93+E94</f>
        <v>0</v>
      </c>
      <c r="F95" s="189">
        <f t="shared" si="22"/>
        <v>1003851</v>
      </c>
      <c r="G95" s="189">
        <f t="shared" si="22"/>
        <v>646841</v>
      </c>
      <c r="H95" s="189">
        <f t="shared" si="22"/>
        <v>0</v>
      </c>
      <c r="I95" s="189">
        <f t="shared" si="22"/>
        <v>0</v>
      </c>
      <c r="J95" s="189">
        <f t="shared" si="22"/>
        <v>0</v>
      </c>
      <c r="K95" s="189">
        <f t="shared" si="22"/>
        <v>718712</v>
      </c>
      <c r="L95" s="189">
        <f t="shared" si="22"/>
        <v>92625</v>
      </c>
      <c r="M95" s="189">
        <f t="shared" si="22"/>
        <v>0</v>
      </c>
      <c r="N95" s="189">
        <f t="shared" si="22"/>
        <v>713000</v>
      </c>
      <c r="O95" s="189">
        <f t="shared" si="22"/>
        <v>0</v>
      </c>
      <c r="P95" s="192">
        <f t="shared" si="22"/>
        <v>20000</v>
      </c>
      <c r="Q95" s="193">
        <f>Q93+Q94</f>
        <v>0</v>
      </c>
      <c r="T95" s="204"/>
    </row>
    <row r="96" spans="1:20" s="203" customFormat="1" ht="6.75" customHeight="1">
      <c r="A96" s="205"/>
      <c r="B96" s="206"/>
      <c r="C96" s="206"/>
      <c r="D96" s="208"/>
      <c r="E96" s="200"/>
      <c r="F96" s="200"/>
      <c r="G96" s="200"/>
      <c r="H96" s="200"/>
      <c r="I96" s="200"/>
      <c r="J96" s="200"/>
      <c r="K96" s="200"/>
      <c r="L96" s="200"/>
      <c r="M96" s="208"/>
      <c r="N96" s="200"/>
      <c r="O96" s="200"/>
      <c r="P96" s="200"/>
      <c r="Q96" s="202"/>
      <c r="T96" s="204"/>
    </row>
    <row r="97" spans="1:20" s="203" customFormat="1" ht="20.25" customHeight="1">
      <c r="A97" s="773" t="s">
        <v>250</v>
      </c>
      <c r="B97" s="776" t="s">
        <v>39</v>
      </c>
      <c r="C97" s="180" t="s">
        <v>13</v>
      </c>
      <c r="D97" s="181">
        <f>SUM(E97:Q97)</f>
        <v>3937304</v>
      </c>
      <c r="E97" s="199">
        <v>0</v>
      </c>
      <c r="F97" s="199">
        <v>0</v>
      </c>
      <c r="G97" s="217">
        <v>275558</v>
      </c>
      <c r="H97" s="199">
        <v>0</v>
      </c>
      <c r="I97" s="200">
        <v>0</v>
      </c>
      <c r="J97" s="199">
        <v>0</v>
      </c>
      <c r="K97" s="201">
        <v>0</v>
      </c>
      <c r="L97" s="217">
        <v>193586</v>
      </c>
      <c r="M97" s="199">
        <v>0</v>
      </c>
      <c r="N97" s="199">
        <v>0</v>
      </c>
      <c r="O97" s="199">
        <v>3468160</v>
      </c>
      <c r="P97" s="200">
        <v>0</v>
      </c>
      <c r="Q97" s="202">
        <v>0</v>
      </c>
      <c r="T97" s="204"/>
    </row>
    <row r="98" spans="1:20" s="203" customFormat="1" ht="20.25" customHeight="1">
      <c r="A98" s="774"/>
      <c r="B98" s="777"/>
      <c r="C98" s="180" t="s">
        <v>14</v>
      </c>
      <c r="D98" s="181">
        <f t="shared" si="11"/>
        <v>470000</v>
      </c>
      <c r="E98" s="189">
        <v>0</v>
      </c>
      <c r="F98" s="189">
        <v>0</v>
      </c>
      <c r="G98" s="190">
        <v>0</v>
      </c>
      <c r="H98" s="189">
        <v>0</v>
      </c>
      <c r="I98" s="190">
        <v>0</v>
      </c>
      <c r="J98" s="189">
        <v>0</v>
      </c>
      <c r="K98" s="191">
        <v>0</v>
      </c>
      <c r="L98" s="192">
        <v>0</v>
      </c>
      <c r="M98" s="192">
        <v>0</v>
      </c>
      <c r="N98" s="189">
        <v>0</v>
      </c>
      <c r="O98" s="189">
        <v>470000</v>
      </c>
      <c r="P98" s="190">
        <v>0</v>
      </c>
      <c r="Q98" s="193">
        <v>0</v>
      </c>
      <c r="T98" s="204"/>
    </row>
    <row r="99" spans="1:20" s="203" customFormat="1" ht="20.25" customHeight="1">
      <c r="A99" s="775"/>
      <c r="B99" s="778"/>
      <c r="C99" s="180" t="s">
        <v>15</v>
      </c>
      <c r="D99" s="181">
        <f t="shared" si="11"/>
        <v>4407304</v>
      </c>
      <c r="E99" s="189">
        <f aca="true" t="shared" si="23" ref="E99:P99">E97+E98</f>
        <v>0</v>
      </c>
      <c r="F99" s="189">
        <f t="shared" si="23"/>
        <v>0</v>
      </c>
      <c r="G99" s="189">
        <f t="shared" si="23"/>
        <v>275558</v>
      </c>
      <c r="H99" s="189">
        <f t="shared" si="23"/>
        <v>0</v>
      </c>
      <c r="I99" s="189">
        <f t="shared" si="23"/>
        <v>0</v>
      </c>
      <c r="J99" s="189">
        <f t="shared" si="23"/>
        <v>0</v>
      </c>
      <c r="K99" s="189">
        <f t="shared" si="23"/>
        <v>0</v>
      </c>
      <c r="L99" s="189">
        <f t="shared" si="23"/>
        <v>193586</v>
      </c>
      <c r="M99" s="189">
        <f t="shared" si="23"/>
        <v>0</v>
      </c>
      <c r="N99" s="189">
        <f t="shared" si="23"/>
        <v>0</v>
      </c>
      <c r="O99" s="189">
        <f t="shared" si="23"/>
        <v>3938160</v>
      </c>
      <c r="P99" s="192">
        <f t="shared" si="23"/>
        <v>0</v>
      </c>
      <c r="Q99" s="193">
        <f>Q97+Q98</f>
        <v>0</v>
      </c>
      <c r="T99" s="204"/>
    </row>
    <row r="100" spans="1:20" s="203" customFormat="1" ht="6.75" customHeight="1">
      <c r="A100" s="205"/>
      <c r="B100" s="206"/>
      <c r="C100" s="206"/>
      <c r="D100" s="208"/>
      <c r="E100" s="200"/>
      <c r="F100" s="200"/>
      <c r="G100" s="200"/>
      <c r="H100" s="200"/>
      <c r="I100" s="200"/>
      <c r="J100" s="200"/>
      <c r="K100" s="200"/>
      <c r="L100" s="200"/>
      <c r="M100" s="208"/>
      <c r="N100" s="200"/>
      <c r="O100" s="200"/>
      <c r="P100" s="200"/>
      <c r="Q100" s="202"/>
      <c r="T100" s="204"/>
    </row>
    <row r="101" spans="1:20" s="203" customFormat="1" ht="23.25" customHeight="1">
      <c r="A101" s="773" t="s">
        <v>407</v>
      </c>
      <c r="B101" s="776" t="s">
        <v>452</v>
      </c>
      <c r="C101" s="180" t="s">
        <v>13</v>
      </c>
      <c r="D101" s="181">
        <f>SUM(E101:Q101)</f>
        <v>3530098</v>
      </c>
      <c r="E101" s="199">
        <v>0</v>
      </c>
      <c r="F101" s="199">
        <v>101000</v>
      </c>
      <c r="G101" s="217">
        <v>0</v>
      </c>
      <c r="H101" s="199">
        <v>0</v>
      </c>
      <c r="I101" s="201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2180000</v>
      </c>
      <c r="O101" s="199">
        <v>0</v>
      </c>
      <c r="P101" s="217">
        <v>1249098</v>
      </c>
      <c r="Q101" s="202">
        <v>0</v>
      </c>
      <c r="T101" s="204"/>
    </row>
    <row r="102" spans="1:20" s="203" customFormat="1" ht="23.25" customHeight="1">
      <c r="A102" s="774"/>
      <c r="B102" s="777"/>
      <c r="C102" s="180" t="s">
        <v>14</v>
      </c>
      <c r="D102" s="181">
        <f t="shared" si="11"/>
        <v>157572</v>
      </c>
      <c r="E102" s="189">
        <v>0</v>
      </c>
      <c r="F102" s="189">
        <v>5902</v>
      </c>
      <c r="G102" s="190">
        <v>0</v>
      </c>
      <c r="H102" s="189">
        <v>0</v>
      </c>
      <c r="I102" s="190">
        <v>0</v>
      </c>
      <c r="J102" s="189">
        <v>0</v>
      </c>
      <c r="K102" s="191">
        <v>0</v>
      </c>
      <c r="L102" s="192">
        <v>0</v>
      </c>
      <c r="M102" s="192">
        <v>0</v>
      </c>
      <c r="N102" s="189">
        <v>0</v>
      </c>
      <c r="O102" s="189">
        <v>0</v>
      </c>
      <c r="P102" s="190">
        <f>151670</f>
        <v>151670</v>
      </c>
      <c r="Q102" s="193">
        <v>0</v>
      </c>
      <c r="T102" s="204"/>
    </row>
    <row r="103" spans="1:20" s="203" customFormat="1" ht="23.25" customHeight="1">
      <c r="A103" s="775"/>
      <c r="B103" s="778"/>
      <c r="C103" s="180" t="s">
        <v>15</v>
      </c>
      <c r="D103" s="181">
        <f t="shared" si="11"/>
        <v>3687670</v>
      </c>
      <c r="E103" s="189">
        <f aca="true" t="shared" si="24" ref="E103:P103">E101+E102</f>
        <v>0</v>
      </c>
      <c r="F103" s="189">
        <f t="shared" si="24"/>
        <v>106902</v>
      </c>
      <c r="G103" s="189">
        <f t="shared" si="24"/>
        <v>0</v>
      </c>
      <c r="H103" s="189">
        <f t="shared" si="24"/>
        <v>0</v>
      </c>
      <c r="I103" s="189">
        <f t="shared" si="24"/>
        <v>0</v>
      </c>
      <c r="J103" s="189">
        <f t="shared" si="24"/>
        <v>0</v>
      </c>
      <c r="K103" s="189">
        <f t="shared" si="24"/>
        <v>0</v>
      </c>
      <c r="L103" s="189">
        <f t="shared" si="24"/>
        <v>0</v>
      </c>
      <c r="M103" s="189">
        <f t="shared" si="24"/>
        <v>0</v>
      </c>
      <c r="N103" s="189">
        <f t="shared" si="24"/>
        <v>2180000</v>
      </c>
      <c r="O103" s="189">
        <f t="shared" si="24"/>
        <v>0</v>
      </c>
      <c r="P103" s="192">
        <f t="shared" si="24"/>
        <v>1400768</v>
      </c>
      <c r="Q103" s="193">
        <f>Q101+Q102</f>
        <v>0</v>
      </c>
      <c r="T103" s="204"/>
    </row>
    <row r="104" spans="1:20" s="178" customFormat="1" ht="6.75" customHeight="1" thickBot="1">
      <c r="A104" s="219"/>
      <c r="B104" s="220"/>
      <c r="C104" s="206"/>
      <c r="D104" s="172"/>
      <c r="E104" s="173"/>
      <c r="F104" s="174"/>
      <c r="G104" s="174"/>
      <c r="H104" s="175"/>
      <c r="I104" s="174"/>
      <c r="J104" s="174"/>
      <c r="K104" s="176"/>
      <c r="L104" s="174"/>
      <c r="M104" s="174"/>
      <c r="N104" s="174"/>
      <c r="O104" s="174"/>
      <c r="P104" s="174"/>
      <c r="Q104" s="177"/>
      <c r="T104" s="179"/>
    </row>
    <row r="105" spans="1:20" s="160" customFormat="1" ht="20.25" customHeight="1">
      <c r="A105" s="767"/>
      <c r="B105" s="779" t="s">
        <v>453</v>
      </c>
      <c r="C105" s="221" t="s">
        <v>13</v>
      </c>
      <c r="D105" s="157">
        <f>SUM(E105:P105)</f>
        <v>334944942</v>
      </c>
      <c r="E105" s="222">
        <f>E109+E113+E117+E121+E125+E129+E133+E137+E145+E141</f>
        <v>0</v>
      </c>
      <c r="F105" s="222">
        <f aca="true" t="shared" si="25" ref="F105:P107">F109+F113+F117+F121+F125+F129+F133+F137+F145+F141</f>
        <v>1310000</v>
      </c>
      <c r="G105" s="222">
        <f t="shared" si="25"/>
        <v>301764790</v>
      </c>
      <c r="H105" s="222">
        <f t="shared" si="25"/>
        <v>29350</v>
      </c>
      <c r="I105" s="222">
        <f t="shared" si="25"/>
        <v>9067000</v>
      </c>
      <c r="J105" s="222">
        <f t="shared" si="25"/>
        <v>15140953</v>
      </c>
      <c r="K105" s="222">
        <f t="shared" si="25"/>
        <v>270164</v>
      </c>
      <c r="L105" s="222">
        <f t="shared" si="25"/>
        <v>0</v>
      </c>
      <c r="M105" s="222">
        <f>M109+M113+M117+M121+M125+M129+M133+M137+M145+M141</f>
        <v>62685</v>
      </c>
      <c r="N105" s="222">
        <f t="shared" si="25"/>
        <v>6000000</v>
      </c>
      <c r="O105" s="222">
        <f t="shared" si="25"/>
        <v>1300000</v>
      </c>
      <c r="P105" s="223">
        <f t="shared" si="25"/>
        <v>0</v>
      </c>
      <c r="Q105" s="224">
        <f>Q109+Q113+Q117+Q121+Q125+Q129+Q133+Q137+Q145+Q141</f>
        <v>0</v>
      </c>
      <c r="T105" s="161"/>
    </row>
    <row r="106" spans="1:20" s="160" customFormat="1" ht="20.25" customHeight="1">
      <c r="A106" s="768"/>
      <c r="B106" s="780"/>
      <c r="C106" s="225" t="s">
        <v>14</v>
      </c>
      <c r="D106" s="163">
        <f>SUM(E106:P106)</f>
        <v>-56515210</v>
      </c>
      <c r="E106" s="163">
        <f>E110+E114+E118+E122+E126+E130+E134+E138+E146+E142</f>
        <v>0</v>
      </c>
      <c r="F106" s="163">
        <f t="shared" si="25"/>
        <v>0</v>
      </c>
      <c r="G106" s="163">
        <f t="shared" si="25"/>
        <v>-57608211</v>
      </c>
      <c r="H106" s="163">
        <f t="shared" si="25"/>
        <v>0</v>
      </c>
      <c r="I106" s="163">
        <f t="shared" si="25"/>
        <v>-761907</v>
      </c>
      <c r="J106" s="163">
        <f t="shared" si="25"/>
        <v>1031642</v>
      </c>
      <c r="K106" s="163">
        <f t="shared" si="25"/>
        <v>0</v>
      </c>
      <c r="L106" s="163">
        <f t="shared" si="25"/>
        <v>0</v>
      </c>
      <c r="M106" s="163">
        <f>M110+M114+M118+M122+M126+M130+M134+M138+M146+M142</f>
        <v>53</v>
      </c>
      <c r="N106" s="163">
        <f t="shared" si="25"/>
        <v>0</v>
      </c>
      <c r="O106" s="163">
        <f t="shared" si="25"/>
        <v>823213</v>
      </c>
      <c r="P106" s="164">
        <f t="shared" si="25"/>
        <v>0</v>
      </c>
      <c r="Q106" s="165">
        <f>Q110+Q114+Q118+Q122+Q126+Q130+Q134+Q138+Q146+Q142</f>
        <v>0</v>
      </c>
      <c r="T106" s="161"/>
    </row>
    <row r="107" spans="1:20" s="160" customFormat="1" ht="20.25" customHeight="1" thickBot="1">
      <c r="A107" s="769"/>
      <c r="B107" s="781"/>
      <c r="C107" s="226" t="s">
        <v>15</v>
      </c>
      <c r="D107" s="167">
        <f>SUM(E107:P107)</f>
        <v>278429732</v>
      </c>
      <c r="E107" s="167">
        <f>E111+E115+E119+E123+E127+E131+E135+E139+E147+E143</f>
        <v>0</v>
      </c>
      <c r="F107" s="167">
        <f t="shared" si="25"/>
        <v>1310000</v>
      </c>
      <c r="G107" s="167">
        <f t="shared" si="25"/>
        <v>244156579</v>
      </c>
      <c r="H107" s="167">
        <f t="shared" si="25"/>
        <v>29350</v>
      </c>
      <c r="I107" s="167">
        <f t="shared" si="25"/>
        <v>8305093</v>
      </c>
      <c r="J107" s="167">
        <f t="shared" si="25"/>
        <v>16172595</v>
      </c>
      <c r="K107" s="167">
        <f t="shared" si="25"/>
        <v>270164</v>
      </c>
      <c r="L107" s="167">
        <f t="shared" si="25"/>
        <v>0</v>
      </c>
      <c r="M107" s="167">
        <f>M111+M115+M119+M123+M127+M131+M135+M139+M147+M143</f>
        <v>62738</v>
      </c>
      <c r="N107" s="167">
        <f t="shared" si="25"/>
        <v>6000000</v>
      </c>
      <c r="O107" s="167">
        <f t="shared" si="25"/>
        <v>2123213</v>
      </c>
      <c r="P107" s="168">
        <f t="shared" si="25"/>
        <v>0</v>
      </c>
      <c r="Q107" s="169">
        <f>Q111+Q115+Q119+Q123+Q127+Q131+Q135+Q139+Q147+Q143</f>
        <v>0</v>
      </c>
      <c r="T107" s="161"/>
    </row>
    <row r="108" spans="1:20" s="178" customFormat="1" ht="6.75" customHeight="1">
      <c r="A108" s="227"/>
      <c r="B108" s="220"/>
      <c r="C108" s="220"/>
      <c r="D108" s="172"/>
      <c r="E108" s="173"/>
      <c r="F108" s="174"/>
      <c r="G108" s="174"/>
      <c r="H108" s="175"/>
      <c r="I108" s="174"/>
      <c r="J108" s="174"/>
      <c r="K108" s="176"/>
      <c r="L108" s="174"/>
      <c r="M108" s="174"/>
      <c r="N108" s="174"/>
      <c r="O108" s="174"/>
      <c r="P108" s="174"/>
      <c r="Q108" s="177"/>
      <c r="T108" s="179"/>
    </row>
    <row r="109" spans="1:20" s="187" customFormat="1" ht="20.25" customHeight="1" hidden="1">
      <c r="A109" s="782" t="s">
        <v>16</v>
      </c>
      <c r="B109" s="783" t="s">
        <v>448</v>
      </c>
      <c r="C109" s="180" t="s">
        <v>13</v>
      </c>
      <c r="D109" s="181">
        <f aca="true" t="shared" si="26" ref="D109:D147">SUM(E109:Q109)</f>
        <v>0</v>
      </c>
      <c r="E109" s="182">
        <v>0</v>
      </c>
      <c r="F109" s="182">
        <v>0</v>
      </c>
      <c r="G109" s="182">
        <v>0</v>
      </c>
      <c r="H109" s="182">
        <v>0</v>
      </c>
      <c r="I109" s="182">
        <v>0</v>
      </c>
      <c r="J109" s="182">
        <v>0</v>
      </c>
      <c r="K109" s="182">
        <v>0</v>
      </c>
      <c r="L109" s="182">
        <v>0</v>
      </c>
      <c r="M109" s="199">
        <v>0</v>
      </c>
      <c r="N109" s="182">
        <v>0</v>
      </c>
      <c r="O109" s="182">
        <v>0</v>
      </c>
      <c r="P109" s="183">
        <v>0</v>
      </c>
      <c r="Q109" s="186">
        <v>0</v>
      </c>
      <c r="T109" s="188"/>
    </row>
    <row r="110" spans="1:20" s="187" customFormat="1" ht="20.25" customHeight="1" hidden="1">
      <c r="A110" s="782"/>
      <c r="B110" s="783"/>
      <c r="C110" s="180" t="s">
        <v>14</v>
      </c>
      <c r="D110" s="181">
        <f t="shared" si="26"/>
        <v>0</v>
      </c>
      <c r="E110" s="189">
        <v>0</v>
      </c>
      <c r="F110" s="189">
        <v>0</v>
      </c>
      <c r="G110" s="190">
        <v>0</v>
      </c>
      <c r="H110" s="189">
        <v>0</v>
      </c>
      <c r="I110" s="190">
        <v>0</v>
      </c>
      <c r="J110" s="189">
        <v>0</v>
      </c>
      <c r="K110" s="191">
        <v>0</v>
      </c>
      <c r="L110" s="192">
        <v>0</v>
      </c>
      <c r="M110" s="192">
        <v>0</v>
      </c>
      <c r="N110" s="189">
        <v>0</v>
      </c>
      <c r="O110" s="189">
        <v>0</v>
      </c>
      <c r="P110" s="190">
        <v>0</v>
      </c>
      <c r="Q110" s="193">
        <v>0</v>
      </c>
      <c r="T110" s="188"/>
    </row>
    <row r="111" spans="1:20" s="187" customFormat="1" ht="20.25" customHeight="1" hidden="1">
      <c r="A111" s="782"/>
      <c r="B111" s="783"/>
      <c r="C111" s="180" t="s">
        <v>15</v>
      </c>
      <c r="D111" s="181">
        <f t="shared" si="26"/>
        <v>0</v>
      </c>
      <c r="E111" s="189">
        <f aca="true" t="shared" si="27" ref="E111:P111">E109+E110</f>
        <v>0</v>
      </c>
      <c r="F111" s="189">
        <f t="shared" si="27"/>
        <v>0</v>
      </c>
      <c r="G111" s="189">
        <f t="shared" si="27"/>
        <v>0</v>
      </c>
      <c r="H111" s="189">
        <f t="shared" si="27"/>
        <v>0</v>
      </c>
      <c r="I111" s="189">
        <f t="shared" si="27"/>
        <v>0</v>
      </c>
      <c r="J111" s="189">
        <f t="shared" si="27"/>
        <v>0</v>
      </c>
      <c r="K111" s="189">
        <f t="shared" si="27"/>
        <v>0</v>
      </c>
      <c r="L111" s="189">
        <f t="shared" si="27"/>
        <v>0</v>
      </c>
      <c r="M111" s="189">
        <f t="shared" si="27"/>
        <v>0</v>
      </c>
      <c r="N111" s="189">
        <f t="shared" si="27"/>
        <v>0</v>
      </c>
      <c r="O111" s="189">
        <f t="shared" si="27"/>
        <v>0</v>
      </c>
      <c r="P111" s="192">
        <f t="shared" si="27"/>
        <v>0</v>
      </c>
      <c r="Q111" s="193">
        <f>Q109+Q110</f>
        <v>0</v>
      </c>
      <c r="T111" s="188"/>
    </row>
    <row r="112" spans="1:20" s="187" customFormat="1" ht="20.25" customHeight="1" hidden="1">
      <c r="A112" s="194"/>
      <c r="B112" s="195"/>
      <c r="C112" s="195"/>
      <c r="D112" s="172"/>
      <c r="E112" s="184"/>
      <c r="F112" s="184"/>
      <c r="G112" s="184"/>
      <c r="H112" s="184"/>
      <c r="I112" s="184"/>
      <c r="J112" s="184"/>
      <c r="K112" s="184"/>
      <c r="L112" s="184"/>
      <c r="M112" s="174"/>
      <c r="N112" s="184"/>
      <c r="O112" s="184"/>
      <c r="P112" s="184"/>
      <c r="Q112" s="186"/>
      <c r="T112" s="188"/>
    </row>
    <row r="113" spans="1:20" s="203" customFormat="1" ht="20.25" customHeight="1">
      <c r="A113" s="773" t="s">
        <v>19</v>
      </c>
      <c r="B113" s="776" t="s">
        <v>20</v>
      </c>
      <c r="C113" s="180" t="s">
        <v>13</v>
      </c>
      <c r="D113" s="181">
        <f t="shared" si="26"/>
        <v>21375953</v>
      </c>
      <c r="E113" s="199">
        <v>0</v>
      </c>
      <c r="F113" s="199">
        <v>60000</v>
      </c>
      <c r="G113" s="217">
        <v>0</v>
      </c>
      <c r="H113" s="199">
        <v>0</v>
      </c>
      <c r="I113" s="200">
        <v>0</v>
      </c>
      <c r="J113" s="199">
        <v>15015953</v>
      </c>
      <c r="K113" s="200">
        <v>0</v>
      </c>
      <c r="L113" s="217">
        <v>0</v>
      </c>
      <c r="M113" s="199">
        <v>0</v>
      </c>
      <c r="N113" s="199">
        <v>6000000</v>
      </c>
      <c r="O113" s="199">
        <v>300000</v>
      </c>
      <c r="P113" s="200">
        <v>0</v>
      </c>
      <c r="Q113" s="202">
        <v>0</v>
      </c>
      <c r="T113" s="204"/>
    </row>
    <row r="114" spans="1:20" s="203" customFormat="1" ht="20.25" customHeight="1">
      <c r="A114" s="774"/>
      <c r="B114" s="777"/>
      <c r="C114" s="180" t="s">
        <v>14</v>
      </c>
      <c r="D114" s="181">
        <f t="shared" si="26"/>
        <v>1509867</v>
      </c>
      <c r="E114" s="189">
        <v>0</v>
      </c>
      <c r="F114" s="189">
        <v>0</v>
      </c>
      <c r="G114" s="190">
        <v>0</v>
      </c>
      <c r="H114" s="189">
        <v>0</v>
      </c>
      <c r="I114" s="190">
        <v>0</v>
      </c>
      <c r="J114" s="189">
        <v>1031642</v>
      </c>
      <c r="K114" s="191">
        <v>0</v>
      </c>
      <c r="L114" s="192">
        <v>0</v>
      </c>
      <c r="M114" s="192">
        <v>0</v>
      </c>
      <c r="N114" s="189">
        <v>0</v>
      </c>
      <c r="O114" s="189">
        <v>478225</v>
      </c>
      <c r="P114" s="190">
        <v>0</v>
      </c>
      <c r="Q114" s="193">
        <v>0</v>
      </c>
      <c r="T114" s="204"/>
    </row>
    <row r="115" spans="1:20" s="203" customFormat="1" ht="20.25" customHeight="1">
      <c r="A115" s="775"/>
      <c r="B115" s="778"/>
      <c r="C115" s="180" t="s">
        <v>15</v>
      </c>
      <c r="D115" s="181">
        <f t="shared" si="26"/>
        <v>22885820</v>
      </c>
      <c r="E115" s="189">
        <f aca="true" t="shared" si="28" ref="E115:P115">E113+E114</f>
        <v>0</v>
      </c>
      <c r="F115" s="189">
        <f t="shared" si="28"/>
        <v>60000</v>
      </c>
      <c r="G115" s="189">
        <f t="shared" si="28"/>
        <v>0</v>
      </c>
      <c r="H115" s="189">
        <f t="shared" si="28"/>
        <v>0</v>
      </c>
      <c r="I115" s="189">
        <f t="shared" si="28"/>
        <v>0</v>
      </c>
      <c r="J115" s="189">
        <f t="shared" si="28"/>
        <v>16047595</v>
      </c>
      <c r="K115" s="189">
        <f t="shared" si="28"/>
        <v>0</v>
      </c>
      <c r="L115" s="189">
        <f t="shared" si="28"/>
        <v>0</v>
      </c>
      <c r="M115" s="189">
        <f t="shared" si="28"/>
        <v>0</v>
      </c>
      <c r="N115" s="189">
        <f t="shared" si="28"/>
        <v>6000000</v>
      </c>
      <c r="O115" s="189">
        <f t="shared" si="28"/>
        <v>778225</v>
      </c>
      <c r="P115" s="192">
        <f t="shared" si="28"/>
        <v>0</v>
      </c>
      <c r="Q115" s="193">
        <f>Q113+Q114</f>
        <v>0</v>
      </c>
      <c r="T115" s="204"/>
    </row>
    <row r="116" spans="1:20" s="203" customFormat="1" ht="6.75" customHeight="1">
      <c r="A116" s="205"/>
      <c r="B116" s="206"/>
      <c r="C116" s="195"/>
      <c r="D116" s="172"/>
      <c r="E116" s="200"/>
      <c r="F116" s="200"/>
      <c r="G116" s="200"/>
      <c r="H116" s="200"/>
      <c r="I116" s="200"/>
      <c r="J116" s="200"/>
      <c r="K116" s="200"/>
      <c r="L116" s="200"/>
      <c r="M116" s="174"/>
      <c r="N116" s="200"/>
      <c r="O116" s="200"/>
      <c r="P116" s="200"/>
      <c r="Q116" s="202"/>
      <c r="T116" s="204"/>
    </row>
    <row r="117" spans="1:20" s="129" customFormat="1" ht="20.25" customHeight="1" hidden="1">
      <c r="A117" s="773" t="s">
        <v>22</v>
      </c>
      <c r="B117" s="784" t="s">
        <v>23</v>
      </c>
      <c r="C117" s="180" t="s">
        <v>13</v>
      </c>
      <c r="D117" s="181">
        <f t="shared" si="26"/>
        <v>250000</v>
      </c>
      <c r="E117" s="199">
        <v>0</v>
      </c>
      <c r="F117" s="199">
        <v>250000</v>
      </c>
      <c r="G117" s="217">
        <v>0</v>
      </c>
      <c r="H117" s="199">
        <v>0</v>
      </c>
      <c r="I117" s="201">
        <v>0</v>
      </c>
      <c r="J117" s="199">
        <v>0</v>
      </c>
      <c r="K117" s="201">
        <v>0</v>
      </c>
      <c r="L117" s="199">
        <v>0</v>
      </c>
      <c r="M117" s="199">
        <v>0</v>
      </c>
      <c r="N117" s="199">
        <v>0</v>
      </c>
      <c r="O117" s="199">
        <v>0</v>
      </c>
      <c r="P117" s="200">
        <v>0</v>
      </c>
      <c r="Q117" s="202">
        <v>0</v>
      </c>
      <c r="T117" s="211"/>
    </row>
    <row r="118" spans="1:20" s="129" customFormat="1" ht="20.25" customHeight="1" hidden="1">
      <c r="A118" s="774"/>
      <c r="B118" s="785"/>
      <c r="C118" s="180" t="s">
        <v>14</v>
      </c>
      <c r="D118" s="181">
        <f t="shared" si="26"/>
        <v>0</v>
      </c>
      <c r="E118" s="189">
        <v>0</v>
      </c>
      <c r="F118" s="189">
        <v>0</v>
      </c>
      <c r="G118" s="190">
        <v>0</v>
      </c>
      <c r="H118" s="189">
        <v>0</v>
      </c>
      <c r="I118" s="190">
        <v>0</v>
      </c>
      <c r="J118" s="189">
        <v>0</v>
      </c>
      <c r="K118" s="191">
        <v>0</v>
      </c>
      <c r="L118" s="192">
        <v>0</v>
      </c>
      <c r="M118" s="192">
        <v>0</v>
      </c>
      <c r="N118" s="189">
        <v>0</v>
      </c>
      <c r="O118" s="189">
        <v>0</v>
      </c>
      <c r="P118" s="190">
        <v>0</v>
      </c>
      <c r="Q118" s="193">
        <v>0</v>
      </c>
      <c r="T118" s="211"/>
    </row>
    <row r="119" spans="1:20" s="129" customFormat="1" ht="20.25" customHeight="1" hidden="1">
      <c r="A119" s="775"/>
      <c r="B119" s="786"/>
      <c r="C119" s="180" t="s">
        <v>15</v>
      </c>
      <c r="D119" s="181">
        <f t="shared" si="26"/>
        <v>250000</v>
      </c>
      <c r="E119" s="189">
        <f aca="true" t="shared" si="29" ref="E119:P119">E117+E118</f>
        <v>0</v>
      </c>
      <c r="F119" s="189">
        <f t="shared" si="29"/>
        <v>250000</v>
      </c>
      <c r="G119" s="189">
        <f t="shared" si="29"/>
        <v>0</v>
      </c>
      <c r="H119" s="189">
        <f t="shared" si="29"/>
        <v>0</v>
      </c>
      <c r="I119" s="189">
        <f t="shared" si="29"/>
        <v>0</v>
      </c>
      <c r="J119" s="189">
        <f t="shared" si="29"/>
        <v>0</v>
      </c>
      <c r="K119" s="189">
        <f t="shared" si="29"/>
        <v>0</v>
      </c>
      <c r="L119" s="189">
        <f t="shared" si="29"/>
        <v>0</v>
      </c>
      <c r="M119" s="189">
        <f t="shared" si="29"/>
        <v>0</v>
      </c>
      <c r="N119" s="189">
        <f t="shared" si="29"/>
        <v>0</v>
      </c>
      <c r="O119" s="189">
        <f t="shared" si="29"/>
        <v>0</v>
      </c>
      <c r="P119" s="192">
        <f t="shared" si="29"/>
        <v>0</v>
      </c>
      <c r="Q119" s="193">
        <f>Q117+Q118</f>
        <v>0</v>
      </c>
      <c r="T119" s="211"/>
    </row>
    <row r="120" spans="1:20" s="129" customFormat="1" ht="9" customHeight="1" hidden="1">
      <c r="A120" s="205"/>
      <c r="B120" s="206"/>
      <c r="C120" s="195"/>
      <c r="D120" s="172"/>
      <c r="E120" s="200"/>
      <c r="F120" s="200"/>
      <c r="G120" s="200"/>
      <c r="H120" s="200"/>
      <c r="I120" s="200"/>
      <c r="J120" s="200"/>
      <c r="K120" s="200"/>
      <c r="L120" s="200"/>
      <c r="M120" s="174"/>
      <c r="N120" s="200"/>
      <c r="O120" s="200"/>
      <c r="P120" s="200"/>
      <c r="Q120" s="202"/>
      <c r="T120" s="211"/>
    </row>
    <row r="121" spans="1:20" s="129" customFormat="1" ht="20.25" customHeight="1">
      <c r="A121" s="773" t="s">
        <v>71</v>
      </c>
      <c r="B121" s="776" t="s">
        <v>72</v>
      </c>
      <c r="C121" s="180" t="s">
        <v>13</v>
      </c>
      <c r="D121" s="181">
        <f t="shared" si="26"/>
        <v>62685</v>
      </c>
      <c r="E121" s="199">
        <v>0</v>
      </c>
      <c r="F121" s="199">
        <v>0</v>
      </c>
      <c r="G121" s="217">
        <v>0</v>
      </c>
      <c r="H121" s="199">
        <v>0</v>
      </c>
      <c r="I121" s="200">
        <v>0</v>
      </c>
      <c r="J121" s="199">
        <v>0</v>
      </c>
      <c r="K121" s="201">
        <v>0</v>
      </c>
      <c r="L121" s="217">
        <v>0</v>
      </c>
      <c r="M121" s="199">
        <v>62685</v>
      </c>
      <c r="N121" s="199">
        <v>0</v>
      </c>
      <c r="O121" s="199">
        <v>0</v>
      </c>
      <c r="P121" s="200">
        <v>0</v>
      </c>
      <c r="Q121" s="202">
        <v>0</v>
      </c>
      <c r="T121" s="211"/>
    </row>
    <row r="122" spans="1:20" s="129" customFormat="1" ht="20.25" customHeight="1">
      <c r="A122" s="774"/>
      <c r="B122" s="777"/>
      <c r="C122" s="180" t="s">
        <v>14</v>
      </c>
      <c r="D122" s="181">
        <f t="shared" si="26"/>
        <v>53</v>
      </c>
      <c r="E122" s="189">
        <v>0</v>
      </c>
      <c r="F122" s="189">
        <v>0</v>
      </c>
      <c r="G122" s="190">
        <v>0</v>
      </c>
      <c r="H122" s="189">
        <v>0</v>
      </c>
      <c r="I122" s="190">
        <v>0</v>
      </c>
      <c r="J122" s="189">
        <v>0</v>
      </c>
      <c r="K122" s="191">
        <v>0</v>
      </c>
      <c r="L122" s="192">
        <v>0</v>
      </c>
      <c r="M122" s="192">
        <f>51+2</f>
        <v>53</v>
      </c>
      <c r="N122" s="189">
        <v>0</v>
      </c>
      <c r="O122" s="189">
        <v>0</v>
      </c>
      <c r="P122" s="190">
        <v>0</v>
      </c>
      <c r="Q122" s="193">
        <v>0</v>
      </c>
      <c r="T122" s="211"/>
    </row>
    <row r="123" spans="1:20" s="129" customFormat="1" ht="20.25" customHeight="1">
      <c r="A123" s="775"/>
      <c r="B123" s="778"/>
      <c r="C123" s="180" t="s">
        <v>15</v>
      </c>
      <c r="D123" s="181">
        <f t="shared" si="26"/>
        <v>62738</v>
      </c>
      <c r="E123" s="189">
        <f aca="true" t="shared" si="30" ref="E123:P123">E121+E122</f>
        <v>0</v>
      </c>
      <c r="F123" s="189">
        <f t="shared" si="30"/>
        <v>0</v>
      </c>
      <c r="G123" s="189">
        <f t="shared" si="30"/>
        <v>0</v>
      </c>
      <c r="H123" s="189">
        <f t="shared" si="30"/>
        <v>0</v>
      </c>
      <c r="I123" s="189">
        <f t="shared" si="30"/>
        <v>0</v>
      </c>
      <c r="J123" s="189">
        <f t="shared" si="30"/>
        <v>0</v>
      </c>
      <c r="K123" s="189">
        <f t="shared" si="30"/>
        <v>0</v>
      </c>
      <c r="L123" s="189">
        <f t="shared" si="30"/>
        <v>0</v>
      </c>
      <c r="M123" s="189">
        <f t="shared" si="30"/>
        <v>62738</v>
      </c>
      <c r="N123" s="189">
        <f t="shared" si="30"/>
        <v>0</v>
      </c>
      <c r="O123" s="189">
        <f t="shared" si="30"/>
        <v>0</v>
      </c>
      <c r="P123" s="192">
        <f t="shared" si="30"/>
        <v>0</v>
      </c>
      <c r="Q123" s="193">
        <f>Q121+Q122</f>
        <v>0</v>
      </c>
      <c r="T123" s="211"/>
    </row>
    <row r="124" spans="1:20" s="129" customFormat="1" ht="6.75" customHeight="1">
      <c r="A124" s="205"/>
      <c r="B124" s="206"/>
      <c r="C124" s="195"/>
      <c r="D124" s="172"/>
      <c r="E124" s="200"/>
      <c r="F124" s="200"/>
      <c r="G124" s="200"/>
      <c r="H124" s="200"/>
      <c r="I124" s="200"/>
      <c r="J124" s="200"/>
      <c r="K124" s="200"/>
      <c r="L124" s="200"/>
      <c r="M124" s="174"/>
      <c r="N124" s="200"/>
      <c r="O124" s="200"/>
      <c r="P124" s="200"/>
      <c r="Q124" s="202"/>
      <c r="T124" s="211"/>
    </row>
    <row r="125" spans="1:20" s="203" customFormat="1" ht="20.25" customHeight="1" hidden="1">
      <c r="A125" s="773" t="s">
        <v>28</v>
      </c>
      <c r="B125" s="776" t="s">
        <v>29</v>
      </c>
      <c r="C125" s="180" t="s">
        <v>13</v>
      </c>
      <c r="D125" s="181">
        <f t="shared" si="26"/>
        <v>0</v>
      </c>
      <c r="E125" s="199">
        <v>0</v>
      </c>
      <c r="F125" s="199">
        <v>0</v>
      </c>
      <c r="G125" s="217">
        <v>0</v>
      </c>
      <c r="H125" s="199">
        <v>0</v>
      </c>
      <c r="I125" s="201">
        <v>0</v>
      </c>
      <c r="J125" s="199">
        <v>0</v>
      </c>
      <c r="K125" s="201">
        <v>0</v>
      </c>
      <c r="L125" s="199">
        <v>0</v>
      </c>
      <c r="M125" s="199">
        <v>0</v>
      </c>
      <c r="N125" s="199">
        <v>0</v>
      </c>
      <c r="O125" s="199">
        <v>0</v>
      </c>
      <c r="P125" s="200">
        <v>0</v>
      </c>
      <c r="Q125" s="202">
        <v>0</v>
      </c>
      <c r="T125" s="204"/>
    </row>
    <row r="126" spans="1:20" s="203" customFormat="1" ht="20.25" customHeight="1" hidden="1">
      <c r="A126" s="774"/>
      <c r="B126" s="777"/>
      <c r="C126" s="180" t="s">
        <v>14</v>
      </c>
      <c r="D126" s="181">
        <f t="shared" si="26"/>
        <v>0</v>
      </c>
      <c r="E126" s="189">
        <v>0</v>
      </c>
      <c r="F126" s="189">
        <v>0</v>
      </c>
      <c r="G126" s="190">
        <v>0</v>
      </c>
      <c r="H126" s="189">
        <v>0</v>
      </c>
      <c r="I126" s="190">
        <v>0</v>
      </c>
      <c r="J126" s="189">
        <v>0</v>
      </c>
      <c r="K126" s="191">
        <v>0</v>
      </c>
      <c r="L126" s="192">
        <v>0</v>
      </c>
      <c r="M126" s="192">
        <v>0</v>
      </c>
      <c r="N126" s="189">
        <v>0</v>
      </c>
      <c r="O126" s="189">
        <v>0</v>
      </c>
      <c r="P126" s="190">
        <v>0</v>
      </c>
      <c r="Q126" s="193">
        <v>0</v>
      </c>
      <c r="T126" s="204"/>
    </row>
    <row r="127" spans="1:20" s="203" customFormat="1" ht="20.25" customHeight="1" hidden="1">
      <c r="A127" s="775"/>
      <c r="B127" s="778"/>
      <c r="C127" s="180" t="s">
        <v>15</v>
      </c>
      <c r="D127" s="181">
        <f t="shared" si="26"/>
        <v>0</v>
      </c>
      <c r="E127" s="189">
        <f aca="true" t="shared" si="31" ref="E127:P127">E125+E126</f>
        <v>0</v>
      </c>
      <c r="F127" s="189">
        <f t="shared" si="31"/>
        <v>0</v>
      </c>
      <c r="G127" s="189">
        <f t="shared" si="31"/>
        <v>0</v>
      </c>
      <c r="H127" s="189">
        <f t="shared" si="31"/>
        <v>0</v>
      </c>
      <c r="I127" s="189">
        <f t="shared" si="31"/>
        <v>0</v>
      </c>
      <c r="J127" s="189">
        <f t="shared" si="31"/>
        <v>0</v>
      </c>
      <c r="K127" s="189">
        <f t="shared" si="31"/>
        <v>0</v>
      </c>
      <c r="L127" s="189">
        <f t="shared" si="31"/>
        <v>0</v>
      </c>
      <c r="M127" s="189">
        <f t="shared" si="31"/>
        <v>0</v>
      </c>
      <c r="N127" s="189">
        <f t="shared" si="31"/>
        <v>0</v>
      </c>
      <c r="O127" s="189">
        <f t="shared" si="31"/>
        <v>0</v>
      </c>
      <c r="P127" s="192">
        <f t="shared" si="31"/>
        <v>0</v>
      </c>
      <c r="Q127" s="193">
        <f>Q125+Q126</f>
        <v>0</v>
      </c>
      <c r="T127" s="204"/>
    </row>
    <row r="128" spans="1:20" s="203" customFormat="1" ht="20.25" customHeight="1" hidden="1">
      <c r="A128" s="205"/>
      <c r="B128" s="206"/>
      <c r="C128" s="195"/>
      <c r="D128" s="172"/>
      <c r="E128" s="200"/>
      <c r="F128" s="200"/>
      <c r="G128" s="200"/>
      <c r="H128" s="200"/>
      <c r="I128" s="200"/>
      <c r="J128" s="200"/>
      <c r="K128" s="200"/>
      <c r="L128" s="200"/>
      <c r="M128" s="174"/>
      <c r="N128" s="200"/>
      <c r="O128" s="200"/>
      <c r="P128" s="200"/>
      <c r="Q128" s="202"/>
      <c r="T128" s="204"/>
    </row>
    <row r="129" spans="1:20" s="203" customFormat="1" ht="20.25" customHeight="1">
      <c r="A129" s="773" t="s">
        <v>149</v>
      </c>
      <c r="B129" s="776" t="s">
        <v>150</v>
      </c>
      <c r="C129" s="180" t="s">
        <v>13</v>
      </c>
      <c r="D129" s="181">
        <f t="shared" si="26"/>
        <v>299722070</v>
      </c>
      <c r="E129" s="199">
        <v>0</v>
      </c>
      <c r="F129" s="199">
        <v>0</v>
      </c>
      <c r="G129" s="199">
        <v>290645720</v>
      </c>
      <c r="H129" s="217">
        <v>9350</v>
      </c>
      <c r="I129" s="199">
        <v>9067000</v>
      </c>
      <c r="J129" s="199">
        <v>0</v>
      </c>
      <c r="K129" s="201">
        <v>0</v>
      </c>
      <c r="L129" s="217">
        <v>0</v>
      </c>
      <c r="M129" s="199">
        <v>0</v>
      </c>
      <c r="N129" s="199">
        <v>0</v>
      </c>
      <c r="O129" s="199">
        <v>0</v>
      </c>
      <c r="P129" s="217">
        <v>0</v>
      </c>
      <c r="Q129" s="202">
        <v>0</v>
      </c>
      <c r="T129" s="204"/>
    </row>
    <row r="130" spans="1:20" s="203" customFormat="1" ht="20.25" customHeight="1">
      <c r="A130" s="774"/>
      <c r="B130" s="777"/>
      <c r="C130" s="180" t="s">
        <v>14</v>
      </c>
      <c r="D130" s="181">
        <f t="shared" si="26"/>
        <v>-58370118</v>
      </c>
      <c r="E130" s="189">
        <v>0</v>
      </c>
      <c r="F130" s="189">
        <v>0</v>
      </c>
      <c r="G130" s="190">
        <f>-62594358-81000+5067147</f>
        <v>-57608211</v>
      </c>
      <c r="H130" s="189">
        <v>0</v>
      </c>
      <c r="I130" s="190">
        <v>-761907</v>
      </c>
      <c r="J130" s="189">
        <v>0</v>
      </c>
      <c r="K130" s="191">
        <v>0</v>
      </c>
      <c r="L130" s="192">
        <v>0</v>
      </c>
      <c r="M130" s="192">
        <v>0</v>
      </c>
      <c r="N130" s="189">
        <v>0</v>
      </c>
      <c r="O130" s="189">
        <v>0</v>
      </c>
      <c r="P130" s="190">
        <v>0</v>
      </c>
      <c r="Q130" s="193">
        <v>0</v>
      </c>
      <c r="T130" s="204"/>
    </row>
    <row r="131" spans="1:20" s="203" customFormat="1" ht="20.25" customHeight="1">
      <c r="A131" s="775"/>
      <c r="B131" s="778"/>
      <c r="C131" s="180" t="s">
        <v>15</v>
      </c>
      <c r="D131" s="181">
        <f t="shared" si="26"/>
        <v>241351952</v>
      </c>
      <c r="E131" s="189">
        <f aca="true" t="shared" si="32" ref="E131:P131">E129+E130</f>
        <v>0</v>
      </c>
      <c r="F131" s="189">
        <f t="shared" si="32"/>
        <v>0</v>
      </c>
      <c r="G131" s="189">
        <f t="shared" si="32"/>
        <v>233037509</v>
      </c>
      <c r="H131" s="189">
        <f t="shared" si="32"/>
        <v>9350</v>
      </c>
      <c r="I131" s="189">
        <f t="shared" si="32"/>
        <v>8305093</v>
      </c>
      <c r="J131" s="189">
        <f t="shared" si="32"/>
        <v>0</v>
      </c>
      <c r="K131" s="189">
        <f t="shared" si="32"/>
        <v>0</v>
      </c>
      <c r="L131" s="189">
        <f t="shared" si="32"/>
        <v>0</v>
      </c>
      <c r="M131" s="189">
        <f t="shared" si="32"/>
        <v>0</v>
      </c>
      <c r="N131" s="189">
        <f t="shared" si="32"/>
        <v>0</v>
      </c>
      <c r="O131" s="189">
        <f t="shared" si="32"/>
        <v>0</v>
      </c>
      <c r="P131" s="192">
        <f t="shared" si="32"/>
        <v>0</v>
      </c>
      <c r="Q131" s="193">
        <f>Q129+Q130</f>
        <v>0</v>
      </c>
      <c r="T131" s="204"/>
    </row>
    <row r="132" spans="1:20" s="203" customFormat="1" ht="6.75" customHeight="1">
      <c r="A132" s="205"/>
      <c r="B132" s="206"/>
      <c r="C132" s="195"/>
      <c r="D132" s="172"/>
      <c r="E132" s="200"/>
      <c r="F132" s="200"/>
      <c r="G132" s="200"/>
      <c r="H132" s="200"/>
      <c r="I132" s="200"/>
      <c r="J132" s="200"/>
      <c r="K132" s="200"/>
      <c r="L132" s="200"/>
      <c r="M132" s="174"/>
      <c r="N132" s="200"/>
      <c r="O132" s="200"/>
      <c r="P132" s="200"/>
      <c r="Q132" s="202"/>
      <c r="T132" s="204"/>
    </row>
    <row r="133" spans="1:20" s="203" customFormat="1" ht="20.25" customHeight="1" hidden="1">
      <c r="A133" s="773" t="s">
        <v>77</v>
      </c>
      <c r="B133" s="776" t="s">
        <v>451</v>
      </c>
      <c r="C133" s="180" t="s">
        <v>13</v>
      </c>
      <c r="D133" s="181">
        <f t="shared" si="26"/>
        <v>1020000</v>
      </c>
      <c r="E133" s="199">
        <v>0</v>
      </c>
      <c r="F133" s="199">
        <v>1000000</v>
      </c>
      <c r="G133" s="217">
        <v>0</v>
      </c>
      <c r="H133" s="199">
        <v>20000</v>
      </c>
      <c r="I133" s="200">
        <v>0</v>
      </c>
      <c r="J133" s="199">
        <v>0</v>
      </c>
      <c r="K133" s="201">
        <v>0</v>
      </c>
      <c r="L133" s="217">
        <v>0</v>
      </c>
      <c r="M133" s="199">
        <v>0</v>
      </c>
      <c r="N133" s="199">
        <v>0</v>
      </c>
      <c r="O133" s="199">
        <v>0</v>
      </c>
      <c r="P133" s="200">
        <v>0</v>
      </c>
      <c r="Q133" s="202">
        <v>0</v>
      </c>
      <c r="T133" s="204"/>
    </row>
    <row r="134" spans="1:20" s="203" customFormat="1" ht="20.25" customHeight="1" hidden="1">
      <c r="A134" s="774"/>
      <c r="B134" s="777"/>
      <c r="C134" s="180" t="s">
        <v>14</v>
      </c>
      <c r="D134" s="181">
        <f t="shared" si="26"/>
        <v>0</v>
      </c>
      <c r="E134" s="189">
        <v>0</v>
      </c>
      <c r="F134" s="189">
        <v>0</v>
      </c>
      <c r="G134" s="190">
        <v>0</v>
      </c>
      <c r="H134" s="189">
        <v>0</v>
      </c>
      <c r="I134" s="190">
        <v>0</v>
      </c>
      <c r="J134" s="182">
        <v>0</v>
      </c>
      <c r="K134" s="191">
        <v>0</v>
      </c>
      <c r="L134" s="192">
        <v>0</v>
      </c>
      <c r="M134" s="192">
        <v>0</v>
      </c>
      <c r="N134" s="189">
        <v>0</v>
      </c>
      <c r="O134" s="189">
        <v>0</v>
      </c>
      <c r="P134" s="190">
        <v>0</v>
      </c>
      <c r="Q134" s="193">
        <v>0</v>
      </c>
      <c r="T134" s="204"/>
    </row>
    <row r="135" spans="1:20" s="203" customFormat="1" ht="20.25" customHeight="1" hidden="1">
      <c r="A135" s="775"/>
      <c r="B135" s="778"/>
      <c r="C135" s="180" t="s">
        <v>15</v>
      </c>
      <c r="D135" s="181">
        <f t="shared" si="26"/>
        <v>1020000</v>
      </c>
      <c r="E135" s="189">
        <f aca="true" t="shared" si="33" ref="E135:P135">E133+E134</f>
        <v>0</v>
      </c>
      <c r="F135" s="189">
        <f t="shared" si="33"/>
        <v>1000000</v>
      </c>
      <c r="G135" s="189">
        <f t="shared" si="33"/>
        <v>0</v>
      </c>
      <c r="H135" s="189">
        <f t="shared" si="33"/>
        <v>20000</v>
      </c>
      <c r="I135" s="189">
        <f t="shared" si="33"/>
        <v>0</v>
      </c>
      <c r="J135" s="189">
        <f t="shared" si="33"/>
        <v>0</v>
      </c>
      <c r="K135" s="189">
        <f t="shared" si="33"/>
        <v>0</v>
      </c>
      <c r="L135" s="189">
        <f t="shared" si="33"/>
        <v>0</v>
      </c>
      <c r="M135" s="189">
        <f t="shared" si="33"/>
        <v>0</v>
      </c>
      <c r="N135" s="189">
        <f t="shared" si="33"/>
        <v>0</v>
      </c>
      <c r="O135" s="189">
        <f t="shared" si="33"/>
        <v>0</v>
      </c>
      <c r="P135" s="192">
        <f t="shared" si="33"/>
        <v>0</v>
      </c>
      <c r="Q135" s="193">
        <f>Q133+Q134</f>
        <v>0</v>
      </c>
      <c r="T135" s="204"/>
    </row>
    <row r="136" spans="1:20" s="203" customFormat="1" ht="20.25" customHeight="1" hidden="1">
      <c r="A136" s="228"/>
      <c r="B136" s="206"/>
      <c r="C136" s="195"/>
      <c r="D136" s="172"/>
      <c r="E136" s="200"/>
      <c r="F136" s="200"/>
      <c r="G136" s="200"/>
      <c r="H136" s="200"/>
      <c r="I136" s="200"/>
      <c r="J136" s="200"/>
      <c r="K136" s="200"/>
      <c r="L136" s="200"/>
      <c r="M136" s="174"/>
      <c r="N136" s="200"/>
      <c r="O136" s="200"/>
      <c r="P136" s="200"/>
      <c r="Q136" s="202"/>
      <c r="T136" s="204"/>
    </row>
    <row r="137" spans="1:20" s="203" customFormat="1" ht="20.25" customHeight="1" hidden="1">
      <c r="A137" s="773" t="s">
        <v>79</v>
      </c>
      <c r="B137" s="776" t="s">
        <v>38</v>
      </c>
      <c r="C137" s="180" t="s">
        <v>13</v>
      </c>
      <c r="D137" s="181">
        <f t="shared" si="26"/>
        <v>0</v>
      </c>
      <c r="E137" s="199">
        <v>0</v>
      </c>
      <c r="F137" s="199">
        <v>0</v>
      </c>
      <c r="G137" s="217">
        <v>0</v>
      </c>
      <c r="H137" s="199">
        <v>0</v>
      </c>
      <c r="I137" s="200">
        <v>0</v>
      </c>
      <c r="J137" s="199">
        <v>0</v>
      </c>
      <c r="K137" s="201">
        <v>0</v>
      </c>
      <c r="L137" s="217">
        <v>0</v>
      </c>
      <c r="M137" s="199">
        <v>0</v>
      </c>
      <c r="N137" s="199">
        <v>0</v>
      </c>
      <c r="O137" s="199">
        <v>0</v>
      </c>
      <c r="P137" s="200">
        <v>0</v>
      </c>
      <c r="Q137" s="202">
        <v>0</v>
      </c>
      <c r="T137" s="204"/>
    </row>
    <row r="138" spans="1:20" s="203" customFormat="1" ht="20.25" customHeight="1" hidden="1">
      <c r="A138" s="774"/>
      <c r="B138" s="777"/>
      <c r="C138" s="180" t="s">
        <v>14</v>
      </c>
      <c r="D138" s="181">
        <f t="shared" si="26"/>
        <v>0</v>
      </c>
      <c r="E138" s="189">
        <v>0</v>
      </c>
      <c r="F138" s="189">
        <v>0</v>
      </c>
      <c r="G138" s="190">
        <v>0</v>
      </c>
      <c r="H138" s="189">
        <v>0</v>
      </c>
      <c r="I138" s="190">
        <v>0</v>
      </c>
      <c r="J138" s="189">
        <v>0</v>
      </c>
      <c r="K138" s="191">
        <v>0</v>
      </c>
      <c r="L138" s="192">
        <v>0</v>
      </c>
      <c r="M138" s="192">
        <v>0</v>
      </c>
      <c r="N138" s="189">
        <v>0</v>
      </c>
      <c r="O138" s="189">
        <v>0</v>
      </c>
      <c r="P138" s="190">
        <v>0</v>
      </c>
      <c r="Q138" s="193">
        <v>0</v>
      </c>
      <c r="T138" s="204"/>
    </row>
    <row r="139" spans="1:20" s="203" customFormat="1" ht="20.25" customHeight="1" hidden="1">
      <c r="A139" s="774"/>
      <c r="B139" s="777"/>
      <c r="C139" s="180" t="s">
        <v>15</v>
      </c>
      <c r="D139" s="181">
        <f t="shared" si="26"/>
        <v>0</v>
      </c>
      <c r="E139" s="189">
        <f aca="true" t="shared" si="34" ref="E139:P139">E137+E138</f>
        <v>0</v>
      </c>
      <c r="F139" s="189">
        <f t="shared" si="34"/>
        <v>0</v>
      </c>
      <c r="G139" s="189">
        <f t="shared" si="34"/>
        <v>0</v>
      </c>
      <c r="H139" s="189">
        <f t="shared" si="34"/>
        <v>0</v>
      </c>
      <c r="I139" s="189">
        <f t="shared" si="34"/>
        <v>0</v>
      </c>
      <c r="J139" s="189">
        <f t="shared" si="34"/>
        <v>0</v>
      </c>
      <c r="K139" s="189">
        <f t="shared" si="34"/>
        <v>0</v>
      </c>
      <c r="L139" s="189">
        <f t="shared" si="34"/>
        <v>0</v>
      </c>
      <c r="M139" s="189">
        <f t="shared" si="34"/>
        <v>0</v>
      </c>
      <c r="N139" s="189">
        <f t="shared" si="34"/>
        <v>0</v>
      </c>
      <c r="O139" s="189">
        <f t="shared" si="34"/>
        <v>0</v>
      </c>
      <c r="P139" s="192">
        <f t="shared" si="34"/>
        <v>0</v>
      </c>
      <c r="Q139" s="193">
        <f>Q137+Q138</f>
        <v>0</v>
      </c>
      <c r="T139" s="204"/>
    </row>
    <row r="140" spans="1:20" s="203" customFormat="1" ht="10.5" customHeight="1" hidden="1">
      <c r="A140" s="205"/>
      <c r="B140" s="206"/>
      <c r="C140" s="195"/>
      <c r="D140" s="172"/>
      <c r="E140" s="200"/>
      <c r="F140" s="200"/>
      <c r="G140" s="200"/>
      <c r="H140" s="200"/>
      <c r="I140" s="200"/>
      <c r="J140" s="200"/>
      <c r="K140" s="200"/>
      <c r="L140" s="200"/>
      <c r="M140" s="174"/>
      <c r="N140" s="200"/>
      <c r="O140" s="200"/>
      <c r="P140" s="200"/>
      <c r="Q140" s="202"/>
      <c r="T140" s="204"/>
    </row>
    <row r="141" spans="1:20" s="203" customFormat="1" ht="20.25" customHeight="1">
      <c r="A141" s="773" t="s">
        <v>250</v>
      </c>
      <c r="B141" s="776" t="s">
        <v>39</v>
      </c>
      <c r="C141" s="180" t="s">
        <v>13</v>
      </c>
      <c r="D141" s="181">
        <f t="shared" si="26"/>
        <v>12119070</v>
      </c>
      <c r="E141" s="199">
        <v>0</v>
      </c>
      <c r="F141" s="199">
        <v>0</v>
      </c>
      <c r="G141" s="217">
        <v>11119070</v>
      </c>
      <c r="H141" s="199">
        <v>0</v>
      </c>
      <c r="I141" s="200">
        <v>0</v>
      </c>
      <c r="J141" s="199">
        <v>0</v>
      </c>
      <c r="K141" s="201">
        <v>0</v>
      </c>
      <c r="L141" s="217">
        <v>0</v>
      </c>
      <c r="M141" s="199">
        <v>0</v>
      </c>
      <c r="N141" s="199">
        <v>0</v>
      </c>
      <c r="O141" s="199">
        <v>1000000</v>
      </c>
      <c r="P141" s="200">
        <v>0</v>
      </c>
      <c r="Q141" s="202">
        <v>0</v>
      </c>
      <c r="T141" s="204"/>
    </row>
    <row r="142" spans="1:20" s="203" customFormat="1" ht="20.25" customHeight="1">
      <c r="A142" s="774"/>
      <c r="B142" s="777"/>
      <c r="C142" s="180" t="s">
        <v>14</v>
      </c>
      <c r="D142" s="181">
        <f t="shared" si="26"/>
        <v>344988</v>
      </c>
      <c r="E142" s="189">
        <v>0</v>
      </c>
      <c r="F142" s="189">
        <v>0</v>
      </c>
      <c r="G142" s="190">
        <v>0</v>
      </c>
      <c r="H142" s="189">
        <v>0</v>
      </c>
      <c r="I142" s="190">
        <v>0</v>
      </c>
      <c r="J142" s="189">
        <v>0</v>
      </c>
      <c r="K142" s="191">
        <v>0</v>
      </c>
      <c r="L142" s="192">
        <v>0</v>
      </c>
      <c r="M142" s="192">
        <v>0</v>
      </c>
      <c r="N142" s="189">
        <v>0</v>
      </c>
      <c r="O142" s="189">
        <v>344988</v>
      </c>
      <c r="P142" s="190">
        <v>0</v>
      </c>
      <c r="Q142" s="193">
        <v>0</v>
      </c>
      <c r="T142" s="204"/>
    </row>
    <row r="143" spans="1:20" s="203" customFormat="1" ht="20.25" customHeight="1">
      <c r="A143" s="775"/>
      <c r="B143" s="778"/>
      <c r="C143" s="180" t="s">
        <v>15</v>
      </c>
      <c r="D143" s="181">
        <f t="shared" si="26"/>
        <v>12464058</v>
      </c>
      <c r="E143" s="189">
        <f aca="true" t="shared" si="35" ref="E143:P143">E141+E142</f>
        <v>0</v>
      </c>
      <c r="F143" s="189">
        <f t="shared" si="35"/>
        <v>0</v>
      </c>
      <c r="G143" s="189">
        <f t="shared" si="35"/>
        <v>11119070</v>
      </c>
      <c r="H143" s="189">
        <f t="shared" si="35"/>
        <v>0</v>
      </c>
      <c r="I143" s="189">
        <f t="shared" si="35"/>
        <v>0</v>
      </c>
      <c r="J143" s="189">
        <f t="shared" si="35"/>
        <v>0</v>
      </c>
      <c r="K143" s="189">
        <f t="shared" si="35"/>
        <v>0</v>
      </c>
      <c r="L143" s="189">
        <f t="shared" si="35"/>
        <v>0</v>
      </c>
      <c r="M143" s="189">
        <f t="shared" si="35"/>
        <v>0</v>
      </c>
      <c r="N143" s="189">
        <f t="shared" si="35"/>
        <v>0</v>
      </c>
      <c r="O143" s="189">
        <f t="shared" si="35"/>
        <v>1344988</v>
      </c>
      <c r="P143" s="192">
        <f t="shared" si="35"/>
        <v>0</v>
      </c>
      <c r="Q143" s="193">
        <f>Q141+Q142</f>
        <v>0</v>
      </c>
      <c r="T143" s="204"/>
    </row>
    <row r="144" spans="1:20" s="203" customFormat="1" ht="6.75" customHeight="1" thickBot="1">
      <c r="A144" s="212"/>
      <c r="B144" s="218"/>
      <c r="C144" s="196"/>
      <c r="D144" s="172"/>
      <c r="E144" s="229"/>
      <c r="F144" s="229"/>
      <c r="G144" s="229"/>
      <c r="H144" s="229"/>
      <c r="I144" s="229"/>
      <c r="J144" s="229"/>
      <c r="K144" s="229"/>
      <c r="L144" s="229"/>
      <c r="M144" s="174"/>
      <c r="N144" s="229"/>
      <c r="O144" s="229"/>
      <c r="P144" s="229"/>
      <c r="Q144" s="230"/>
      <c r="T144" s="204"/>
    </row>
    <row r="145" spans="1:20" s="203" customFormat="1" ht="27" customHeight="1" hidden="1">
      <c r="A145" s="773" t="s">
        <v>407</v>
      </c>
      <c r="B145" s="776" t="s">
        <v>452</v>
      </c>
      <c r="C145" s="180" t="s">
        <v>13</v>
      </c>
      <c r="D145" s="181">
        <f t="shared" si="26"/>
        <v>395164</v>
      </c>
      <c r="E145" s="231">
        <v>0</v>
      </c>
      <c r="F145" s="231">
        <v>0</v>
      </c>
      <c r="G145" s="232">
        <v>0</v>
      </c>
      <c r="H145" s="231">
        <v>0</v>
      </c>
      <c r="I145" s="233">
        <v>0</v>
      </c>
      <c r="J145" s="231">
        <v>125000</v>
      </c>
      <c r="K145" s="234">
        <v>270164</v>
      </c>
      <c r="L145" s="232">
        <v>0</v>
      </c>
      <c r="M145" s="199">
        <v>0</v>
      </c>
      <c r="N145" s="231">
        <v>0</v>
      </c>
      <c r="O145" s="231">
        <v>0</v>
      </c>
      <c r="P145" s="233">
        <v>0</v>
      </c>
      <c r="Q145" s="235">
        <v>0</v>
      </c>
      <c r="T145" s="204"/>
    </row>
    <row r="146" spans="1:20" s="203" customFormat="1" ht="27" customHeight="1" hidden="1">
      <c r="A146" s="774"/>
      <c r="B146" s="777"/>
      <c r="C146" s="180" t="s">
        <v>14</v>
      </c>
      <c r="D146" s="181">
        <f t="shared" si="26"/>
        <v>0</v>
      </c>
      <c r="E146" s="182">
        <v>0</v>
      </c>
      <c r="F146" s="182">
        <v>0</v>
      </c>
      <c r="G146" s="182">
        <v>0</v>
      </c>
      <c r="H146" s="182">
        <v>0</v>
      </c>
      <c r="I146" s="182">
        <v>0</v>
      </c>
      <c r="J146" s="182">
        <v>0</v>
      </c>
      <c r="K146" s="182">
        <v>0</v>
      </c>
      <c r="L146" s="182">
        <v>0</v>
      </c>
      <c r="M146" s="192">
        <v>0</v>
      </c>
      <c r="N146" s="182">
        <v>0</v>
      </c>
      <c r="O146" s="182">
        <v>0</v>
      </c>
      <c r="P146" s="183">
        <v>0</v>
      </c>
      <c r="Q146" s="186">
        <v>0</v>
      </c>
      <c r="T146" s="204"/>
    </row>
    <row r="147" spans="1:20" s="203" customFormat="1" ht="27" customHeight="1" hidden="1">
      <c r="A147" s="775"/>
      <c r="B147" s="778"/>
      <c r="C147" s="180" t="s">
        <v>15</v>
      </c>
      <c r="D147" s="181">
        <f t="shared" si="26"/>
        <v>395164</v>
      </c>
      <c r="E147" s="189">
        <f aca="true" t="shared" si="36" ref="E147:P147">E145+E146</f>
        <v>0</v>
      </c>
      <c r="F147" s="189">
        <f t="shared" si="36"/>
        <v>0</v>
      </c>
      <c r="G147" s="189">
        <f t="shared" si="36"/>
        <v>0</v>
      </c>
      <c r="H147" s="189">
        <f t="shared" si="36"/>
        <v>0</v>
      </c>
      <c r="I147" s="189">
        <f t="shared" si="36"/>
        <v>0</v>
      </c>
      <c r="J147" s="189">
        <f t="shared" si="36"/>
        <v>125000</v>
      </c>
      <c r="K147" s="189">
        <f t="shared" si="36"/>
        <v>270164</v>
      </c>
      <c r="L147" s="189">
        <f t="shared" si="36"/>
        <v>0</v>
      </c>
      <c r="M147" s="189">
        <f t="shared" si="36"/>
        <v>0</v>
      </c>
      <c r="N147" s="189">
        <f t="shared" si="36"/>
        <v>0</v>
      </c>
      <c r="O147" s="189">
        <f t="shared" si="36"/>
        <v>0</v>
      </c>
      <c r="P147" s="192">
        <f t="shared" si="36"/>
        <v>0</v>
      </c>
      <c r="Q147" s="193">
        <f>Q145+Q146</f>
        <v>0</v>
      </c>
      <c r="T147" s="204"/>
    </row>
    <row r="148" spans="1:20" s="203" customFormat="1" ht="6.75" customHeight="1" hidden="1" thickBot="1">
      <c r="A148" s="236"/>
      <c r="B148" s="218"/>
      <c r="C148" s="218"/>
      <c r="D148" s="237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5"/>
      <c r="T148" s="204"/>
    </row>
    <row r="149" spans="1:20" s="242" customFormat="1" ht="21" customHeight="1">
      <c r="A149" s="787" t="s">
        <v>454</v>
      </c>
      <c r="B149" s="788"/>
      <c r="C149" s="238" t="s">
        <v>13</v>
      </c>
      <c r="D149" s="239">
        <f aca="true" t="shared" si="37" ref="D149:Q150">D13+D105</f>
        <v>1109075463</v>
      </c>
      <c r="E149" s="239">
        <f t="shared" si="37"/>
        <v>538367413</v>
      </c>
      <c r="F149" s="239">
        <f t="shared" si="37"/>
        <v>22095795</v>
      </c>
      <c r="G149" s="239">
        <f t="shared" si="37"/>
        <v>364908132</v>
      </c>
      <c r="H149" s="239">
        <f t="shared" si="37"/>
        <v>40828801</v>
      </c>
      <c r="I149" s="239">
        <f t="shared" si="37"/>
        <v>38534003</v>
      </c>
      <c r="J149" s="239">
        <f t="shared" si="37"/>
        <v>16319996</v>
      </c>
      <c r="K149" s="239">
        <f t="shared" si="37"/>
        <v>988876</v>
      </c>
      <c r="L149" s="239">
        <f t="shared" si="37"/>
        <v>1549027</v>
      </c>
      <c r="M149" s="239">
        <f t="shared" si="37"/>
        <v>63039</v>
      </c>
      <c r="N149" s="239">
        <f t="shared" si="37"/>
        <v>61520569</v>
      </c>
      <c r="O149" s="239">
        <f t="shared" si="37"/>
        <v>8978079</v>
      </c>
      <c r="P149" s="240">
        <f t="shared" si="37"/>
        <v>11211464</v>
      </c>
      <c r="Q149" s="241">
        <f t="shared" si="37"/>
        <v>3710269</v>
      </c>
      <c r="T149" s="243"/>
    </row>
    <row r="150" spans="1:17" ht="21" customHeight="1">
      <c r="A150" s="789"/>
      <c r="B150" s="790"/>
      <c r="C150" s="244" t="s">
        <v>14</v>
      </c>
      <c r="D150" s="245">
        <f>SUM(E150:P150)</f>
        <v>-55271590</v>
      </c>
      <c r="E150" s="245">
        <f t="shared" si="37"/>
        <v>-6856029</v>
      </c>
      <c r="F150" s="245">
        <f t="shared" si="37"/>
        <v>180205</v>
      </c>
      <c r="G150" s="245">
        <f t="shared" si="37"/>
        <v>-51159162</v>
      </c>
      <c r="H150" s="245">
        <f t="shared" si="37"/>
        <v>761907</v>
      </c>
      <c r="I150" s="245">
        <f t="shared" si="37"/>
        <v>-727447</v>
      </c>
      <c r="J150" s="245">
        <f t="shared" si="37"/>
        <v>1033765</v>
      </c>
      <c r="K150" s="245">
        <f t="shared" si="37"/>
        <v>0</v>
      </c>
      <c r="L150" s="245">
        <f t="shared" si="37"/>
        <v>-23662</v>
      </c>
      <c r="M150" s="245">
        <f t="shared" si="37"/>
        <v>238</v>
      </c>
      <c r="N150" s="245">
        <f t="shared" si="37"/>
        <v>0</v>
      </c>
      <c r="O150" s="245">
        <f t="shared" si="37"/>
        <v>1304125</v>
      </c>
      <c r="P150" s="246">
        <f t="shared" si="37"/>
        <v>214470</v>
      </c>
      <c r="Q150" s="247">
        <f t="shared" si="37"/>
        <v>0</v>
      </c>
    </row>
    <row r="151" spans="1:17" ht="21" customHeight="1" thickBot="1">
      <c r="A151" s="791"/>
      <c r="B151" s="792"/>
      <c r="C151" s="248" t="s">
        <v>15</v>
      </c>
      <c r="D151" s="249">
        <f>D149+D150</f>
        <v>1053803873</v>
      </c>
      <c r="E151" s="249">
        <f>E15+E107</f>
        <v>531511384</v>
      </c>
      <c r="F151" s="249">
        <f aca="true" t="shared" si="38" ref="F151:P151">F149+F150</f>
        <v>22276000</v>
      </c>
      <c r="G151" s="249">
        <f t="shared" si="38"/>
        <v>313748970</v>
      </c>
      <c r="H151" s="249">
        <f t="shared" si="38"/>
        <v>41590708</v>
      </c>
      <c r="I151" s="249">
        <f t="shared" si="38"/>
        <v>37806556</v>
      </c>
      <c r="J151" s="249">
        <f t="shared" si="38"/>
        <v>17353761</v>
      </c>
      <c r="K151" s="249">
        <f t="shared" si="38"/>
        <v>988876</v>
      </c>
      <c r="L151" s="249">
        <f t="shared" si="38"/>
        <v>1525365</v>
      </c>
      <c r="M151" s="249">
        <f>M149+M150</f>
        <v>63277</v>
      </c>
      <c r="N151" s="249">
        <f t="shared" si="38"/>
        <v>61520569</v>
      </c>
      <c r="O151" s="249">
        <f t="shared" si="38"/>
        <v>10282204</v>
      </c>
      <c r="P151" s="250">
        <f t="shared" si="38"/>
        <v>11425934</v>
      </c>
      <c r="Q151" s="251">
        <f>Q149+Q150</f>
        <v>3710269</v>
      </c>
    </row>
    <row r="152" spans="1:17" s="130" customFormat="1" ht="22.5" customHeight="1">
      <c r="A152" s="252"/>
      <c r="B152" s="252"/>
      <c r="C152" s="252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</row>
    <row r="153" spans="1:17" s="257" customFormat="1" ht="15" customHeight="1">
      <c r="A153" s="254" t="s">
        <v>13</v>
      </c>
      <c r="B153" s="255" t="s">
        <v>455</v>
      </c>
      <c r="C153" s="256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</row>
    <row r="154" spans="1:17" s="257" customFormat="1" ht="15" customHeight="1">
      <c r="A154" s="254" t="s">
        <v>14</v>
      </c>
      <c r="B154" s="255" t="s">
        <v>456</v>
      </c>
      <c r="C154" s="256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</row>
    <row r="155" spans="1:17" s="257" customFormat="1" ht="15" customHeight="1">
      <c r="A155" s="254" t="s">
        <v>15</v>
      </c>
      <c r="B155" s="255" t="s">
        <v>457</v>
      </c>
      <c r="C155" s="256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</row>
  </sheetData>
  <sheetProtection password="C25B" sheet="1"/>
  <mergeCells count="89">
    <mergeCell ref="A133:A135"/>
    <mergeCell ref="B133:B135"/>
    <mergeCell ref="A149:B151"/>
    <mergeCell ref="A137:A139"/>
    <mergeCell ref="B137:B139"/>
    <mergeCell ref="A141:A143"/>
    <mergeCell ref="B141:B143"/>
    <mergeCell ref="A145:A147"/>
    <mergeCell ref="B145:B147"/>
    <mergeCell ref="A121:A123"/>
    <mergeCell ref="B121:B123"/>
    <mergeCell ref="A125:A127"/>
    <mergeCell ref="B125:B127"/>
    <mergeCell ref="A129:A131"/>
    <mergeCell ref="B129:B131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  <mergeCell ref="A85:A87"/>
    <mergeCell ref="B85:B87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A17:A19"/>
    <mergeCell ref="B17:B19"/>
    <mergeCell ref="A21:A23"/>
    <mergeCell ref="B21:B23"/>
    <mergeCell ref="L9:L10"/>
    <mergeCell ref="M9:M10"/>
    <mergeCell ref="A13:A15"/>
    <mergeCell ref="B13:B15"/>
    <mergeCell ref="G9:G10"/>
    <mergeCell ref="H9:I9"/>
    <mergeCell ref="J9:J10"/>
    <mergeCell ref="K9:K10"/>
    <mergeCell ref="F7:F10"/>
    <mergeCell ref="G7:Q7"/>
    <mergeCell ref="N9:N10"/>
    <mergeCell ref="O9:O10"/>
    <mergeCell ref="A4:P4"/>
    <mergeCell ref="A5:Q5"/>
    <mergeCell ref="A7:A10"/>
    <mergeCell ref="B7:B10"/>
    <mergeCell ref="D7:D10"/>
    <mergeCell ref="E7:E10"/>
    <mergeCell ref="P9:P10"/>
    <mergeCell ref="Q9:Q10"/>
    <mergeCell ref="G8:M8"/>
    <mergeCell ref="N8:Q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1" r:id="rId1"/>
  <rowBreaks count="1" manualBreakCount="1">
    <brk id="178" max="13" man="1"/>
  </rowBreaks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SheetLayoutView="100" zoomScalePageLayoutView="0" workbookViewId="0" topLeftCell="A1">
      <selection activeCell="D38" sqref="D38:D40"/>
    </sheetView>
  </sheetViews>
  <sheetFormatPr defaultColWidth="8" defaultRowHeight="14.25"/>
  <cols>
    <col min="1" max="1" width="4.59765625" style="637" customWidth="1"/>
    <col min="2" max="2" width="6.59765625" style="637" customWidth="1"/>
    <col min="3" max="3" width="15.59765625" style="629" customWidth="1"/>
    <col min="4" max="4" width="42" style="629" customWidth="1"/>
    <col min="5" max="5" width="2.3984375" style="630" customWidth="1"/>
    <col min="6" max="6" width="13.69921875" style="632" customWidth="1"/>
    <col min="7" max="7" width="15.09765625" style="629" customWidth="1"/>
    <col min="8" max="8" width="2.8984375" style="629" customWidth="1"/>
    <col min="9" max="16384" width="8" style="633" customWidth="1"/>
  </cols>
  <sheetData>
    <row r="1" spans="1:8" s="642" customFormat="1" ht="15" customHeight="1">
      <c r="A1" s="639"/>
      <c r="B1" s="639"/>
      <c r="C1" s="640"/>
      <c r="D1" s="1122" t="s">
        <v>971</v>
      </c>
      <c r="E1" s="1122"/>
      <c r="F1" s="1122"/>
      <c r="G1" s="1122"/>
      <c r="H1" s="641"/>
    </row>
    <row r="2" spans="1:8" s="642" customFormat="1" ht="15" customHeight="1">
      <c r="A2" s="639"/>
      <c r="B2" s="639"/>
      <c r="C2" s="640"/>
      <c r="D2" s="1123" t="s">
        <v>917</v>
      </c>
      <c r="E2" s="1123"/>
      <c r="F2" s="1123"/>
      <c r="G2" s="1123"/>
      <c r="H2" s="641"/>
    </row>
    <row r="3" spans="1:8" s="642" customFormat="1" ht="2.25" customHeight="1">
      <c r="A3" s="639"/>
      <c r="B3" s="639"/>
      <c r="C3" s="641"/>
      <c r="D3" s="1123" t="s">
        <v>918</v>
      </c>
      <c r="E3" s="1123"/>
      <c r="F3" s="1123"/>
      <c r="G3" s="1123"/>
      <c r="H3" s="641"/>
    </row>
    <row r="4" spans="1:8" s="642" customFormat="1" ht="42" customHeight="1">
      <c r="A4" s="1124" t="s">
        <v>919</v>
      </c>
      <c r="B4" s="1124"/>
      <c r="C4" s="1124"/>
      <c r="D4" s="1124"/>
      <c r="E4" s="1124"/>
      <c r="F4" s="1124"/>
      <c r="G4" s="1124"/>
      <c r="H4" s="641"/>
    </row>
    <row r="5" spans="6:7" ht="1.5" customHeight="1">
      <c r="F5" s="643"/>
      <c r="G5" s="643"/>
    </row>
    <row r="6" spans="6:7" ht="11.25" customHeight="1">
      <c r="F6" s="643"/>
      <c r="G6" s="644" t="s">
        <v>0</v>
      </c>
    </row>
    <row r="7" spans="1:8" s="516" customFormat="1" ht="15.75" customHeight="1">
      <c r="A7" s="1125" t="s">
        <v>1</v>
      </c>
      <c r="B7" s="1125" t="s">
        <v>8</v>
      </c>
      <c r="C7" s="1127" t="s">
        <v>497</v>
      </c>
      <c r="D7" s="1128"/>
      <c r="E7" s="645"/>
      <c r="F7" s="1129" t="s">
        <v>920</v>
      </c>
      <c r="G7" s="1131" t="s">
        <v>921</v>
      </c>
      <c r="H7" s="647"/>
    </row>
    <row r="8" spans="1:8" s="516" customFormat="1" ht="38.25" customHeight="1">
      <c r="A8" s="1126"/>
      <c r="B8" s="1126"/>
      <c r="C8" s="646" t="s">
        <v>922</v>
      </c>
      <c r="D8" s="646" t="s">
        <v>923</v>
      </c>
      <c r="E8" s="648"/>
      <c r="F8" s="1130"/>
      <c r="G8" s="1132"/>
      <c r="H8" s="647"/>
    </row>
    <row r="9" spans="1:8" s="540" customFormat="1" ht="11.25">
      <c r="A9" s="649">
        <v>1</v>
      </c>
      <c r="B9" s="649">
        <v>2</v>
      </c>
      <c r="C9" s="650">
        <v>3</v>
      </c>
      <c r="D9" s="651">
        <v>4</v>
      </c>
      <c r="E9" s="650"/>
      <c r="F9" s="652">
        <v>5</v>
      </c>
      <c r="G9" s="650">
        <v>6</v>
      </c>
      <c r="H9" s="653"/>
    </row>
    <row r="10" spans="1:7" s="656" customFormat="1" ht="18.75" customHeight="1">
      <c r="A10" s="1113" t="s">
        <v>12</v>
      </c>
      <c r="B10" s="1114"/>
      <c r="C10" s="1114"/>
      <c r="D10" s="1114"/>
      <c r="E10" s="654" t="s">
        <v>13</v>
      </c>
      <c r="F10" s="655">
        <f aca="true" t="shared" si="0" ref="F10:G12">F14+F17+F20+F23+F26+F29+F32+F35+F38+F41+F44+F47+F50+F53+F56+F59+F62+F65+F68+F71+F74+F77+F80+F83+F86+F89+F92+F95+F98</f>
        <v>25298075</v>
      </c>
      <c r="G10" s="655">
        <f t="shared" si="0"/>
        <v>270106642</v>
      </c>
    </row>
    <row r="11" spans="1:7" s="656" customFormat="1" ht="18.75" customHeight="1">
      <c r="A11" s="1115"/>
      <c r="B11" s="1116"/>
      <c r="C11" s="1116"/>
      <c r="D11" s="1116"/>
      <c r="E11" s="654" t="s">
        <v>14</v>
      </c>
      <c r="F11" s="655">
        <f t="shared" si="0"/>
        <v>2337890</v>
      </c>
      <c r="G11" s="655">
        <f t="shared" si="0"/>
        <v>-48992577</v>
      </c>
    </row>
    <row r="12" spans="1:7" s="656" customFormat="1" ht="18.75" customHeight="1">
      <c r="A12" s="1117"/>
      <c r="B12" s="1118"/>
      <c r="C12" s="1118"/>
      <c r="D12" s="1118"/>
      <c r="E12" s="654" t="s">
        <v>15</v>
      </c>
      <c r="F12" s="655">
        <f t="shared" si="0"/>
        <v>27635965</v>
      </c>
      <c r="G12" s="655">
        <f t="shared" si="0"/>
        <v>221114065</v>
      </c>
    </row>
    <row r="13" spans="1:7" s="656" customFormat="1" ht="5.25" customHeight="1">
      <c r="A13" s="1119"/>
      <c r="B13" s="1120"/>
      <c r="C13" s="1120"/>
      <c r="D13" s="1120"/>
      <c r="E13" s="1120"/>
      <c r="F13" s="1120"/>
      <c r="G13" s="1121"/>
    </row>
    <row r="14" spans="1:8" s="593" customFormat="1" ht="15" customHeight="1" hidden="1">
      <c r="A14" s="657" t="s">
        <v>19</v>
      </c>
      <c r="B14" s="657" t="s">
        <v>119</v>
      </c>
      <c r="C14" s="1083" t="s">
        <v>924</v>
      </c>
      <c r="D14" s="1084" t="s">
        <v>825</v>
      </c>
      <c r="E14" s="658" t="s">
        <v>13</v>
      </c>
      <c r="F14" s="659">
        <v>221015</v>
      </c>
      <c r="G14" s="660">
        <v>221015</v>
      </c>
      <c r="H14" s="661"/>
    </row>
    <row r="15" spans="1:8" s="593" customFormat="1" ht="15" customHeight="1" hidden="1">
      <c r="A15" s="662"/>
      <c r="B15" s="662"/>
      <c r="C15" s="1010"/>
      <c r="D15" s="1085"/>
      <c r="E15" s="658" t="s">
        <v>14</v>
      </c>
      <c r="F15" s="659">
        <v>0</v>
      </c>
      <c r="G15" s="660">
        <v>0</v>
      </c>
      <c r="H15" s="661"/>
    </row>
    <row r="16" spans="1:8" s="593" customFormat="1" ht="15" customHeight="1" hidden="1">
      <c r="A16" s="662"/>
      <c r="B16" s="662"/>
      <c r="C16" s="1011"/>
      <c r="D16" s="1086"/>
      <c r="E16" s="658" t="s">
        <v>15</v>
      </c>
      <c r="F16" s="659">
        <f>F14+F15</f>
        <v>221015</v>
      </c>
      <c r="G16" s="659">
        <f>G14+G15</f>
        <v>221015</v>
      </c>
      <c r="H16" s="661"/>
    </row>
    <row r="17" spans="1:8" s="593" customFormat="1" ht="15" customHeight="1" hidden="1">
      <c r="A17" s="662"/>
      <c r="B17" s="662"/>
      <c r="C17" s="1083" t="s">
        <v>925</v>
      </c>
      <c r="D17" s="1084" t="s">
        <v>825</v>
      </c>
      <c r="E17" s="658" t="s">
        <v>13</v>
      </c>
      <c r="F17" s="659">
        <v>2495287</v>
      </c>
      <c r="G17" s="660">
        <v>2495287</v>
      </c>
      <c r="H17" s="661"/>
    </row>
    <row r="18" spans="1:8" s="593" customFormat="1" ht="15" customHeight="1" hidden="1">
      <c r="A18" s="662"/>
      <c r="B18" s="662"/>
      <c r="C18" s="1010"/>
      <c r="D18" s="1085"/>
      <c r="E18" s="658" t="s">
        <v>14</v>
      </c>
      <c r="F18" s="659">
        <v>0</v>
      </c>
      <c r="G18" s="660">
        <v>0</v>
      </c>
      <c r="H18" s="661"/>
    </row>
    <row r="19" spans="1:8" s="593" customFormat="1" ht="15" customHeight="1" hidden="1">
      <c r="A19" s="662"/>
      <c r="B19" s="662"/>
      <c r="C19" s="1011"/>
      <c r="D19" s="1086"/>
      <c r="E19" s="658" t="s">
        <v>15</v>
      </c>
      <c r="F19" s="659">
        <f>F17+F18</f>
        <v>2495287</v>
      </c>
      <c r="G19" s="659">
        <f>G17+G18</f>
        <v>2495287</v>
      </c>
      <c r="H19" s="661"/>
    </row>
    <row r="20" spans="1:8" s="669" customFormat="1" ht="19.5" customHeight="1" hidden="1">
      <c r="A20" s="663"/>
      <c r="B20" s="664">
        <v>60013</v>
      </c>
      <c r="C20" s="1103" t="s">
        <v>926</v>
      </c>
      <c r="D20" s="1104" t="s">
        <v>927</v>
      </c>
      <c r="E20" s="665" t="s">
        <v>13</v>
      </c>
      <c r="F20" s="666">
        <v>300000</v>
      </c>
      <c r="G20" s="667">
        <v>300000</v>
      </c>
      <c r="H20" s="668"/>
    </row>
    <row r="21" spans="1:8" s="669" customFormat="1" ht="19.5" customHeight="1" hidden="1">
      <c r="A21" s="663"/>
      <c r="B21" s="670"/>
      <c r="C21" s="1010"/>
      <c r="D21" s="1085"/>
      <c r="E21" s="665" t="s">
        <v>14</v>
      </c>
      <c r="F21" s="666">
        <v>0</v>
      </c>
      <c r="G21" s="667">
        <v>0</v>
      </c>
      <c r="H21" s="668"/>
    </row>
    <row r="22" spans="1:8" s="669" customFormat="1" ht="19.5" customHeight="1" hidden="1">
      <c r="A22" s="663"/>
      <c r="B22" s="670"/>
      <c r="C22" s="1011"/>
      <c r="D22" s="1086"/>
      <c r="E22" s="665" t="s">
        <v>15</v>
      </c>
      <c r="F22" s="666">
        <f>F20+F21</f>
        <v>300000</v>
      </c>
      <c r="G22" s="666">
        <f>G20+G21</f>
        <v>300000</v>
      </c>
      <c r="H22" s="668"/>
    </row>
    <row r="23" spans="1:8" s="675" customFormat="1" ht="15.75" customHeight="1">
      <c r="A23" s="1089" t="s">
        <v>19</v>
      </c>
      <c r="B23" s="1112" t="s">
        <v>21</v>
      </c>
      <c r="C23" s="1093" t="s">
        <v>928</v>
      </c>
      <c r="D23" s="1096" t="s">
        <v>929</v>
      </c>
      <c r="E23" s="671" t="s">
        <v>13</v>
      </c>
      <c r="F23" s="672">
        <v>0</v>
      </c>
      <c r="G23" s="673">
        <v>0</v>
      </c>
      <c r="H23" s="674"/>
    </row>
    <row r="24" spans="1:8" s="675" customFormat="1" ht="15.75" customHeight="1">
      <c r="A24" s="1090"/>
      <c r="B24" s="1090"/>
      <c r="C24" s="1094"/>
      <c r="D24" s="1097"/>
      <c r="E24" s="676" t="s">
        <v>14</v>
      </c>
      <c r="F24" s="672">
        <v>378225</v>
      </c>
      <c r="G24" s="673">
        <v>378225</v>
      </c>
      <c r="H24" s="674"/>
    </row>
    <row r="25" spans="1:8" s="675" customFormat="1" ht="15.75" customHeight="1">
      <c r="A25" s="1090"/>
      <c r="B25" s="1090"/>
      <c r="C25" s="1095"/>
      <c r="D25" s="1098"/>
      <c r="E25" s="676" t="s">
        <v>15</v>
      </c>
      <c r="F25" s="673">
        <f>F23+F24</f>
        <v>378225</v>
      </c>
      <c r="G25" s="673">
        <f>G23+G24</f>
        <v>378225</v>
      </c>
      <c r="H25" s="674"/>
    </row>
    <row r="26" spans="1:8" s="681" customFormat="1" ht="19.5" customHeight="1">
      <c r="A26" s="1109"/>
      <c r="B26" s="1109"/>
      <c r="C26" s="1110" t="s">
        <v>930</v>
      </c>
      <c r="D26" s="1111" t="s">
        <v>931</v>
      </c>
      <c r="E26" s="677" t="s">
        <v>13</v>
      </c>
      <c r="F26" s="678">
        <v>0</v>
      </c>
      <c r="G26" s="679">
        <v>0</v>
      </c>
      <c r="H26" s="680"/>
    </row>
    <row r="27" spans="1:8" s="681" customFormat="1" ht="19.5" customHeight="1">
      <c r="A27" s="1090"/>
      <c r="B27" s="1090"/>
      <c r="C27" s="1094"/>
      <c r="D27" s="1097"/>
      <c r="E27" s="676" t="s">
        <v>14</v>
      </c>
      <c r="F27" s="678">
        <v>100000</v>
      </c>
      <c r="G27" s="679">
        <v>100000</v>
      </c>
      <c r="H27" s="680"/>
    </row>
    <row r="28" spans="1:8" s="675" customFormat="1" ht="19.5" customHeight="1">
      <c r="A28" s="1090"/>
      <c r="B28" s="1090"/>
      <c r="C28" s="1095"/>
      <c r="D28" s="1098"/>
      <c r="E28" s="676" t="s">
        <v>15</v>
      </c>
      <c r="F28" s="673">
        <f>F26+F27</f>
        <v>100000</v>
      </c>
      <c r="G28" s="673">
        <f>G26+G27</f>
        <v>100000</v>
      </c>
      <c r="H28" s="674"/>
    </row>
    <row r="29" spans="1:8" s="669" customFormat="1" ht="27" customHeight="1" hidden="1">
      <c r="A29" s="663"/>
      <c r="B29" s="663"/>
      <c r="C29" s="1103" t="s">
        <v>932</v>
      </c>
      <c r="D29" s="1104" t="s">
        <v>933</v>
      </c>
      <c r="E29" s="665" t="s">
        <v>13</v>
      </c>
      <c r="F29" s="666">
        <v>2048463</v>
      </c>
      <c r="G29" s="667">
        <v>6101591</v>
      </c>
      <c r="H29" s="668"/>
    </row>
    <row r="30" spans="1:8" s="669" customFormat="1" ht="27" customHeight="1" hidden="1">
      <c r="A30" s="663"/>
      <c r="B30" s="663"/>
      <c r="C30" s="1010"/>
      <c r="D30" s="1085"/>
      <c r="E30" s="665" t="s">
        <v>14</v>
      </c>
      <c r="F30" s="666">
        <v>0</v>
      </c>
      <c r="G30" s="667">
        <v>0</v>
      </c>
      <c r="H30" s="668"/>
    </row>
    <row r="31" spans="1:8" s="669" customFormat="1" ht="27" customHeight="1" hidden="1">
      <c r="A31" s="663"/>
      <c r="B31" s="663"/>
      <c r="C31" s="1011"/>
      <c r="D31" s="1086"/>
      <c r="E31" s="665" t="s">
        <v>15</v>
      </c>
      <c r="F31" s="666">
        <f>F29+F30</f>
        <v>2048463</v>
      </c>
      <c r="G31" s="666">
        <f>G29+G30</f>
        <v>6101591</v>
      </c>
      <c r="H31" s="668"/>
    </row>
    <row r="32" spans="1:8" s="669" customFormat="1" ht="22.5" customHeight="1" hidden="1">
      <c r="A32" s="663"/>
      <c r="B32" s="663"/>
      <c r="C32" s="1103" t="s">
        <v>932</v>
      </c>
      <c r="D32" s="1104" t="s">
        <v>934</v>
      </c>
      <c r="E32" s="665" t="s">
        <v>13</v>
      </c>
      <c r="F32" s="666">
        <v>1815258</v>
      </c>
      <c r="G32" s="667">
        <v>4468585</v>
      </c>
      <c r="H32" s="668"/>
    </row>
    <row r="33" spans="1:8" s="669" customFormat="1" ht="22.5" customHeight="1" hidden="1">
      <c r="A33" s="663"/>
      <c r="B33" s="663"/>
      <c r="C33" s="1010"/>
      <c r="D33" s="1085"/>
      <c r="E33" s="665" t="s">
        <v>14</v>
      </c>
      <c r="F33" s="666">
        <v>0</v>
      </c>
      <c r="G33" s="667">
        <v>0</v>
      </c>
      <c r="H33" s="668"/>
    </row>
    <row r="34" spans="1:8" s="669" customFormat="1" ht="22.5" customHeight="1" hidden="1">
      <c r="A34" s="663"/>
      <c r="B34" s="663"/>
      <c r="C34" s="1011"/>
      <c r="D34" s="1086"/>
      <c r="E34" s="665" t="s">
        <v>15</v>
      </c>
      <c r="F34" s="666">
        <f>F32+F33</f>
        <v>1815258</v>
      </c>
      <c r="G34" s="666">
        <f>G32+G33</f>
        <v>4468585</v>
      </c>
      <c r="H34" s="668"/>
    </row>
    <row r="35" spans="1:8" s="669" customFormat="1" ht="22.5" customHeight="1" hidden="1">
      <c r="A35" s="663"/>
      <c r="B35" s="663"/>
      <c r="C35" s="1103" t="s">
        <v>932</v>
      </c>
      <c r="D35" s="1104" t="s">
        <v>935</v>
      </c>
      <c r="E35" s="665" t="s">
        <v>13</v>
      </c>
      <c r="F35" s="666">
        <v>1765262</v>
      </c>
      <c r="G35" s="667">
        <v>4359803</v>
      </c>
      <c r="H35" s="668"/>
    </row>
    <row r="36" spans="1:8" s="669" customFormat="1" ht="22.5" customHeight="1" hidden="1">
      <c r="A36" s="663"/>
      <c r="B36" s="663"/>
      <c r="C36" s="1010"/>
      <c r="D36" s="1085"/>
      <c r="E36" s="665" t="s">
        <v>14</v>
      </c>
      <c r="F36" s="666">
        <v>0</v>
      </c>
      <c r="G36" s="667">
        <v>0</v>
      </c>
      <c r="H36" s="668"/>
    </row>
    <row r="37" spans="1:8" s="669" customFormat="1" ht="22.5" customHeight="1" hidden="1">
      <c r="A37" s="663"/>
      <c r="B37" s="663"/>
      <c r="C37" s="1011"/>
      <c r="D37" s="1086"/>
      <c r="E37" s="665" t="s">
        <v>15</v>
      </c>
      <c r="F37" s="666">
        <f>F35+F36</f>
        <v>1765262</v>
      </c>
      <c r="G37" s="666">
        <f>G35+G36</f>
        <v>4359803</v>
      </c>
      <c r="H37" s="668"/>
    </row>
    <row r="38" spans="1:8" s="681" customFormat="1" ht="14.25" customHeight="1">
      <c r="A38" s="1109"/>
      <c r="B38" s="1109"/>
      <c r="C38" s="1110" t="s">
        <v>936</v>
      </c>
      <c r="D38" s="1111" t="s">
        <v>937</v>
      </c>
      <c r="E38" s="677" t="s">
        <v>13</v>
      </c>
      <c r="F38" s="678">
        <v>0</v>
      </c>
      <c r="G38" s="679">
        <v>0</v>
      </c>
      <c r="H38" s="680"/>
    </row>
    <row r="39" spans="1:8" s="681" customFormat="1" ht="14.25" customHeight="1">
      <c r="A39" s="1090"/>
      <c r="B39" s="1090"/>
      <c r="C39" s="1094"/>
      <c r="D39" s="1097"/>
      <c r="E39" s="676" t="s">
        <v>14</v>
      </c>
      <c r="F39" s="678">
        <v>538708</v>
      </c>
      <c r="G39" s="679">
        <v>3591385</v>
      </c>
      <c r="H39" s="680"/>
    </row>
    <row r="40" spans="1:8" s="675" customFormat="1" ht="14.25" customHeight="1">
      <c r="A40" s="1090"/>
      <c r="B40" s="1090"/>
      <c r="C40" s="1095"/>
      <c r="D40" s="1098"/>
      <c r="E40" s="676" t="s">
        <v>15</v>
      </c>
      <c r="F40" s="673">
        <f>F38+F39</f>
        <v>538708</v>
      </c>
      <c r="G40" s="673">
        <f>G38+G39</f>
        <v>3591385</v>
      </c>
      <c r="H40" s="674"/>
    </row>
    <row r="41" spans="1:8" s="669" customFormat="1" ht="22.5" customHeight="1">
      <c r="A41" s="663"/>
      <c r="B41" s="663"/>
      <c r="C41" s="1103" t="s">
        <v>936</v>
      </c>
      <c r="D41" s="1104" t="s">
        <v>938</v>
      </c>
      <c r="E41" s="665" t="s">
        <v>13</v>
      </c>
      <c r="F41" s="666">
        <v>1056000</v>
      </c>
      <c r="G41" s="667">
        <v>22834346</v>
      </c>
      <c r="H41" s="668"/>
    </row>
    <row r="42" spans="1:8" s="669" customFormat="1" ht="22.5" customHeight="1">
      <c r="A42" s="663"/>
      <c r="B42" s="663"/>
      <c r="C42" s="1105"/>
      <c r="D42" s="1107"/>
      <c r="E42" s="665" t="s">
        <v>14</v>
      </c>
      <c r="F42" s="666">
        <v>174720</v>
      </c>
      <c r="G42" s="667">
        <v>267142</v>
      </c>
      <c r="H42" s="668"/>
    </row>
    <row r="43" spans="1:8" s="669" customFormat="1" ht="22.5" customHeight="1">
      <c r="A43" s="663"/>
      <c r="B43" s="663"/>
      <c r="C43" s="1106"/>
      <c r="D43" s="1108"/>
      <c r="E43" s="665" t="s">
        <v>15</v>
      </c>
      <c r="F43" s="666">
        <f>F41+F42</f>
        <v>1230720</v>
      </c>
      <c r="G43" s="666">
        <f>G41+G42</f>
        <v>23101488</v>
      </c>
      <c r="H43" s="668"/>
    </row>
    <row r="44" spans="1:8" s="669" customFormat="1" ht="15" customHeight="1" hidden="1">
      <c r="A44" s="663"/>
      <c r="B44" s="663"/>
      <c r="C44" s="1103" t="s">
        <v>932</v>
      </c>
      <c r="D44" s="1104" t="s">
        <v>939</v>
      </c>
      <c r="E44" s="665" t="s">
        <v>13</v>
      </c>
      <c r="F44" s="666">
        <v>1381530</v>
      </c>
      <c r="G44" s="667">
        <v>18009143</v>
      </c>
      <c r="H44" s="668"/>
    </row>
    <row r="45" spans="1:8" s="669" customFormat="1" ht="15" customHeight="1" hidden="1">
      <c r="A45" s="663"/>
      <c r="B45" s="663"/>
      <c r="C45" s="1010"/>
      <c r="D45" s="1085"/>
      <c r="E45" s="665" t="s">
        <v>14</v>
      </c>
      <c r="F45" s="666">
        <v>0</v>
      </c>
      <c r="G45" s="667">
        <v>0</v>
      </c>
      <c r="H45" s="668"/>
    </row>
    <row r="46" spans="1:8" s="669" customFormat="1" ht="15" customHeight="1" hidden="1">
      <c r="A46" s="663"/>
      <c r="B46" s="663"/>
      <c r="C46" s="1011"/>
      <c r="D46" s="1086"/>
      <c r="E46" s="665" t="s">
        <v>15</v>
      </c>
      <c r="F46" s="666">
        <f>F44+F45</f>
        <v>1381530</v>
      </c>
      <c r="G46" s="666">
        <f>G44+G45</f>
        <v>18009143</v>
      </c>
      <c r="H46" s="668"/>
    </row>
    <row r="47" spans="1:8" s="669" customFormat="1" ht="18" customHeight="1">
      <c r="A47" s="663"/>
      <c r="B47" s="663"/>
      <c r="C47" s="1103" t="s">
        <v>936</v>
      </c>
      <c r="D47" s="1104" t="s">
        <v>940</v>
      </c>
      <c r="E47" s="665" t="s">
        <v>13</v>
      </c>
      <c r="F47" s="666">
        <v>4371456</v>
      </c>
      <c r="G47" s="667">
        <v>58729654</v>
      </c>
      <c r="H47" s="668"/>
    </row>
    <row r="48" spans="1:8" s="669" customFormat="1" ht="18" customHeight="1">
      <c r="A48" s="663"/>
      <c r="B48" s="663"/>
      <c r="C48" s="1010"/>
      <c r="D48" s="1085"/>
      <c r="E48" s="665" t="s">
        <v>14</v>
      </c>
      <c r="F48" s="666">
        <v>0</v>
      </c>
      <c r="G48" s="667">
        <v>-41737547</v>
      </c>
      <c r="H48" s="668"/>
    </row>
    <row r="49" spans="1:8" s="669" customFormat="1" ht="18" customHeight="1">
      <c r="A49" s="663"/>
      <c r="B49" s="663"/>
      <c r="C49" s="1011"/>
      <c r="D49" s="1086"/>
      <c r="E49" s="665" t="s">
        <v>15</v>
      </c>
      <c r="F49" s="666">
        <f>F47+F48</f>
        <v>4371456</v>
      </c>
      <c r="G49" s="666">
        <f>G47+G48</f>
        <v>16992107</v>
      </c>
      <c r="H49" s="668"/>
    </row>
    <row r="50" spans="1:8" s="669" customFormat="1" ht="15" customHeight="1">
      <c r="A50" s="663"/>
      <c r="B50" s="663"/>
      <c r="C50" s="1103" t="s">
        <v>936</v>
      </c>
      <c r="D50" s="1104" t="s">
        <v>941</v>
      </c>
      <c r="E50" s="665" t="s">
        <v>13</v>
      </c>
      <c r="F50" s="666">
        <v>1069440</v>
      </c>
      <c r="G50" s="667">
        <v>41233300</v>
      </c>
      <c r="H50" s="668"/>
    </row>
    <row r="51" spans="1:8" s="669" customFormat="1" ht="15" customHeight="1">
      <c r="A51" s="663"/>
      <c r="B51" s="663"/>
      <c r="C51" s="1010"/>
      <c r="D51" s="1085"/>
      <c r="E51" s="665" t="s">
        <v>14</v>
      </c>
      <c r="F51" s="666">
        <v>122214</v>
      </c>
      <c r="G51" s="667">
        <v>-15181318</v>
      </c>
      <c r="H51" s="668"/>
    </row>
    <row r="52" spans="1:8" s="669" customFormat="1" ht="15" customHeight="1">
      <c r="A52" s="663"/>
      <c r="B52" s="663"/>
      <c r="C52" s="1011"/>
      <c r="D52" s="1086"/>
      <c r="E52" s="665" t="s">
        <v>15</v>
      </c>
      <c r="F52" s="666">
        <f>F50+F51</f>
        <v>1191654</v>
      </c>
      <c r="G52" s="666">
        <f>G50+G51</f>
        <v>26051982</v>
      </c>
      <c r="H52" s="668"/>
    </row>
    <row r="53" spans="1:8" s="669" customFormat="1" ht="15" customHeight="1">
      <c r="A53" s="663"/>
      <c r="B53" s="663"/>
      <c r="C53" s="1103" t="s">
        <v>936</v>
      </c>
      <c r="D53" s="1104" t="s">
        <v>942</v>
      </c>
      <c r="E53" s="665" t="s">
        <v>13</v>
      </c>
      <c r="F53" s="666">
        <v>1508544</v>
      </c>
      <c r="G53" s="667">
        <v>34978824</v>
      </c>
      <c r="H53" s="668"/>
    </row>
    <row r="54" spans="1:8" s="669" customFormat="1" ht="15" customHeight="1">
      <c r="A54" s="663"/>
      <c r="B54" s="663"/>
      <c r="C54" s="1010"/>
      <c r="D54" s="1085"/>
      <c r="E54" s="665" t="s">
        <v>14</v>
      </c>
      <c r="F54" s="666">
        <v>196000</v>
      </c>
      <c r="G54" s="667">
        <v>1752998</v>
      </c>
      <c r="H54" s="668"/>
    </row>
    <row r="55" spans="1:8" s="669" customFormat="1" ht="15" customHeight="1">
      <c r="A55" s="663"/>
      <c r="B55" s="663"/>
      <c r="C55" s="1011"/>
      <c r="D55" s="1086"/>
      <c r="E55" s="665" t="s">
        <v>15</v>
      </c>
      <c r="F55" s="666">
        <f>F53+F54</f>
        <v>1704544</v>
      </c>
      <c r="G55" s="666">
        <f>G53+G54</f>
        <v>36731822</v>
      </c>
      <c r="H55" s="668"/>
    </row>
    <row r="56" spans="1:8" s="593" customFormat="1" ht="15" customHeight="1">
      <c r="A56" s="657" t="s">
        <v>71</v>
      </c>
      <c r="B56" s="657" t="s">
        <v>73</v>
      </c>
      <c r="C56" s="1083" t="s">
        <v>936</v>
      </c>
      <c r="D56" s="1084" t="s">
        <v>943</v>
      </c>
      <c r="E56" s="658" t="s">
        <v>13</v>
      </c>
      <c r="F56" s="659">
        <v>736617</v>
      </c>
      <c r="G56" s="660">
        <v>2449543</v>
      </c>
      <c r="H56" s="661"/>
    </row>
    <row r="57" spans="1:8" s="593" customFormat="1" ht="15" customHeight="1">
      <c r="A57" s="662"/>
      <c r="B57" s="662"/>
      <c r="C57" s="1010"/>
      <c r="D57" s="1085"/>
      <c r="E57" s="658" t="s">
        <v>14</v>
      </c>
      <c r="F57" s="659">
        <v>10912</v>
      </c>
      <c r="G57" s="660">
        <v>0</v>
      </c>
      <c r="H57" s="661"/>
    </row>
    <row r="58" spans="1:8" s="593" customFormat="1" ht="15" customHeight="1">
      <c r="A58" s="662"/>
      <c r="B58" s="662"/>
      <c r="C58" s="1011"/>
      <c r="D58" s="1086"/>
      <c r="E58" s="658" t="s">
        <v>15</v>
      </c>
      <c r="F58" s="659">
        <f>F56+F57</f>
        <v>747529</v>
      </c>
      <c r="G58" s="659">
        <f>G56+G57</f>
        <v>2449543</v>
      </c>
      <c r="H58" s="661"/>
    </row>
    <row r="59" spans="1:8" s="593" customFormat="1" ht="15" customHeight="1">
      <c r="A59" s="662"/>
      <c r="B59" s="662"/>
      <c r="C59" s="1083" t="s">
        <v>932</v>
      </c>
      <c r="D59" s="1084" t="s">
        <v>944</v>
      </c>
      <c r="E59" s="658" t="s">
        <v>13</v>
      </c>
      <c r="F59" s="659">
        <v>65828</v>
      </c>
      <c r="G59" s="660">
        <v>36892697</v>
      </c>
      <c r="H59" s="661"/>
    </row>
    <row r="60" spans="1:8" s="593" customFormat="1" ht="15" customHeight="1">
      <c r="A60" s="662"/>
      <c r="B60" s="662"/>
      <c r="C60" s="1010"/>
      <c r="D60" s="1085"/>
      <c r="E60" s="658" t="s">
        <v>14</v>
      </c>
      <c r="F60" s="659">
        <v>2123</v>
      </c>
      <c r="G60" s="660">
        <v>22550</v>
      </c>
      <c r="H60" s="661"/>
    </row>
    <row r="61" spans="1:8" s="593" customFormat="1" ht="15" customHeight="1">
      <c r="A61" s="662"/>
      <c r="B61" s="662"/>
      <c r="C61" s="1011"/>
      <c r="D61" s="1086"/>
      <c r="E61" s="658" t="s">
        <v>15</v>
      </c>
      <c r="F61" s="659">
        <f>F59+F60</f>
        <v>67951</v>
      </c>
      <c r="G61" s="659">
        <f>G59+G60</f>
        <v>36915247</v>
      </c>
      <c r="H61" s="661"/>
    </row>
    <row r="62" spans="1:8" s="593" customFormat="1" ht="18" customHeight="1" hidden="1">
      <c r="A62" s="657" t="s">
        <v>28</v>
      </c>
      <c r="B62" s="657" t="s">
        <v>137</v>
      </c>
      <c r="C62" s="1083" t="s">
        <v>936</v>
      </c>
      <c r="D62" s="1084" t="s">
        <v>945</v>
      </c>
      <c r="E62" s="658" t="s">
        <v>13</v>
      </c>
      <c r="F62" s="659">
        <v>690897</v>
      </c>
      <c r="G62" s="660">
        <v>7190319</v>
      </c>
      <c r="H62" s="661"/>
    </row>
    <row r="63" spans="1:8" s="593" customFormat="1" ht="18" customHeight="1" hidden="1">
      <c r="A63" s="662"/>
      <c r="B63" s="662"/>
      <c r="C63" s="1010"/>
      <c r="D63" s="1085"/>
      <c r="E63" s="658" t="s">
        <v>14</v>
      </c>
      <c r="F63" s="659">
        <v>0</v>
      </c>
      <c r="G63" s="660">
        <v>0</v>
      </c>
      <c r="H63" s="661"/>
    </row>
    <row r="64" spans="1:8" s="593" customFormat="1" ht="18" customHeight="1" hidden="1">
      <c r="A64" s="662"/>
      <c r="B64" s="662"/>
      <c r="C64" s="1011"/>
      <c r="D64" s="1086"/>
      <c r="E64" s="658" t="s">
        <v>15</v>
      </c>
      <c r="F64" s="659">
        <f>F62+F63</f>
        <v>690897</v>
      </c>
      <c r="G64" s="659">
        <f>G62+G63</f>
        <v>7190319</v>
      </c>
      <c r="H64" s="661"/>
    </row>
    <row r="65" spans="1:8" s="593" customFormat="1" ht="15" customHeight="1" hidden="1">
      <c r="A65" s="662"/>
      <c r="B65" s="662"/>
      <c r="C65" s="1083" t="s">
        <v>936</v>
      </c>
      <c r="D65" s="1084" t="s">
        <v>946</v>
      </c>
      <c r="E65" s="658" t="s">
        <v>13</v>
      </c>
      <c r="F65" s="659">
        <v>422318</v>
      </c>
      <c r="G65" s="660">
        <v>3698064</v>
      </c>
      <c r="H65" s="661"/>
    </row>
    <row r="66" spans="1:8" s="593" customFormat="1" ht="15" customHeight="1" hidden="1">
      <c r="A66" s="662"/>
      <c r="B66" s="662"/>
      <c r="C66" s="1010"/>
      <c r="D66" s="1085"/>
      <c r="E66" s="658" t="s">
        <v>14</v>
      </c>
      <c r="F66" s="659">
        <v>0</v>
      </c>
      <c r="G66" s="660">
        <v>0</v>
      </c>
      <c r="H66" s="661"/>
    </row>
    <row r="67" spans="1:8" s="593" customFormat="1" ht="15" customHeight="1" hidden="1">
      <c r="A67" s="662"/>
      <c r="B67" s="662"/>
      <c r="C67" s="1011"/>
      <c r="D67" s="1086"/>
      <c r="E67" s="658" t="s">
        <v>15</v>
      </c>
      <c r="F67" s="659">
        <f>F65+F66</f>
        <v>422318</v>
      </c>
      <c r="G67" s="659">
        <f>G65+G66</f>
        <v>3698064</v>
      </c>
      <c r="H67" s="661"/>
    </row>
    <row r="68" spans="1:8" s="593" customFormat="1" ht="15" customHeight="1" hidden="1">
      <c r="A68" s="657" t="s">
        <v>31</v>
      </c>
      <c r="B68" s="657" t="s">
        <v>167</v>
      </c>
      <c r="C68" s="1083" t="s">
        <v>932</v>
      </c>
      <c r="D68" s="1084" t="s">
        <v>947</v>
      </c>
      <c r="E68" s="658" t="s">
        <v>13</v>
      </c>
      <c r="F68" s="659">
        <v>680000</v>
      </c>
      <c r="G68" s="660">
        <v>680000</v>
      </c>
      <c r="H68" s="661"/>
    </row>
    <row r="69" spans="1:8" s="593" customFormat="1" ht="15" customHeight="1" hidden="1">
      <c r="A69" s="662"/>
      <c r="B69" s="662"/>
      <c r="C69" s="1010"/>
      <c r="D69" s="1085"/>
      <c r="E69" s="658" t="s">
        <v>14</v>
      </c>
      <c r="F69" s="659">
        <v>0</v>
      </c>
      <c r="G69" s="660">
        <v>0</v>
      </c>
      <c r="H69" s="661"/>
    </row>
    <row r="70" spans="1:8" s="593" customFormat="1" ht="15" customHeight="1" hidden="1">
      <c r="A70" s="662"/>
      <c r="B70" s="662"/>
      <c r="C70" s="1011"/>
      <c r="D70" s="1086"/>
      <c r="E70" s="658" t="s">
        <v>15</v>
      </c>
      <c r="F70" s="659">
        <f>F68+F69</f>
        <v>680000</v>
      </c>
      <c r="G70" s="659">
        <f>G68+G69</f>
        <v>680000</v>
      </c>
      <c r="H70" s="661"/>
    </row>
    <row r="71" spans="1:8" s="593" customFormat="1" ht="15" customHeight="1" hidden="1">
      <c r="A71" s="657" t="s">
        <v>240</v>
      </c>
      <c r="B71" s="657" t="s">
        <v>845</v>
      </c>
      <c r="C71" s="1083" t="s">
        <v>936</v>
      </c>
      <c r="D71" s="1084" t="s">
        <v>948</v>
      </c>
      <c r="E71" s="658" t="s">
        <v>13</v>
      </c>
      <c r="F71" s="659">
        <v>77000</v>
      </c>
      <c r="G71" s="660">
        <v>364000</v>
      </c>
      <c r="H71" s="661"/>
    </row>
    <row r="72" spans="1:8" s="593" customFormat="1" ht="15" customHeight="1" hidden="1">
      <c r="A72" s="662"/>
      <c r="B72" s="662"/>
      <c r="C72" s="1010"/>
      <c r="D72" s="1085"/>
      <c r="E72" s="658" t="s">
        <v>14</v>
      </c>
      <c r="F72" s="659">
        <v>0</v>
      </c>
      <c r="G72" s="660">
        <v>0</v>
      </c>
      <c r="H72" s="661"/>
    </row>
    <row r="73" spans="1:8" s="593" customFormat="1" ht="15" customHeight="1" hidden="1">
      <c r="A73" s="662"/>
      <c r="B73" s="662"/>
      <c r="C73" s="1011"/>
      <c r="D73" s="1086"/>
      <c r="E73" s="658" t="s">
        <v>15</v>
      </c>
      <c r="F73" s="659">
        <f>F71+F72</f>
        <v>77000</v>
      </c>
      <c r="G73" s="659">
        <f>G71+G72</f>
        <v>364000</v>
      </c>
      <c r="H73" s="661"/>
    </row>
    <row r="74" spans="1:8" s="593" customFormat="1" ht="15" customHeight="1">
      <c r="A74" s="657" t="s">
        <v>250</v>
      </c>
      <c r="B74" s="682" t="s">
        <v>949</v>
      </c>
      <c r="C74" s="1083" t="s">
        <v>950</v>
      </c>
      <c r="D74" s="1084" t="s">
        <v>951</v>
      </c>
      <c r="E74" s="658" t="s">
        <v>13</v>
      </c>
      <c r="F74" s="659">
        <v>1000000</v>
      </c>
      <c r="G74" s="660">
        <v>2000000</v>
      </c>
      <c r="H74" s="661"/>
    </row>
    <row r="75" spans="1:8" s="593" customFormat="1" ht="15" customHeight="1">
      <c r="A75" s="662"/>
      <c r="B75" s="683" t="s">
        <v>251</v>
      </c>
      <c r="C75" s="1010"/>
      <c r="D75" s="1085"/>
      <c r="E75" s="658" t="s">
        <v>14</v>
      </c>
      <c r="F75" s="659">
        <v>344988</v>
      </c>
      <c r="G75" s="660">
        <v>344988</v>
      </c>
      <c r="H75" s="661"/>
    </row>
    <row r="76" spans="1:8" s="593" customFormat="1" ht="15" customHeight="1">
      <c r="A76" s="662"/>
      <c r="B76" s="662"/>
      <c r="C76" s="1011"/>
      <c r="D76" s="1086"/>
      <c r="E76" s="658" t="s">
        <v>15</v>
      </c>
      <c r="F76" s="659">
        <f>F74+F75</f>
        <v>1344988</v>
      </c>
      <c r="G76" s="659">
        <f>G74+G75</f>
        <v>2344988</v>
      </c>
      <c r="H76" s="661"/>
    </row>
    <row r="77" spans="1:8" s="675" customFormat="1" ht="12.75" customHeight="1">
      <c r="A77" s="1089"/>
      <c r="B77" s="1091" t="s">
        <v>952</v>
      </c>
      <c r="C77" s="1093" t="s">
        <v>950</v>
      </c>
      <c r="D77" s="1096" t="s">
        <v>953</v>
      </c>
      <c r="E77" s="671" t="s">
        <v>13</v>
      </c>
      <c r="F77" s="684">
        <v>0</v>
      </c>
      <c r="G77" s="685">
        <v>0</v>
      </c>
      <c r="H77" s="674"/>
    </row>
    <row r="78" spans="1:8" s="675" customFormat="1" ht="12.75" customHeight="1">
      <c r="A78" s="1090"/>
      <c r="B78" s="1090"/>
      <c r="C78" s="1094"/>
      <c r="D78" s="1097"/>
      <c r="E78" s="671" t="s">
        <v>14</v>
      </c>
      <c r="F78" s="684">
        <v>240000</v>
      </c>
      <c r="G78" s="685">
        <v>690000</v>
      </c>
      <c r="H78" s="674"/>
    </row>
    <row r="79" spans="1:8" s="675" customFormat="1" ht="12.75" customHeight="1">
      <c r="A79" s="1090"/>
      <c r="B79" s="1092"/>
      <c r="C79" s="1095"/>
      <c r="D79" s="1098"/>
      <c r="E79" s="671" t="s">
        <v>15</v>
      </c>
      <c r="F79" s="684">
        <f>F77+F78</f>
        <v>240000</v>
      </c>
      <c r="G79" s="684">
        <f>G77+G78</f>
        <v>690000</v>
      </c>
      <c r="H79" s="674"/>
    </row>
    <row r="80" spans="1:8" s="675" customFormat="1" ht="12.75" customHeight="1">
      <c r="A80" s="1089"/>
      <c r="B80" s="1091" t="s">
        <v>952</v>
      </c>
      <c r="C80" s="1093" t="s">
        <v>950</v>
      </c>
      <c r="D80" s="1096" t="s">
        <v>954</v>
      </c>
      <c r="E80" s="671" t="s">
        <v>13</v>
      </c>
      <c r="F80" s="684">
        <v>0</v>
      </c>
      <c r="G80" s="685">
        <v>0</v>
      </c>
      <c r="H80" s="674"/>
    </row>
    <row r="81" spans="1:8" s="675" customFormat="1" ht="12.75" customHeight="1">
      <c r="A81" s="1090"/>
      <c r="B81" s="1090"/>
      <c r="C81" s="1094"/>
      <c r="D81" s="1097"/>
      <c r="E81" s="671" t="s">
        <v>14</v>
      </c>
      <c r="F81" s="684">
        <v>200000</v>
      </c>
      <c r="G81" s="685">
        <v>650000</v>
      </c>
      <c r="H81" s="674"/>
    </row>
    <row r="82" spans="1:8" s="675" customFormat="1" ht="12.75" customHeight="1">
      <c r="A82" s="1090"/>
      <c r="B82" s="1092"/>
      <c r="C82" s="1095"/>
      <c r="D82" s="1098"/>
      <c r="E82" s="671" t="s">
        <v>15</v>
      </c>
      <c r="F82" s="684">
        <f>F80+F81</f>
        <v>200000</v>
      </c>
      <c r="G82" s="684">
        <f>G80+G81</f>
        <v>650000</v>
      </c>
      <c r="H82" s="674"/>
    </row>
    <row r="83" spans="1:8" s="675" customFormat="1" ht="12.75" customHeight="1">
      <c r="A83" s="1089"/>
      <c r="B83" s="1091" t="s">
        <v>955</v>
      </c>
      <c r="C83" s="1093" t="s">
        <v>950</v>
      </c>
      <c r="D83" s="1096" t="s">
        <v>956</v>
      </c>
      <c r="E83" s="671" t="s">
        <v>13</v>
      </c>
      <c r="F83" s="684">
        <v>0</v>
      </c>
      <c r="G83" s="685">
        <v>0</v>
      </c>
      <c r="H83" s="674"/>
    </row>
    <row r="84" spans="1:8" s="675" customFormat="1" ht="12.75" customHeight="1">
      <c r="A84" s="1090"/>
      <c r="B84" s="1090"/>
      <c r="C84" s="1094"/>
      <c r="D84" s="1097"/>
      <c r="E84" s="671" t="s">
        <v>14</v>
      </c>
      <c r="F84" s="684">
        <v>20000</v>
      </c>
      <c r="G84" s="685">
        <v>68000</v>
      </c>
      <c r="H84" s="674"/>
    </row>
    <row r="85" spans="1:8" s="675" customFormat="1" ht="12.75" customHeight="1">
      <c r="A85" s="1090"/>
      <c r="B85" s="1092"/>
      <c r="C85" s="1095"/>
      <c r="D85" s="1098"/>
      <c r="E85" s="671" t="s">
        <v>15</v>
      </c>
      <c r="F85" s="684">
        <f>F83+F84</f>
        <v>20000</v>
      </c>
      <c r="G85" s="684">
        <f>G83+G84</f>
        <v>68000</v>
      </c>
      <c r="H85" s="674"/>
    </row>
    <row r="86" spans="1:8" s="675" customFormat="1" ht="12.75" customHeight="1">
      <c r="A86" s="1089"/>
      <c r="B86" s="1099" t="s">
        <v>957</v>
      </c>
      <c r="C86" s="1100" t="s">
        <v>950</v>
      </c>
      <c r="D86" s="1096" t="s">
        <v>958</v>
      </c>
      <c r="E86" s="671" t="s">
        <v>13</v>
      </c>
      <c r="F86" s="684">
        <v>0</v>
      </c>
      <c r="G86" s="685">
        <v>0</v>
      </c>
      <c r="H86" s="674"/>
    </row>
    <row r="87" spans="1:8" s="675" customFormat="1" ht="12.75" customHeight="1">
      <c r="A87" s="1090"/>
      <c r="B87" s="1090"/>
      <c r="C87" s="1101"/>
      <c r="D87" s="1097"/>
      <c r="E87" s="671" t="s">
        <v>14</v>
      </c>
      <c r="F87" s="684">
        <v>10000</v>
      </c>
      <c r="G87" s="685">
        <v>61000</v>
      </c>
      <c r="H87" s="674"/>
    </row>
    <row r="88" spans="1:8" s="675" customFormat="1" ht="12.75" customHeight="1">
      <c r="A88" s="1092"/>
      <c r="B88" s="1092"/>
      <c r="C88" s="1102"/>
      <c r="D88" s="1098"/>
      <c r="E88" s="671" t="s">
        <v>15</v>
      </c>
      <c r="F88" s="684">
        <f>F86+F87</f>
        <v>10000</v>
      </c>
      <c r="G88" s="684">
        <f>G86+G87</f>
        <v>61000</v>
      </c>
      <c r="H88" s="674"/>
    </row>
    <row r="89" spans="1:8" s="593" customFormat="1" ht="15" customHeight="1" hidden="1">
      <c r="A89" s="662"/>
      <c r="B89" s="662" t="s">
        <v>254</v>
      </c>
      <c r="C89" s="1087" t="s">
        <v>959</v>
      </c>
      <c r="D89" s="1084" t="s">
        <v>960</v>
      </c>
      <c r="E89" s="658" t="s">
        <v>13</v>
      </c>
      <c r="F89" s="659">
        <v>68160</v>
      </c>
      <c r="G89" s="660">
        <v>841031</v>
      </c>
      <c r="H89" s="661"/>
    </row>
    <row r="90" spans="1:8" s="593" customFormat="1" ht="15" customHeight="1" hidden="1">
      <c r="A90" s="662"/>
      <c r="B90" s="662"/>
      <c r="C90" s="1010"/>
      <c r="D90" s="1085"/>
      <c r="E90" s="658" t="s">
        <v>14</v>
      </c>
      <c r="F90" s="659">
        <v>0</v>
      </c>
      <c r="G90" s="660">
        <v>0</v>
      </c>
      <c r="H90" s="661"/>
    </row>
    <row r="91" spans="1:8" s="593" customFormat="1" ht="15" customHeight="1" hidden="1">
      <c r="A91" s="662"/>
      <c r="B91" s="662"/>
      <c r="C91" s="1011"/>
      <c r="D91" s="1086"/>
      <c r="E91" s="658" t="s">
        <v>15</v>
      </c>
      <c r="F91" s="659">
        <f>F89+F90</f>
        <v>68160</v>
      </c>
      <c r="G91" s="659">
        <f>G89+G90</f>
        <v>841031</v>
      </c>
      <c r="H91" s="661"/>
    </row>
    <row r="92" spans="1:8" s="593" customFormat="1" ht="15" customHeight="1" hidden="1">
      <c r="A92" s="657" t="s">
        <v>250</v>
      </c>
      <c r="B92" s="657" t="s">
        <v>722</v>
      </c>
      <c r="C92" s="1083" t="s">
        <v>950</v>
      </c>
      <c r="D92" s="1084" t="s">
        <v>961</v>
      </c>
      <c r="E92" s="658" t="s">
        <v>13</v>
      </c>
      <c r="F92" s="659">
        <v>2200000</v>
      </c>
      <c r="G92" s="660">
        <v>10253690</v>
      </c>
      <c r="H92" s="661"/>
    </row>
    <row r="93" spans="1:8" s="593" customFormat="1" ht="15" customHeight="1" hidden="1">
      <c r="A93" s="662"/>
      <c r="B93" s="662"/>
      <c r="C93" s="1010"/>
      <c r="D93" s="1085"/>
      <c r="E93" s="658" t="s">
        <v>14</v>
      </c>
      <c r="F93" s="659">
        <v>0</v>
      </c>
      <c r="G93" s="660">
        <v>0</v>
      </c>
      <c r="H93" s="661"/>
    </row>
    <row r="94" spans="1:8" s="593" customFormat="1" ht="15" customHeight="1" hidden="1">
      <c r="A94" s="662"/>
      <c r="B94" s="662"/>
      <c r="C94" s="1011"/>
      <c r="D94" s="1086"/>
      <c r="E94" s="686" t="s">
        <v>15</v>
      </c>
      <c r="F94" s="659">
        <f>F92+F93</f>
        <v>2200000</v>
      </c>
      <c r="G94" s="659">
        <f>G92+G93</f>
        <v>10253690</v>
      </c>
      <c r="H94" s="661"/>
    </row>
    <row r="95" spans="1:8" s="593" customFormat="1" ht="15" customHeight="1" hidden="1">
      <c r="A95" s="662"/>
      <c r="B95" s="662"/>
      <c r="C95" s="1087" t="s">
        <v>962</v>
      </c>
      <c r="D95" s="1088" t="s">
        <v>963</v>
      </c>
      <c r="E95" s="687" t="s">
        <v>13</v>
      </c>
      <c r="F95" s="659">
        <v>1200000</v>
      </c>
      <c r="G95" s="660">
        <v>8864000</v>
      </c>
      <c r="H95" s="661"/>
    </row>
    <row r="96" spans="1:8" s="593" customFormat="1" ht="15" customHeight="1" hidden="1">
      <c r="A96" s="662"/>
      <c r="B96" s="662"/>
      <c r="C96" s="1010"/>
      <c r="D96" s="1085"/>
      <c r="E96" s="658" t="s">
        <v>14</v>
      </c>
      <c r="F96" s="659">
        <v>0</v>
      </c>
      <c r="G96" s="660">
        <v>0</v>
      </c>
      <c r="H96" s="661"/>
    </row>
    <row r="97" spans="1:8" s="593" customFormat="1" ht="15" customHeight="1" hidden="1">
      <c r="A97" s="662"/>
      <c r="B97" s="662"/>
      <c r="C97" s="1011"/>
      <c r="D97" s="1086"/>
      <c r="E97" s="658" t="s">
        <v>15</v>
      </c>
      <c r="F97" s="659">
        <f>F95+F96</f>
        <v>1200000</v>
      </c>
      <c r="G97" s="659">
        <f>G95+G96</f>
        <v>8864000</v>
      </c>
      <c r="H97" s="661"/>
    </row>
    <row r="98" spans="1:8" s="593" customFormat="1" ht="18" customHeight="1" hidden="1">
      <c r="A98" s="657" t="s">
        <v>407</v>
      </c>
      <c r="B98" s="657" t="s">
        <v>964</v>
      </c>
      <c r="C98" s="1083" t="s">
        <v>965</v>
      </c>
      <c r="D98" s="1084" t="s">
        <v>966</v>
      </c>
      <c r="E98" s="658" t="s">
        <v>13</v>
      </c>
      <c r="F98" s="659">
        <v>125000</v>
      </c>
      <c r="G98" s="660">
        <v>3141750</v>
      </c>
      <c r="H98" s="661"/>
    </row>
    <row r="99" spans="1:8" s="593" customFormat="1" ht="18" customHeight="1" hidden="1">
      <c r="A99" s="662"/>
      <c r="B99" s="662"/>
      <c r="C99" s="1010"/>
      <c r="D99" s="1085"/>
      <c r="E99" s="658" t="s">
        <v>14</v>
      </c>
      <c r="F99" s="659">
        <v>0</v>
      </c>
      <c r="G99" s="660">
        <v>0</v>
      </c>
      <c r="H99" s="661"/>
    </row>
    <row r="100" spans="1:8" s="593" customFormat="1" ht="18" customHeight="1" hidden="1">
      <c r="A100" s="688"/>
      <c r="B100" s="688"/>
      <c r="C100" s="1011"/>
      <c r="D100" s="1086"/>
      <c r="E100" s="686" t="s">
        <v>15</v>
      </c>
      <c r="F100" s="659">
        <f>F98+F99</f>
        <v>125000</v>
      </c>
      <c r="G100" s="659">
        <f>G98+G99</f>
        <v>3141750</v>
      </c>
      <c r="H100" s="661"/>
    </row>
    <row r="101" spans="1:14" ht="15">
      <c r="A101" s="626" t="s">
        <v>909</v>
      </c>
      <c r="B101" s="627"/>
      <c r="C101" s="628"/>
      <c r="D101" s="627"/>
      <c r="E101" s="627"/>
      <c r="F101" s="628"/>
      <c r="H101" s="631"/>
      <c r="I101" s="632"/>
      <c r="J101" s="632"/>
      <c r="K101" s="632"/>
      <c r="L101" s="632"/>
      <c r="M101" s="632"/>
      <c r="N101" s="632"/>
    </row>
    <row r="102" spans="1:14" s="504" customFormat="1" ht="12.75" customHeight="1">
      <c r="A102" s="634" t="s">
        <v>967</v>
      </c>
      <c r="B102" s="635"/>
      <c r="C102" s="636"/>
      <c r="D102" s="635"/>
      <c r="E102" s="635"/>
      <c r="F102" s="636"/>
      <c r="G102" s="510"/>
      <c r="H102" s="513"/>
      <c r="I102" s="689"/>
      <c r="J102" s="689"/>
      <c r="K102" s="689"/>
      <c r="L102" s="689"/>
      <c r="M102" s="689"/>
      <c r="N102" s="689"/>
    </row>
    <row r="103" ht="12" customHeight="1">
      <c r="A103" s="638" t="s">
        <v>968</v>
      </c>
    </row>
    <row r="104" spans="1:8" s="690" customFormat="1" ht="12" customHeight="1">
      <c r="A104" s="638" t="s">
        <v>969</v>
      </c>
      <c r="B104" s="637"/>
      <c r="C104" s="629"/>
      <c r="D104" s="629"/>
      <c r="E104" s="630"/>
      <c r="F104" s="632"/>
      <c r="G104" s="628"/>
      <c r="H104" s="628"/>
    </row>
    <row r="105" ht="12" customHeight="1">
      <c r="A105" s="638" t="s">
        <v>970</v>
      </c>
    </row>
    <row r="106" ht="9" customHeight="1"/>
    <row r="107" spans="1:6" s="580" customFormat="1" ht="35.25" customHeight="1">
      <c r="A107" s="637"/>
      <c r="B107" s="637"/>
      <c r="C107" s="629"/>
      <c r="D107" s="629"/>
      <c r="E107" s="630"/>
      <c r="F107" s="632"/>
    </row>
    <row r="108" spans="1:8" s="691" customFormat="1" ht="22.5" customHeight="1">
      <c r="A108" s="637"/>
      <c r="B108" s="637"/>
      <c r="C108" s="629"/>
      <c r="D108" s="629"/>
      <c r="E108" s="630"/>
      <c r="F108" s="632"/>
      <c r="G108" s="636"/>
      <c r="H108" s="636"/>
    </row>
    <row r="109" ht="41.25" customHeight="1"/>
    <row r="110" spans="1:6" s="580" customFormat="1" ht="21.75" customHeight="1">
      <c r="A110" s="637"/>
      <c r="B110" s="637"/>
      <c r="C110" s="629"/>
      <c r="D110" s="629"/>
      <c r="E110" s="630"/>
      <c r="F110" s="632"/>
    </row>
    <row r="111" spans="7:8" ht="21.75" customHeight="1">
      <c r="G111" s="633"/>
      <c r="H111" s="633"/>
    </row>
    <row r="112" spans="7:8" ht="24.75" customHeight="1">
      <c r="G112" s="633"/>
      <c r="H112" s="633"/>
    </row>
    <row r="113" spans="7:8" ht="12" customHeight="1">
      <c r="G113" s="633"/>
      <c r="H113" s="633"/>
    </row>
    <row r="114" spans="1:6" s="692" customFormat="1" ht="30.75" customHeight="1">
      <c r="A114" s="637"/>
      <c r="B114" s="637"/>
      <c r="C114" s="629"/>
      <c r="D114" s="629"/>
      <c r="E114" s="630"/>
      <c r="F114" s="632"/>
    </row>
    <row r="115" spans="1:6" s="580" customFormat="1" ht="21.75" customHeight="1">
      <c r="A115" s="637"/>
      <c r="B115" s="637"/>
      <c r="C115" s="629"/>
      <c r="D115" s="629"/>
      <c r="E115" s="630"/>
      <c r="F115" s="632"/>
    </row>
    <row r="116" spans="1:6" s="693" customFormat="1" ht="21.75" customHeight="1">
      <c r="A116" s="637"/>
      <c r="B116" s="637"/>
      <c r="C116" s="629"/>
      <c r="D116" s="629"/>
      <c r="E116" s="630"/>
      <c r="F116" s="632"/>
    </row>
    <row r="117" spans="1:6" s="693" customFormat="1" ht="21.75" customHeight="1">
      <c r="A117" s="637"/>
      <c r="B117" s="637"/>
      <c r="C117" s="629"/>
      <c r="D117" s="629"/>
      <c r="E117" s="630"/>
      <c r="F117" s="632"/>
    </row>
    <row r="119" spans="1:8" s="516" customFormat="1" ht="24" customHeight="1">
      <c r="A119" s="637"/>
      <c r="B119" s="637"/>
      <c r="C119" s="629"/>
      <c r="D119" s="629"/>
      <c r="E119" s="630"/>
      <c r="F119" s="632"/>
      <c r="G119" s="647"/>
      <c r="H119" s="647"/>
    </row>
    <row r="120" spans="1:8" s="516" customFormat="1" ht="24" customHeight="1">
      <c r="A120" s="637"/>
      <c r="B120" s="637"/>
      <c r="C120" s="629"/>
      <c r="D120" s="629"/>
      <c r="E120" s="630"/>
      <c r="F120" s="632"/>
      <c r="G120" s="647"/>
      <c r="H120" s="647"/>
    </row>
    <row r="121" spans="1:8" s="504" customFormat="1" ht="24" customHeight="1">
      <c r="A121" s="637"/>
      <c r="B121" s="637"/>
      <c r="C121" s="629"/>
      <c r="D121" s="629"/>
      <c r="E121" s="630"/>
      <c r="F121" s="632"/>
      <c r="G121" s="510"/>
      <c r="H121" s="510"/>
    </row>
    <row r="122" spans="1:8" s="504" customFormat="1" ht="24" customHeight="1">
      <c r="A122" s="637"/>
      <c r="B122" s="637"/>
      <c r="C122" s="629"/>
      <c r="D122" s="629"/>
      <c r="E122" s="630"/>
      <c r="F122" s="632"/>
      <c r="G122" s="510"/>
      <c r="H122" s="510"/>
    </row>
    <row r="123" spans="1:8" s="516" customFormat="1" ht="21" customHeight="1">
      <c r="A123" s="637"/>
      <c r="B123" s="637"/>
      <c r="C123" s="629"/>
      <c r="D123" s="629"/>
      <c r="E123" s="630"/>
      <c r="F123" s="632"/>
      <c r="G123" s="647"/>
      <c r="H123" s="647"/>
    </row>
    <row r="124" ht="19.5" customHeight="1"/>
    <row r="125" ht="21.75" customHeight="1"/>
  </sheetData>
  <sheetProtection password="C25B" sheet="1"/>
  <mergeCells count="83">
    <mergeCell ref="D1:G1"/>
    <mergeCell ref="D2:G2"/>
    <mergeCell ref="D3:G3"/>
    <mergeCell ref="A4:G4"/>
    <mergeCell ref="A7:A8"/>
    <mergeCell ref="B7:B8"/>
    <mergeCell ref="C7:D7"/>
    <mergeCell ref="F7:F8"/>
    <mergeCell ref="G7:G8"/>
    <mergeCell ref="A10:D12"/>
    <mergeCell ref="A13:G13"/>
    <mergeCell ref="C14:C16"/>
    <mergeCell ref="D14:D16"/>
    <mergeCell ref="C17:C19"/>
    <mergeCell ref="D17:D19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C29:C31"/>
    <mergeCell ref="D29:D31"/>
    <mergeCell ref="C32:C34"/>
    <mergeCell ref="D32:D34"/>
    <mergeCell ref="C35:C37"/>
    <mergeCell ref="D35:D37"/>
    <mergeCell ref="A38:A40"/>
    <mergeCell ref="B38:B40"/>
    <mergeCell ref="C38:C40"/>
    <mergeCell ref="D38:D40"/>
    <mergeCell ref="C41:C43"/>
    <mergeCell ref="D41:D43"/>
    <mergeCell ref="C44:C46"/>
    <mergeCell ref="D44:D46"/>
    <mergeCell ref="C47:C49"/>
    <mergeCell ref="D47:D49"/>
    <mergeCell ref="C50:C52"/>
    <mergeCell ref="D50:D52"/>
    <mergeCell ref="C53:C55"/>
    <mergeCell ref="D53:D55"/>
    <mergeCell ref="C56:C58"/>
    <mergeCell ref="D56:D58"/>
    <mergeCell ref="C59:C61"/>
    <mergeCell ref="D59:D61"/>
    <mergeCell ref="C62:C64"/>
    <mergeCell ref="D62:D64"/>
    <mergeCell ref="C65:C67"/>
    <mergeCell ref="D65:D67"/>
    <mergeCell ref="C68:C70"/>
    <mergeCell ref="D68:D70"/>
    <mergeCell ref="C71:C73"/>
    <mergeCell ref="D71:D73"/>
    <mergeCell ref="C74:C76"/>
    <mergeCell ref="D74:D76"/>
    <mergeCell ref="A77:A79"/>
    <mergeCell ref="B77:B79"/>
    <mergeCell ref="C77:C79"/>
    <mergeCell ref="D77:D79"/>
    <mergeCell ref="A80:A82"/>
    <mergeCell ref="B80:B82"/>
    <mergeCell ref="C80:C82"/>
    <mergeCell ref="D80:D82"/>
    <mergeCell ref="A83:A85"/>
    <mergeCell ref="B83:B85"/>
    <mergeCell ref="C83:C85"/>
    <mergeCell ref="D83:D85"/>
    <mergeCell ref="A86:A88"/>
    <mergeCell ref="B86:B88"/>
    <mergeCell ref="C86:C88"/>
    <mergeCell ref="D86:D88"/>
    <mergeCell ref="C98:C100"/>
    <mergeCell ref="D98:D100"/>
    <mergeCell ref="C89:C91"/>
    <mergeCell ref="D89:D91"/>
    <mergeCell ref="C92:C94"/>
    <mergeCell ref="D92:D94"/>
    <mergeCell ref="C95:C97"/>
    <mergeCell ref="D95:D97"/>
  </mergeCells>
  <printOptions horizontalCentered="1"/>
  <pageMargins left="0.7086614173228347" right="0.7086614173228347" top="0.984251968503937" bottom="0.7480314960629921" header="0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E60" sqref="E60"/>
    </sheetView>
  </sheetViews>
  <sheetFormatPr defaultColWidth="8" defaultRowHeight="14.25"/>
  <cols>
    <col min="1" max="1" width="3.59765625" style="473" customWidth="1"/>
    <col min="2" max="2" width="44.69921875" style="474" customWidth="1"/>
    <col min="3" max="3" width="6.8984375" style="475" customWidth="1"/>
    <col min="4" max="4" width="2" style="475" customWidth="1"/>
    <col min="5" max="5" width="11.09765625" style="476" customWidth="1"/>
    <col min="6" max="6" width="10.5" style="476" customWidth="1"/>
    <col min="7" max="7" width="10.59765625" style="476" customWidth="1"/>
    <col min="8" max="8" width="13.09765625" style="476" customWidth="1"/>
    <col min="9" max="16384" width="8" style="477" customWidth="1"/>
  </cols>
  <sheetData>
    <row r="1" spans="1:7" s="470" customFormat="1" ht="12.75">
      <c r="A1" s="466"/>
      <c r="B1" s="467"/>
      <c r="C1" s="468"/>
      <c r="D1" s="468"/>
      <c r="E1" s="469"/>
      <c r="F1" s="469" t="s">
        <v>688</v>
      </c>
      <c r="G1" s="469"/>
    </row>
    <row r="2" spans="1:7" s="470" customFormat="1" ht="12.75">
      <c r="A2" s="466"/>
      <c r="B2" s="467"/>
      <c r="C2" s="468"/>
      <c r="D2" s="468"/>
      <c r="E2" s="471"/>
      <c r="F2" s="471" t="s">
        <v>658</v>
      </c>
      <c r="G2" s="471"/>
    </row>
    <row r="3" spans="1:7" s="470" customFormat="1" ht="12.75">
      <c r="A3" s="466"/>
      <c r="B3" s="467"/>
      <c r="C3" s="468"/>
      <c r="D3" s="468"/>
      <c r="E3" s="472"/>
      <c r="F3" s="472" t="s">
        <v>659</v>
      </c>
      <c r="G3" s="472"/>
    </row>
    <row r="4" spans="1:8" s="470" customFormat="1" ht="18.75" customHeight="1">
      <c r="A4" s="466"/>
      <c r="B4" s="467"/>
      <c r="C4" s="472"/>
      <c r="D4" s="472"/>
      <c r="E4" s="472"/>
      <c r="F4" s="472"/>
      <c r="G4" s="472"/>
      <c r="H4" s="472"/>
    </row>
    <row r="5" spans="1:8" s="470" customFormat="1" ht="39" customHeight="1">
      <c r="A5" s="1133" t="s">
        <v>660</v>
      </c>
      <c r="B5" s="1133"/>
      <c r="C5" s="1133"/>
      <c r="D5" s="1133"/>
      <c r="E5" s="1133"/>
      <c r="F5" s="1133"/>
      <c r="G5" s="1133"/>
      <c r="H5" s="1133"/>
    </row>
    <row r="6" ht="17.25" customHeight="1"/>
    <row r="7" ht="15.75" customHeight="1">
      <c r="H7" s="473" t="s">
        <v>0</v>
      </c>
    </row>
    <row r="8" spans="1:8" s="479" customFormat="1" ht="56.25" customHeight="1">
      <c r="A8" s="478" t="s">
        <v>496</v>
      </c>
      <c r="B8" s="478" t="s">
        <v>661</v>
      </c>
      <c r="C8" s="478" t="s">
        <v>8</v>
      </c>
      <c r="D8" s="478" t="s">
        <v>11</v>
      </c>
      <c r="E8" s="478" t="s">
        <v>662</v>
      </c>
      <c r="F8" s="478" t="s">
        <v>499</v>
      </c>
      <c r="G8" s="478" t="s">
        <v>514</v>
      </c>
      <c r="H8" s="478" t="s">
        <v>663</v>
      </c>
    </row>
    <row r="9" spans="1:8" s="481" customFormat="1" ht="12.75">
      <c r="A9" s="480" t="s">
        <v>664</v>
      </c>
      <c r="B9" s="480" t="s">
        <v>665</v>
      </c>
      <c r="C9" s="480" t="s">
        <v>666</v>
      </c>
      <c r="D9" s="480"/>
      <c r="E9" s="480" t="s">
        <v>667</v>
      </c>
      <c r="F9" s="480" t="s">
        <v>668</v>
      </c>
      <c r="G9" s="480" t="s">
        <v>669</v>
      </c>
      <c r="H9" s="480" t="s">
        <v>670</v>
      </c>
    </row>
    <row r="10" spans="1:8" s="485" customFormat="1" ht="15" customHeight="1" hidden="1">
      <c r="A10" s="1134" t="s">
        <v>664</v>
      </c>
      <c r="B10" s="1137" t="s">
        <v>671</v>
      </c>
      <c r="C10" s="1140">
        <v>80147</v>
      </c>
      <c r="D10" s="482" t="s">
        <v>13</v>
      </c>
      <c r="E10" s="483">
        <v>0</v>
      </c>
      <c r="F10" s="484">
        <v>33050</v>
      </c>
      <c r="G10" s="484">
        <v>33050</v>
      </c>
      <c r="H10" s="483">
        <v>0</v>
      </c>
    </row>
    <row r="11" spans="1:8" s="485" customFormat="1" ht="15" customHeight="1" hidden="1">
      <c r="A11" s="1135"/>
      <c r="B11" s="1138"/>
      <c r="C11" s="1141"/>
      <c r="D11" s="482" t="s">
        <v>14</v>
      </c>
      <c r="E11" s="483">
        <v>0</v>
      </c>
      <c r="F11" s="483">
        <v>0</v>
      </c>
      <c r="G11" s="483">
        <v>0</v>
      </c>
      <c r="H11" s="483">
        <v>0</v>
      </c>
    </row>
    <row r="12" spans="1:8" s="485" customFormat="1" ht="15" customHeight="1" hidden="1">
      <c r="A12" s="1136"/>
      <c r="B12" s="1139"/>
      <c r="C12" s="1142"/>
      <c r="D12" s="482" t="s">
        <v>15</v>
      </c>
      <c r="E12" s="483">
        <f>E10+E11</f>
        <v>0</v>
      </c>
      <c r="F12" s="483">
        <f>F10+F11</f>
        <v>33050</v>
      </c>
      <c r="G12" s="483">
        <f>G10+G11</f>
        <v>33050</v>
      </c>
      <c r="H12" s="483">
        <f>H10+H11</f>
        <v>0</v>
      </c>
    </row>
    <row r="13" spans="1:8" s="485" customFormat="1" ht="15" customHeight="1" hidden="1">
      <c r="A13" s="1134" t="s">
        <v>665</v>
      </c>
      <c r="B13" s="1137" t="s">
        <v>239</v>
      </c>
      <c r="C13" s="1140">
        <v>80146</v>
      </c>
      <c r="D13" s="482" t="s">
        <v>13</v>
      </c>
      <c r="E13" s="483">
        <v>0</v>
      </c>
      <c r="F13" s="484">
        <v>400000</v>
      </c>
      <c r="G13" s="484">
        <v>400000</v>
      </c>
      <c r="H13" s="483">
        <v>0</v>
      </c>
    </row>
    <row r="14" spans="1:8" s="485" customFormat="1" ht="15" customHeight="1" hidden="1">
      <c r="A14" s="1135"/>
      <c r="B14" s="1138"/>
      <c r="C14" s="1141"/>
      <c r="D14" s="482" t="s">
        <v>14</v>
      </c>
      <c r="E14" s="483">
        <v>0</v>
      </c>
      <c r="F14" s="483">
        <v>0</v>
      </c>
      <c r="G14" s="483">
        <v>0</v>
      </c>
      <c r="H14" s="483">
        <v>0</v>
      </c>
    </row>
    <row r="15" spans="1:8" s="485" customFormat="1" ht="15" customHeight="1" hidden="1">
      <c r="A15" s="1136"/>
      <c r="B15" s="1139"/>
      <c r="C15" s="1142"/>
      <c r="D15" s="482" t="s">
        <v>15</v>
      </c>
      <c r="E15" s="483">
        <f>E13+E14</f>
        <v>0</v>
      </c>
      <c r="F15" s="483">
        <f>F13+F14</f>
        <v>400000</v>
      </c>
      <c r="G15" s="483">
        <f>G13+G14</f>
        <v>400000</v>
      </c>
      <c r="H15" s="483">
        <f>H13+H14</f>
        <v>0</v>
      </c>
    </row>
    <row r="16" spans="1:8" s="485" customFormat="1" ht="15" customHeight="1" hidden="1">
      <c r="A16" s="1134" t="s">
        <v>666</v>
      </c>
      <c r="B16" s="1137" t="s">
        <v>672</v>
      </c>
      <c r="C16" s="1140">
        <v>80146</v>
      </c>
      <c r="D16" s="482" t="s">
        <v>13</v>
      </c>
      <c r="E16" s="483">
        <v>0</v>
      </c>
      <c r="F16" s="483">
        <v>320000</v>
      </c>
      <c r="G16" s="483">
        <v>320000</v>
      </c>
      <c r="H16" s="483">
        <v>0</v>
      </c>
    </row>
    <row r="17" spans="1:8" s="485" customFormat="1" ht="15" customHeight="1" hidden="1">
      <c r="A17" s="1135"/>
      <c r="B17" s="1138"/>
      <c r="C17" s="1141"/>
      <c r="D17" s="482" t="s">
        <v>14</v>
      </c>
      <c r="E17" s="483">
        <v>0</v>
      </c>
      <c r="F17" s="483"/>
      <c r="G17" s="483"/>
      <c r="H17" s="483">
        <v>0</v>
      </c>
    </row>
    <row r="18" spans="1:8" s="485" customFormat="1" ht="15" customHeight="1" hidden="1">
      <c r="A18" s="1136"/>
      <c r="B18" s="1139"/>
      <c r="C18" s="1142"/>
      <c r="D18" s="482" t="s">
        <v>15</v>
      </c>
      <c r="E18" s="483">
        <f>E16+E17</f>
        <v>0</v>
      </c>
      <c r="F18" s="483">
        <f>F16+F17</f>
        <v>320000</v>
      </c>
      <c r="G18" s="483">
        <f>G16+G17</f>
        <v>320000</v>
      </c>
      <c r="H18" s="483">
        <f>H16+H17</f>
        <v>0</v>
      </c>
    </row>
    <row r="19" spans="1:8" s="485" customFormat="1" ht="15" customHeight="1" hidden="1">
      <c r="A19" s="1134" t="s">
        <v>667</v>
      </c>
      <c r="B19" s="1137" t="s">
        <v>238</v>
      </c>
      <c r="C19" s="1140" t="s">
        <v>76</v>
      </c>
      <c r="D19" s="482" t="s">
        <v>13</v>
      </c>
      <c r="E19" s="483">
        <v>0</v>
      </c>
      <c r="F19" s="483">
        <f aca="true" t="shared" si="0" ref="F19:G21">F22+F25</f>
        <v>116500</v>
      </c>
      <c r="G19" s="483">
        <f t="shared" si="0"/>
        <v>116500</v>
      </c>
      <c r="H19" s="483">
        <v>0</v>
      </c>
    </row>
    <row r="20" spans="1:8" s="485" customFormat="1" ht="15" customHeight="1" hidden="1">
      <c r="A20" s="1135"/>
      <c r="B20" s="1138"/>
      <c r="C20" s="1141"/>
      <c r="D20" s="482" t="s">
        <v>14</v>
      </c>
      <c r="E20" s="483">
        <v>0</v>
      </c>
      <c r="F20" s="483">
        <f t="shared" si="0"/>
        <v>0</v>
      </c>
      <c r="G20" s="483">
        <f t="shared" si="0"/>
        <v>0</v>
      </c>
      <c r="H20" s="483">
        <v>0</v>
      </c>
    </row>
    <row r="21" spans="1:8" s="485" customFormat="1" ht="15" customHeight="1" hidden="1">
      <c r="A21" s="1135"/>
      <c r="B21" s="1138"/>
      <c r="C21" s="1142"/>
      <c r="D21" s="482" t="s">
        <v>15</v>
      </c>
      <c r="E21" s="483">
        <v>0</v>
      </c>
      <c r="F21" s="483">
        <f t="shared" si="0"/>
        <v>116500</v>
      </c>
      <c r="G21" s="483">
        <f t="shared" si="0"/>
        <v>116500</v>
      </c>
      <c r="H21" s="483">
        <v>0</v>
      </c>
    </row>
    <row r="22" spans="1:8" s="489" customFormat="1" ht="15" customHeight="1" hidden="1">
      <c r="A22" s="1143"/>
      <c r="B22" s="1144"/>
      <c r="C22" s="1145">
        <v>80146</v>
      </c>
      <c r="D22" s="487" t="s">
        <v>13</v>
      </c>
      <c r="E22" s="488">
        <v>0</v>
      </c>
      <c r="F22" s="488">
        <v>100800</v>
      </c>
      <c r="G22" s="488">
        <v>100800</v>
      </c>
      <c r="H22" s="488">
        <v>0</v>
      </c>
    </row>
    <row r="23" spans="1:8" s="489" customFormat="1" ht="15" customHeight="1" hidden="1">
      <c r="A23" s="1143"/>
      <c r="B23" s="1144"/>
      <c r="C23" s="1146"/>
      <c r="D23" s="487" t="s">
        <v>14</v>
      </c>
      <c r="E23" s="488">
        <v>0</v>
      </c>
      <c r="F23" s="488"/>
      <c r="G23" s="488"/>
      <c r="H23" s="488">
        <v>0</v>
      </c>
    </row>
    <row r="24" spans="1:8" s="489" customFormat="1" ht="15" customHeight="1" hidden="1">
      <c r="A24" s="1143"/>
      <c r="B24" s="1144"/>
      <c r="C24" s="1147"/>
      <c r="D24" s="487" t="s">
        <v>15</v>
      </c>
      <c r="E24" s="488">
        <v>0</v>
      </c>
      <c r="F24" s="488">
        <f>F22+F23</f>
        <v>100800</v>
      </c>
      <c r="G24" s="488">
        <f>G22+G23</f>
        <v>100800</v>
      </c>
      <c r="H24" s="488">
        <v>0</v>
      </c>
    </row>
    <row r="25" spans="1:8" s="489" customFormat="1" ht="15" customHeight="1" hidden="1">
      <c r="A25" s="1143"/>
      <c r="B25" s="1144"/>
      <c r="C25" s="1145">
        <v>80147</v>
      </c>
      <c r="D25" s="487" t="s">
        <v>13</v>
      </c>
      <c r="E25" s="488">
        <v>0</v>
      </c>
      <c r="F25" s="488">
        <v>15700</v>
      </c>
      <c r="G25" s="488">
        <v>15700</v>
      </c>
      <c r="H25" s="488">
        <v>0</v>
      </c>
    </row>
    <row r="26" spans="1:8" s="489" customFormat="1" ht="15" customHeight="1" hidden="1">
      <c r="A26" s="1143"/>
      <c r="B26" s="1144"/>
      <c r="C26" s="1146"/>
      <c r="D26" s="487" t="s">
        <v>14</v>
      </c>
      <c r="E26" s="488">
        <v>0</v>
      </c>
      <c r="F26" s="488"/>
      <c r="G26" s="488"/>
      <c r="H26" s="488">
        <v>0</v>
      </c>
    </row>
    <row r="27" spans="1:8" s="489" customFormat="1" ht="15" customHeight="1" hidden="1">
      <c r="A27" s="1148"/>
      <c r="B27" s="1149"/>
      <c r="C27" s="1147"/>
      <c r="D27" s="487" t="s">
        <v>15</v>
      </c>
      <c r="E27" s="488">
        <v>0</v>
      </c>
      <c r="F27" s="488">
        <f>F25+F26</f>
        <v>15700</v>
      </c>
      <c r="G27" s="488">
        <f>G25+G26</f>
        <v>15700</v>
      </c>
      <c r="H27" s="488">
        <v>0</v>
      </c>
    </row>
    <row r="28" spans="1:8" s="485" customFormat="1" ht="15" customHeight="1" hidden="1">
      <c r="A28" s="1134" t="s">
        <v>668</v>
      </c>
      <c r="B28" s="1137" t="s">
        <v>673</v>
      </c>
      <c r="C28" s="1140">
        <v>85410</v>
      </c>
      <c r="D28" s="482" t="s">
        <v>13</v>
      </c>
      <c r="E28" s="483">
        <v>0</v>
      </c>
      <c r="F28" s="483">
        <v>444150</v>
      </c>
      <c r="G28" s="483">
        <v>444150</v>
      </c>
      <c r="H28" s="483">
        <v>0</v>
      </c>
    </row>
    <row r="29" spans="1:8" s="485" customFormat="1" ht="15" customHeight="1" hidden="1">
      <c r="A29" s="1135"/>
      <c r="B29" s="1138"/>
      <c r="C29" s="1141"/>
      <c r="D29" s="482" t="s">
        <v>14</v>
      </c>
      <c r="E29" s="483">
        <v>0</v>
      </c>
      <c r="F29" s="483"/>
      <c r="G29" s="483"/>
      <c r="H29" s="483">
        <v>0</v>
      </c>
    </row>
    <row r="30" spans="1:8" s="485" customFormat="1" ht="15" customHeight="1" hidden="1">
      <c r="A30" s="1136"/>
      <c r="B30" s="1139"/>
      <c r="C30" s="1142"/>
      <c r="D30" s="482" t="s">
        <v>15</v>
      </c>
      <c r="E30" s="483">
        <f>E28+E29</f>
        <v>0</v>
      </c>
      <c r="F30" s="483">
        <f>F28+F29</f>
        <v>444150</v>
      </c>
      <c r="G30" s="483">
        <f>G28+G29</f>
        <v>444150</v>
      </c>
      <c r="H30" s="483">
        <f>H28+H29</f>
        <v>0</v>
      </c>
    </row>
    <row r="31" spans="1:8" s="485" customFormat="1" ht="15" customHeight="1" hidden="1">
      <c r="A31" s="1134" t="s">
        <v>669</v>
      </c>
      <c r="B31" s="1137" t="s">
        <v>674</v>
      </c>
      <c r="C31" s="1140"/>
      <c r="D31" s="482" t="s">
        <v>13</v>
      </c>
      <c r="E31" s="483">
        <f aca="true" t="shared" si="1" ref="E31:H33">E34+E37</f>
        <v>0</v>
      </c>
      <c r="F31" s="483">
        <f t="shared" si="1"/>
        <v>252000</v>
      </c>
      <c r="G31" s="483">
        <f t="shared" si="1"/>
        <v>252000</v>
      </c>
      <c r="H31" s="483">
        <f t="shared" si="1"/>
        <v>0</v>
      </c>
    </row>
    <row r="32" spans="1:8" s="485" customFormat="1" ht="15" customHeight="1" hidden="1">
      <c r="A32" s="1135"/>
      <c r="B32" s="1138"/>
      <c r="C32" s="1141"/>
      <c r="D32" s="482" t="s">
        <v>14</v>
      </c>
      <c r="E32" s="483">
        <f t="shared" si="1"/>
        <v>0</v>
      </c>
      <c r="F32" s="483">
        <f t="shared" si="1"/>
        <v>0</v>
      </c>
      <c r="G32" s="483">
        <f t="shared" si="1"/>
        <v>0</v>
      </c>
      <c r="H32" s="483">
        <f t="shared" si="1"/>
        <v>0</v>
      </c>
    </row>
    <row r="33" spans="1:8" s="485" customFormat="1" ht="15" customHeight="1" hidden="1">
      <c r="A33" s="1135"/>
      <c r="B33" s="1138"/>
      <c r="C33" s="1142"/>
      <c r="D33" s="482" t="s">
        <v>15</v>
      </c>
      <c r="E33" s="483">
        <f t="shared" si="1"/>
        <v>0</v>
      </c>
      <c r="F33" s="483">
        <f t="shared" si="1"/>
        <v>252000</v>
      </c>
      <c r="G33" s="483">
        <f t="shared" si="1"/>
        <v>252000</v>
      </c>
      <c r="H33" s="483">
        <f t="shared" si="1"/>
        <v>0</v>
      </c>
    </row>
    <row r="34" spans="1:8" s="485" customFormat="1" ht="15" customHeight="1" hidden="1">
      <c r="A34" s="1135"/>
      <c r="B34" s="490"/>
      <c r="C34" s="1145">
        <v>80113</v>
      </c>
      <c r="D34" s="487" t="s">
        <v>13</v>
      </c>
      <c r="E34" s="488">
        <v>0</v>
      </c>
      <c r="F34" s="488">
        <v>0</v>
      </c>
      <c r="G34" s="488">
        <v>0</v>
      </c>
      <c r="H34" s="488">
        <v>0</v>
      </c>
    </row>
    <row r="35" spans="1:8" s="485" customFormat="1" ht="15" customHeight="1" hidden="1">
      <c r="A35" s="1135"/>
      <c r="B35" s="491"/>
      <c r="C35" s="1146"/>
      <c r="D35" s="487" t="s">
        <v>14</v>
      </c>
      <c r="E35" s="488">
        <v>0</v>
      </c>
      <c r="F35" s="488"/>
      <c r="G35" s="488"/>
      <c r="H35" s="488">
        <v>0</v>
      </c>
    </row>
    <row r="36" spans="1:8" s="485" customFormat="1" ht="15" customHeight="1" hidden="1">
      <c r="A36" s="1135"/>
      <c r="B36" s="491"/>
      <c r="C36" s="1147"/>
      <c r="D36" s="487" t="s">
        <v>15</v>
      </c>
      <c r="E36" s="488">
        <f>E34+E35</f>
        <v>0</v>
      </c>
      <c r="F36" s="488">
        <f>F34+F35</f>
        <v>0</v>
      </c>
      <c r="G36" s="488">
        <f>G34+G35</f>
        <v>0</v>
      </c>
      <c r="H36" s="488">
        <f>H34+H35</f>
        <v>0</v>
      </c>
    </row>
    <row r="37" spans="1:8" s="485" customFormat="1" ht="15" customHeight="1" hidden="1">
      <c r="A37" s="1135"/>
      <c r="B37" s="486"/>
      <c r="C37" s="1145">
        <v>85403</v>
      </c>
      <c r="D37" s="492" t="s">
        <v>13</v>
      </c>
      <c r="E37" s="488"/>
      <c r="F37" s="488">
        <v>252000</v>
      </c>
      <c r="G37" s="488">
        <v>252000</v>
      </c>
      <c r="H37" s="488">
        <v>0</v>
      </c>
    </row>
    <row r="38" spans="1:8" s="485" customFormat="1" ht="15" customHeight="1" hidden="1">
      <c r="A38" s="1135"/>
      <c r="B38" s="486"/>
      <c r="C38" s="1146"/>
      <c r="D38" s="492" t="s">
        <v>14</v>
      </c>
      <c r="E38" s="488">
        <v>0</v>
      </c>
      <c r="F38" s="488"/>
      <c r="G38" s="488"/>
      <c r="H38" s="488">
        <v>0</v>
      </c>
    </row>
    <row r="39" spans="1:8" s="485" customFormat="1" ht="15" customHeight="1" hidden="1">
      <c r="A39" s="1136"/>
      <c r="B39" s="486"/>
      <c r="C39" s="1147"/>
      <c r="D39" s="492" t="s">
        <v>15</v>
      </c>
      <c r="E39" s="488">
        <f>E37+E38</f>
        <v>0</v>
      </c>
      <c r="F39" s="488">
        <f>F37+F38</f>
        <v>252000</v>
      </c>
      <c r="G39" s="488">
        <f>G37+G38</f>
        <v>252000</v>
      </c>
      <c r="H39" s="488">
        <f>H37+H38</f>
        <v>0</v>
      </c>
    </row>
    <row r="40" spans="1:8" s="493" customFormat="1" ht="15" customHeight="1" hidden="1">
      <c r="A40" s="1134" t="s">
        <v>670</v>
      </c>
      <c r="B40" s="1137" t="s">
        <v>675</v>
      </c>
      <c r="C40" s="1140">
        <v>85403</v>
      </c>
      <c r="D40" s="482" t="s">
        <v>13</v>
      </c>
      <c r="E40" s="483">
        <v>0</v>
      </c>
      <c r="F40" s="483">
        <v>320000</v>
      </c>
      <c r="G40" s="483">
        <v>320000</v>
      </c>
      <c r="H40" s="483">
        <v>0</v>
      </c>
    </row>
    <row r="41" spans="1:8" s="493" customFormat="1" ht="15" customHeight="1" hidden="1">
      <c r="A41" s="1135"/>
      <c r="B41" s="1138"/>
      <c r="C41" s="1141"/>
      <c r="D41" s="482" t="s">
        <v>14</v>
      </c>
      <c r="E41" s="483">
        <v>0</v>
      </c>
      <c r="F41" s="483"/>
      <c r="G41" s="483"/>
      <c r="H41" s="483">
        <v>0</v>
      </c>
    </row>
    <row r="42" spans="1:8" s="493" customFormat="1" ht="15" customHeight="1" hidden="1">
      <c r="A42" s="1136"/>
      <c r="B42" s="1139"/>
      <c r="C42" s="1142"/>
      <c r="D42" s="482" t="s">
        <v>15</v>
      </c>
      <c r="E42" s="483">
        <f>E40+E41</f>
        <v>0</v>
      </c>
      <c r="F42" s="483">
        <f>F40+F41</f>
        <v>320000</v>
      </c>
      <c r="G42" s="483">
        <f>G40+G41</f>
        <v>320000</v>
      </c>
      <c r="H42" s="483">
        <f>H40+H41</f>
        <v>0</v>
      </c>
    </row>
    <row r="43" spans="1:8" s="494" customFormat="1" ht="15" customHeight="1" hidden="1">
      <c r="A43" s="1134" t="s">
        <v>676</v>
      </c>
      <c r="B43" s="1137" t="s">
        <v>677</v>
      </c>
      <c r="C43" s="1140">
        <v>85403</v>
      </c>
      <c r="D43" s="482" t="s">
        <v>13</v>
      </c>
      <c r="E43" s="483">
        <v>0</v>
      </c>
      <c r="F43" s="483">
        <v>235000</v>
      </c>
      <c r="G43" s="483">
        <v>235000</v>
      </c>
      <c r="H43" s="483">
        <v>0</v>
      </c>
    </row>
    <row r="44" spans="1:8" s="494" customFormat="1" ht="15" customHeight="1" hidden="1">
      <c r="A44" s="1135"/>
      <c r="B44" s="1138"/>
      <c r="C44" s="1141"/>
      <c r="D44" s="482" t="s">
        <v>14</v>
      </c>
      <c r="E44" s="483">
        <v>0</v>
      </c>
      <c r="F44" s="483"/>
      <c r="G44" s="483"/>
      <c r="H44" s="483">
        <v>0</v>
      </c>
    </row>
    <row r="45" spans="1:8" s="494" customFormat="1" ht="15" customHeight="1" hidden="1">
      <c r="A45" s="1136"/>
      <c r="B45" s="1139"/>
      <c r="C45" s="1142"/>
      <c r="D45" s="482" t="s">
        <v>15</v>
      </c>
      <c r="E45" s="483">
        <f>E43+E44</f>
        <v>0</v>
      </c>
      <c r="F45" s="483">
        <f>F43+F44</f>
        <v>235000</v>
      </c>
      <c r="G45" s="483">
        <f>G43+G44</f>
        <v>235000</v>
      </c>
      <c r="H45" s="483">
        <f>H43+H44</f>
        <v>0</v>
      </c>
    </row>
    <row r="46" spans="1:8" s="485" customFormat="1" ht="15" customHeight="1" hidden="1">
      <c r="A46" s="1134" t="s">
        <v>678</v>
      </c>
      <c r="B46" s="1137" t="s">
        <v>679</v>
      </c>
      <c r="C46" s="1150">
        <v>80116</v>
      </c>
      <c r="D46" s="495" t="s">
        <v>13</v>
      </c>
      <c r="E46" s="483">
        <v>0</v>
      </c>
      <c r="F46" s="483">
        <v>15000</v>
      </c>
      <c r="G46" s="483">
        <v>15000</v>
      </c>
      <c r="H46" s="483">
        <v>0</v>
      </c>
    </row>
    <row r="47" spans="1:8" s="485" customFormat="1" ht="15" customHeight="1" hidden="1">
      <c r="A47" s="1135"/>
      <c r="B47" s="1138"/>
      <c r="C47" s="1151"/>
      <c r="D47" s="495" t="s">
        <v>14</v>
      </c>
      <c r="E47" s="483">
        <v>0</v>
      </c>
      <c r="F47" s="483"/>
      <c r="G47" s="483"/>
      <c r="H47" s="483">
        <v>0</v>
      </c>
    </row>
    <row r="48" spans="1:8" s="485" customFormat="1" ht="15" customHeight="1" hidden="1">
      <c r="A48" s="1136"/>
      <c r="B48" s="1138"/>
      <c r="C48" s="1152"/>
      <c r="D48" s="495" t="s">
        <v>15</v>
      </c>
      <c r="E48" s="483">
        <f>E46+E47</f>
        <v>0</v>
      </c>
      <c r="F48" s="483">
        <f>F46+F47</f>
        <v>15000</v>
      </c>
      <c r="G48" s="483">
        <f>G46+G47</f>
        <v>15000</v>
      </c>
      <c r="H48" s="483">
        <f>H46+H47</f>
        <v>0</v>
      </c>
    </row>
    <row r="49" spans="1:8" s="485" customFormat="1" ht="15" customHeight="1">
      <c r="A49" s="1134" t="s">
        <v>680</v>
      </c>
      <c r="B49" s="1137" t="s">
        <v>681</v>
      </c>
      <c r="C49" s="1140">
        <v>80116</v>
      </c>
      <c r="D49" s="482" t="s">
        <v>13</v>
      </c>
      <c r="E49" s="483">
        <v>0</v>
      </c>
      <c r="F49" s="483">
        <v>2550</v>
      </c>
      <c r="G49" s="483">
        <v>2550</v>
      </c>
      <c r="H49" s="483">
        <v>0</v>
      </c>
    </row>
    <row r="50" spans="1:8" s="485" customFormat="1" ht="15" customHeight="1">
      <c r="A50" s="1135"/>
      <c r="B50" s="1138"/>
      <c r="C50" s="1141"/>
      <c r="D50" s="482" t="s">
        <v>14</v>
      </c>
      <c r="E50" s="483">
        <v>0</v>
      </c>
      <c r="F50" s="483">
        <v>80</v>
      </c>
      <c r="G50" s="483">
        <v>80</v>
      </c>
      <c r="H50" s="483">
        <v>0</v>
      </c>
    </row>
    <row r="51" spans="1:8" s="485" customFormat="1" ht="15" customHeight="1">
      <c r="A51" s="1136"/>
      <c r="B51" s="1139"/>
      <c r="C51" s="1142"/>
      <c r="D51" s="482" t="s">
        <v>15</v>
      </c>
      <c r="E51" s="483">
        <f>E49+E50</f>
        <v>0</v>
      </c>
      <c r="F51" s="483">
        <f>F49+F50</f>
        <v>2630</v>
      </c>
      <c r="G51" s="483">
        <f>G49+G50</f>
        <v>2630</v>
      </c>
      <c r="H51" s="483">
        <f>H49+H50</f>
        <v>0</v>
      </c>
    </row>
    <row r="52" spans="1:8" s="485" customFormat="1" ht="15" customHeight="1" hidden="1">
      <c r="A52" s="1134" t="s">
        <v>682</v>
      </c>
      <c r="B52" s="1137" t="s">
        <v>683</v>
      </c>
      <c r="C52" s="1140">
        <v>80147</v>
      </c>
      <c r="D52" s="482" t="s">
        <v>13</v>
      </c>
      <c r="E52" s="483">
        <v>0</v>
      </c>
      <c r="F52" s="483">
        <v>15500</v>
      </c>
      <c r="G52" s="483">
        <v>15500</v>
      </c>
      <c r="H52" s="483">
        <v>0</v>
      </c>
    </row>
    <row r="53" spans="1:8" s="485" customFormat="1" ht="15" customHeight="1" hidden="1">
      <c r="A53" s="1135"/>
      <c r="B53" s="1138"/>
      <c r="C53" s="1141"/>
      <c r="D53" s="482" t="s">
        <v>14</v>
      </c>
      <c r="E53" s="483">
        <v>0</v>
      </c>
      <c r="F53" s="483">
        <v>0</v>
      </c>
      <c r="G53" s="483">
        <v>0</v>
      </c>
      <c r="H53" s="483">
        <v>0</v>
      </c>
    </row>
    <row r="54" spans="1:8" s="485" customFormat="1" ht="15" customHeight="1" hidden="1">
      <c r="A54" s="1136"/>
      <c r="B54" s="1139"/>
      <c r="C54" s="1142"/>
      <c r="D54" s="482" t="s">
        <v>15</v>
      </c>
      <c r="E54" s="483">
        <f>E52+E53</f>
        <v>0</v>
      </c>
      <c r="F54" s="483">
        <f>F52+F53</f>
        <v>15500</v>
      </c>
      <c r="G54" s="483">
        <f>G52+G53</f>
        <v>15500</v>
      </c>
      <c r="H54" s="483">
        <f>H52+H53</f>
        <v>0</v>
      </c>
    </row>
    <row r="55" spans="1:8" s="493" customFormat="1" ht="15" customHeight="1">
      <c r="A55" s="1134" t="s">
        <v>684</v>
      </c>
      <c r="B55" s="1137" t="s">
        <v>685</v>
      </c>
      <c r="C55" s="1140">
        <v>80102</v>
      </c>
      <c r="D55" s="482" t="s">
        <v>13</v>
      </c>
      <c r="E55" s="483">
        <v>0</v>
      </c>
      <c r="F55" s="483">
        <v>0</v>
      </c>
      <c r="G55" s="483">
        <v>0</v>
      </c>
      <c r="H55" s="483">
        <v>0</v>
      </c>
    </row>
    <row r="56" spans="1:8" s="493" customFormat="1" ht="15" customHeight="1">
      <c r="A56" s="1135"/>
      <c r="B56" s="1138"/>
      <c r="C56" s="1141"/>
      <c r="D56" s="482" t="s">
        <v>14</v>
      </c>
      <c r="E56" s="483">
        <v>0</v>
      </c>
      <c r="F56" s="483">
        <v>10100</v>
      </c>
      <c r="G56" s="483">
        <v>10100</v>
      </c>
      <c r="H56" s="483">
        <v>0</v>
      </c>
    </row>
    <row r="57" spans="1:8" s="493" customFormat="1" ht="15" customHeight="1">
      <c r="A57" s="1136"/>
      <c r="B57" s="1139"/>
      <c r="C57" s="1142"/>
      <c r="D57" s="482" t="s">
        <v>15</v>
      </c>
      <c r="E57" s="483">
        <f>E55+E56</f>
        <v>0</v>
      </c>
      <c r="F57" s="483">
        <f>F55+F56</f>
        <v>10100</v>
      </c>
      <c r="G57" s="483">
        <f>G55+G56</f>
        <v>10100</v>
      </c>
      <c r="H57" s="483">
        <f>H55+H56</f>
        <v>0</v>
      </c>
    </row>
    <row r="58" spans="1:8" s="498" customFormat="1" ht="20.25" customHeight="1">
      <c r="A58" s="1153"/>
      <c r="B58" s="1154" t="s">
        <v>266</v>
      </c>
      <c r="C58" s="1155"/>
      <c r="D58" s="496" t="s">
        <v>13</v>
      </c>
      <c r="E58" s="497">
        <f aca="true" t="shared" si="2" ref="E58:H60">E10+E13+E16+E19+E28+E52+E31+E40+E43+E55+E46+E49</f>
        <v>0</v>
      </c>
      <c r="F58" s="497">
        <f t="shared" si="2"/>
        <v>2153750</v>
      </c>
      <c r="G58" s="497">
        <f t="shared" si="2"/>
        <v>2153750</v>
      </c>
      <c r="H58" s="497">
        <f t="shared" si="2"/>
        <v>0</v>
      </c>
    </row>
    <row r="59" spans="1:8" s="470" customFormat="1" ht="20.25" customHeight="1">
      <c r="A59" s="1153"/>
      <c r="B59" s="1154"/>
      <c r="C59" s="1155"/>
      <c r="D59" s="496" t="s">
        <v>14</v>
      </c>
      <c r="E59" s="497">
        <f t="shared" si="2"/>
        <v>0</v>
      </c>
      <c r="F59" s="497">
        <f t="shared" si="2"/>
        <v>10180</v>
      </c>
      <c r="G59" s="497">
        <f t="shared" si="2"/>
        <v>10180</v>
      </c>
      <c r="H59" s="497">
        <f t="shared" si="2"/>
        <v>0</v>
      </c>
    </row>
    <row r="60" spans="1:8" s="470" customFormat="1" ht="20.25" customHeight="1">
      <c r="A60" s="1153"/>
      <c r="B60" s="1154"/>
      <c r="C60" s="1155"/>
      <c r="D60" s="496" t="s">
        <v>15</v>
      </c>
      <c r="E60" s="497">
        <f t="shared" si="2"/>
        <v>0</v>
      </c>
      <c r="F60" s="497">
        <f t="shared" si="2"/>
        <v>2163930</v>
      </c>
      <c r="G60" s="497">
        <f t="shared" si="2"/>
        <v>2163930</v>
      </c>
      <c r="H60" s="497">
        <f t="shared" si="2"/>
        <v>0</v>
      </c>
    </row>
    <row r="61" spans="1:8" s="470" customFormat="1" ht="12.75" customHeight="1">
      <c r="A61" s="466"/>
      <c r="B61" s="467"/>
      <c r="C61" s="468"/>
      <c r="D61" s="468"/>
      <c r="E61" s="472"/>
      <c r="F61" s="472"/>
      <c r="G61" s="472"/>
      <c r="H61" s="472"/>
    </row>
    <row r="62" spans="1:8" s="470" customFormat="1" ht="6.75" customHeight="1">
      <c r="A62" s="466"/>
      <c r="B62" s="467"/>
      <c r="C62" s="468"/>
      <c r="D62" s="468"/>
      <c r="E62" s="472"/>
      <c r="F62" s="472"/>
      <c r="G62" s="472"/>
      <c r="H62" s="472"/>
    </row>
    <row r="63" spans="1:8" s="503" customFormat="1" ht="15" customHeight="1">
      <c r="A63" s="499" t="s">
        <v>11</v>
      </c>
      <c r="B63" s="500" t="s">
        <v>686</v>
      </c>
      <c r="C63" s="501"/>
      <c r="D63" s="502"/>
      <c r="E63" s="502"/>
      <c r="F63" s="502"/>
      <c r="G63" s="502"/>
      <c r="H63" s="502"/>
    </row>
    <row r="64" spans="1:8" s="503" customFormat="1" ht="15" customHeight="1">
      <c r="A64" s="499"/>
      <c r="B64" s="500" t="s">
        <v>687</v>
      </c>
      <c r="C64" s="501"/>
      <c r="D64" s="502"/>
      <c r="E64" s="502"/>
      <c r="F64" s="502"/>
      <c r="G64" s="502"/>
      <c r="H64" s="502"/>
    </row>
    <row r="65" spans="1:8" s="470" customFormat="1" ht="15" customHeight="1">
      <c r="A65" s="499"/>
      <c r="B65" s="500" t="s">
        <v>43</v>
      </c>
      <c r="C65" s="501"/>
      <c r="D65" s="468"/>
      <c r="E65" s="472"/>
      <c r="F65" s="472"/>
      <c r="G65" s="472"/>
      <c r="H65" s="472"/>
    </row>
  </sheetData>
  <sheetProtection password="C25B" sheet="1"/>
  <mergeCells count="48">
    <mergeCell ref="A58:A60"/>
    <mergeCell ref="B58:B60"/>
    <mergeCell ref="C58:C60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B49:B51"/>
    <mergeCell ref="C49:C51"/>
    <mergeCell ref="A40:A42"/>
    <mergeCell ref="B40:B42"/>
    <mergeCell ref="C40:C42"/>
    <mergeCell ref="A43:A45"/>
    <mergeCell ref="B43:B45"/>
    <mergeCell ref="C43:C45"/>
    <mergeCell ref="A28:A30"/>
    <mergeCell ref="B28:B30"/>
    <mergeCell ref="C28:C30"/>
    <mergeCell ref="A31:A39"/>
    <mergeCell ref="B31:B33"/>
    <mergeCell ref="C31:C33"/>
    <mergeCell ref="C34:C36"/>
    <mergeCell ref="C37:C39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5:H5"/>
    <mergeCell ref="A10:A12"/>
    <mergeCell ref="B10:B12"/>
    <mergeCell ref="C10:C12"/>
    <mergeCell ref="A13:A15"/>
    <mergeCell ref="B13:B15"/>
    <mergeCell ref="C13:C1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55">
      <selection activeCell="C64" sqref="C64"/>
    </sheetView>
  </sheetViews>
  <sheetFormatPr defaultColWidth="8.796875" defaultRowHeight="14.25"/>
  <cols>
    <col min="1" max="1" width="7.59765625" style="294" customWidth="1"/>
    <col min="2" max="2" width="7.09765625" style="262" customWidth="1"/>
    <col min="3" max="3" width="37.3984375" style="263" customWidth="1"/>
    <col min="4" max="4" width="12.5" style="263" customWidth="1"/>
    <col min="5" max="5" width="10.8984375" style="263" customWidth="1"/>
    <col min="6" max="6" width="10.5" style="263" customWidth="1"/>
    <col min="7" max="7" width="12.5" style="263" customWidth="1"/>
    <col min="8" max="16384" width="9" style="263" customWidth="1"/>
  </cols>
  <sheetData>
    <row r="1" spans="1:7" ht="12.75">
      <c r="A1" s="261"/>
      <c r="D1" s="264"/>
      <c r="E1" s="265" t="s">
        <v>487</v>
      </c>
      <c r="F1" s="264"/>
      <c r="G1" s="264"/>
    </row>
    <row r="2" spans="1:7" ht="12.75">
      <c r="A2" s="261"/>
      <c r="D2" s="264"/>
      <c r="E2" s="265" t="s">
        <v>459</v>
      </c>
      <c r="F2" s="264"/>
      <c r="G2" s="264"/>
    </row>
    <row r="3" spans="1:7" ht="12.75">
      <c r="A3" s="261"/>
      <c r="D3" s="264"/>
      <c r="E3" s="265" t="s">
        <v>460</v>
      </c>
      <c r="F3" s="264"/>
      <c r="G3" s="264"/>
    </row>
    <row r="4" spans="1:7" ht="7.5" customHeight="1">
      <c r="A4" s="261"/>
      <c r="D4" s="264"/>
      <c r="E4" s="264"/>
      <c r="F4" s="264"/>
      <c r="G4" s="264"/>
    </row>
    <row r="5" spans="1:7" ht="48.75" customHeight="1">
      <c r="A5" s="793" t="s">
        <v>461</v>
      </c>
      <c r="B5" s="793"/>
      <c r="C5" s="793"/>
      <c r="D5" s="793"/>
      <c r="E5" s="793"/>
      <c r="F5" s="793"/>
      <c r="G5" s="793"/>
    </row>
    <row r="6" spans="1:7" ht="9.75" customHeight="1">
      <c r="A6" s="261"/>
      <c r="D6" s="264"/>
      <c r="E6" s="264"/>
      <c r="F6" s="264"/>
      <c r="G6" s="723" t="s">
        <v>0</v>
      </c>
    </row>
    <row r="7" spans="1:7" ht="34.5" customHeight="1">
      <c r="A7" s="266" t="s">
        <v>462</v>
      </c>
      <c r="B7" s="266" t="s">
        <v>2</v>
      </c>
      <c r="C7" s="267" t="s">
        <v>3</v>
      </c>
      <c r="D7" s="268" t="s">
        <v>463</v>
      </c>
      <c r="E7" s="268" t="s">
        <v>464</v>
      </c>
      <c r="F7" s="268" t="s">
        <v>6</v>
      </c>
      <c r="G7" s="268" t="s">
        <v>465</v>
      </c>
    </row>
    <row r="8" spans="1:7" ht="12.75">
      <c r="A8" s="269" t="s">
        <v>431</v>
      </c>
      <c r="B8" s="270" t="s">
        <v>432</v>
      </c>
      <c r="C8" s="269" t="s">
        <v>433</v>
      </c>
      <c r="D8" s="270" t="s">
        <v>434</v>
      </c>
      <c r="E8" s="269" t="s">
        <v>435</v>
      </c>
      <c r="F8" s="270" t="s">
        <v>436</v>
      </c>
      <c r="G8" s="269" t="s">
        <v>437</v>
      </c>
    </row>
    <row r="9" spans="1:7" s="275" customFormat="1" ht="17.25" customHeight="1">
      <c r="A9" s="271"/>
      <c r="B9" s="271"/>
      <c r="C9" s="272" t="s">
        <v>466</v>
      </c>
      <c r="D9" s="273">
        <v>1109075463</v>
      </c>
      <c r="E9" s="274">
        <f>E10+E13+E16+E21+E24+E27+E35+E38+E56+E60+E66+E70+E73+E78+E82</f>
        <v>15246261</v>
      </c>
      <c r="F9" s="274">
        <f>F10+F13+F16+F21+F24+F27+F35+F38+F56+F60+F66+F70+F73+F78+F82</f>
        <v>70517851</v>
      </c>
      <c r="G9" s="274">
        <f>D9+E9-F9</f>
        <v>1053803873</v>
      </c>
    </row>
    <row r="10" spans="1:7" s="33" customFormat="1" ht="15.75" customHeight="1">
      <c r="A10" s="276" t="s">
        <v>16</v>
      </c>
      <c r="B10" s="276" t="s">
        <v>365</v>
      </c>
      <c r="C10" s="277" t="s">
        <v>17</v>
      </c>
      <c r="D10" s="278">
        <v>12013271</v>
      </c>
      <c r="E10" s="278">
        <f>E11</f>
        <v>150</v>
      </c>
      <c r="F10" s="278">
        <v>0</v>
      </c>
      <c r="G10" s="278">
        <f>D10+E10-F10</f>
        <v>12013421</v>
      </c>
    </row>
    <row r="11" spans="1:7" s="33" customFormat="1" ht="15.75" customHeight="1">
      <c r="A11" s="279" t="s">
        <v>107</v>
      </c>
      <c r="B11" s="279" t="s">
        <v>365</v>
      </c>
      <c r="C11" s="280" t="s">
        <v>52</v>
      </c>
      <c r="D11" s="281">
        <v>13271</v>
      </c>
      <c r="E11" s="281">
        <f>E12</f>
        <v>150</v>
      </c>
      <c r="F11" s="281">
        <v>0</v>
      </c>
      <c r="G11" s="281">
        <f aca="true" t="shared" si="0" ref="G11:G74">D11+E11-F11</f>
        <v>13421</v>
      </c>
    </row>
    <row r="12" spans="1:7" ht="15.75" customHeight="1">
      <c r="A12" s="282" t="s">
        <v>365</v>
      </c>
      <c r="B12" s="282" t="s">
        <v>467</v>
      </c>
      <c r="C12" s="283" t="s">
        <v>468</v>
      </c>
      <c r="D12" s="284">
        <v>9150</v>
      </c>
      <c r="E12" s="284">
        <v>150</v>
      </c>
      <c r="F12" s="284">
        <v>0</v>
      </c>
      <c r="G12" s="284">
        <f t="shared" si="0"/>
        <v>9300</v>
      </c>
    </row>
    <row r="13" spans="1:7" s="33" customFormat="1" ht="15.75" customHeight="1">
      <c r="A13" s="285" t="s">
        <v>110</v>
      </c>
      <c r="B13" s="285" t="s">
        <v>365</v>
      </c>
      <c r="C13" s="277" t="s">
        <v>111</v>
      </c>
      <c r="D13" s="278">
        <v>4095727</v>
      </c>
      <c r="E13" s="278">
        <v>0</v>
      </c>
      <c r="F13" s="278">
        <f>F14</f>
        <v>16172</v>
      </c>
      <c r="G13" s="278">
        <f t="shared" si="0"/>
        <v>4079555</v>
      </c>
    </row>
    <row r="14" spans="1:7" s="33" customFormat="1" ht="15.75" customHeight="1">
      <c r="A14" s="279">
        <v>15095</v>
      </c>
      <c r="B14" s="279" t="s">
        <v>365</v>
      </c>
      <c r="C14" s="280" t="s">
        <v>52</v>
      </c>
      <c r="D14" s="281">
        <v>385458</v>
      </c>
      <c r="E14" s="281">
        <v>0</v>
      </c>
      <c r="F14" s="281">
        <f>F15</f>
        <v>16172</v>
      </c>
      <c r="G14" s="281">
        <f t="shared" si="0"/>
        <v>369286</v>
      </c>
    </row>
    <row r="15" spans="1:7" ht="76.5">
      <c r="A15" s="282" t="s">
        <v>365</v>
      </c>
      <c r="B15" s="282">
        <v>2058</v>
      </c>
      <c r="C15" s="283" t="s">
        <v>392</v>
      </c>
      <c r="D15" s="284">
        <v>385458</v>
      </c>
      <c r="E15" s="284">
        <v>0</v>
      </c>
      <c r="F15" s="284">
        <v>16172</v>
      </c>
      <c r="G15" s="284">
        <f t="shared" si="0"/>
        <v>369286</v>
      </c>
    </row>
    <row r="16" spans="1:7" s="33" customFormat="1" ht="15" customHeight="1">
      <c r="A16" s="285" t="s">
        <v>19</v>
      </c>
      <c r="B16" s="285" t="s">
        <v>365</v>
      </c>
      <c r="C16" s="277" t="s">
        <v>469</v>
      </c>
      <c r="D16" s="278">
        <v>90939252</v>
      </c>
      <c r="E16" s="278">
        <f>E17</f>
        <v>1559867</v>
      </c>
      <c r="F16" s="278">
        <v>0</v>
      </c>
      <c r="G16" s="278">
        <f t="shared" si="0"/>
        <v>92499119</v>
      </c>
    </row>
    <row r="17" spans="1:7" s="33" customFormat="1" ht="15" customHeight="1">
      <c r="A17" s="279">
        <v>60013</v>
      </c>
      <c r="B17" s="279" t="s">
        <v>365</v>
      </c>
      <c r="C17" s="280" t="s">
        <v>123</v>
      </c>
      <c r="D17" s="281">
        <v>38307201</v>
      </c>
      <c r="E17" s="281">
        <f>E18+E19+E20</f>
        <v>1559867</v>
      </c>
      <c r="F17" s="281">
        <v>0</v>
      </c>
      <c r="G17" s="281">
        <f t="shared" si="0"/>
        <v>39867068</v>
      </c>
    </row>
    <row r="18" spans="1:7" ht="15" customHeight="1">
      <c r="A18" s="282" t="s">
        <v>365</v>
      </c>
      <c r="B18" s="282" t="s">
        <v>467</v>
      </c>
      <c r="C18" s="283" t="s">
        <v>468</v>
      </c>
      <c r="D18" s="284">
        <v>52500</v>
      </c>
      <c r="E18" s="284">
        <v>50000</v>
      </c>
      <c r="F18" s="284">
        <v>0</v>
      </c>
      <c r="G18" s="284">
        <f t="shared" si="0"/>
        <v>102500</v>
      </c>
    </row>
    <row r="19" spans="1:7" ht="55.5" customHeight="1">
      <c r="A19" s="282" t="s">
        <v>365</v>
      </c>
      <c r="B19" s="282">
        <v>6300</v>
      </c>
      <c r="C19" s="283" t="s">
        <v>470</v>
      </c>
      <c r="D19" s="284">
        <v>300000</v>
      </c>
      <c r="E19" s="284">
        <v>478225</v>
      </c>
      <c r="F19" s="284">
        <v>0</v>
      </c>
      <c r="G19" s="284">
        <f t="shared" si="0"/>
        <v>778225</v>
      </c>
    </row>
    <row r="20" spans="1:7" ht="55.5" customHeight="1">
      <c r="A20" s="282" t="s">
        <v>365</v>
      </c>
      <c r="B20" s="282">
        <v>6309</v>
      </c>
      <c r="C20" s="283" t="s">
        <v>470</v>
      </c>
      <c r="D20" s="284">
        <v>9386970</v>
      </c>
      <c r="E20" s="284">
        <v>1031642</v>
      </c>
      <c r="F20" s="284">
        <v>0</v>
      </c>
      <c r="G20" s="284">
        <f t="shared" si="0"/>
        <v>10418612</v>
      </c>
    </row>
    <row r="21" spans="1:7" s="33" customFormat="1" ht="14.25" customHeight="1">
      <c r="A21" s="285" t="s">
        <v>69</v>
      </c>
      <c r="B21" s="285" t="s">
        <v>365</v>
      </c>
      <c r="C21" s="277" t="s">
        <v>70</v>
      </c>
      <c r="D21" s="278">
        <v>554529</v>
      </c>
      <c r="E21" s="278">
        <v>0</v>
      </c>
      <c r="F21" s="278">
        <f>F22</f>
        <v>7490</v>
      </c>
      <c r="G21" s="278">
        <f t="shared" si="0"/>
        <v>547039</v>
      </c>
    </row>
    <row r="22" spans="1:7" s="33" customFormat="1" ht="14.25" customHeight="1">
      <c r="A22" s="279">
        <v>63095</v>
      </c>
      <c r="B22" s="279" t="s">
        <v>365</v>
      </c>
      <c r="C22" s="280" t="s">
        <v>52</v>
      </c>
      <c r="D22" s="281">
        <v>544983</v>
      </c>
      <c r="E22" s="281">
        <v>0</v>
      </c>
      <c r="F22" s="281">
        <f>F23</f>
        <v>7490</v>
      </c>
      <c r="G22" s="281">
        <f t="shared" si="0"/>
        <v>537493</v>
      </c>
    </row>
    <row r="23" spans="1:7" ht="74.25" customHeight="1">
      <c r="A23" s="282" t="s">
        <v>365</v>
      </c>
      <c r="B23" s="282">
        <v>2058</v>
      </c>
      <c r="C23" s="283" t="s">
        <v>392</v>
      </c>
      <c r="D23" s="284">
        <v>253933</v>
      </c>
      <c r="E23" s="284">
        <v>0</v>
      </c>
      <c r="F23" s="284">
        <v>7490</v>
      </c>
      <c r="G23" s="284">
        <f t="shared" si="0"/>
        <v>246443</v>
      </c>
    </row>
    <row r="24" spans="1:7" s="33" customFormat="1" ht="15.75" customHeight="1">
      <c r="A24" s="285" t="s">
        <v>25</v>
      </c>
      <c r="B24" s="285" t="s">
        <v>365</v>
      </c>
      <c r="C24" s="277" t="s">
        <v>471</v>
      </c>
      <c r="D24" s="278">
        <v>370450</v>
      </c>
      <c r="E24" s="278">
        <f>E25</f>
        <v>40000</v>
      </c>
      <c r="F24" s="278">
        <v>0</v>
      </c>
      <c r="G24" s="278">
        <f t="shared" si="0"/>
        <v>410450</v>
      </c>
    </row>
    <row r="25" spans="1:7" s="33" customFormat="1" ht="15.75" customHeight="1">
      <c r="A25" s="279">
        <v>71004</v>
      </c>
      <c r="B25" s="279" t="s">
        <v>365</v>
      </c>
      <c r="C25" s="280" t="s">
        <v>131</v>
      </c>
      <c r="D25" s="281">
        <v>0</v>
      </c>
      <c r="E25" s="281">
        <f>E26</f>
        <v>40000</v>
      </c>
      <c r="F25" s="281">
        <v>0</v>
      </c>
      <c r="G25" s="281">
        <f t="shared" si="0"/>
        <v>40000</v>
      </c>
    </row>
    <row r="26" spans="1:7" ht="56.25" customHeight="1">
      <c r="A26" s="282" t="s">
        <v>365</v>
      </c>
      <c r="B26" s="282">
        <v>2460</v>
      </c>
      <c r="C26" s="283" t="s">
        <v>472</v>
      </c>
      <c r="D26" s="284">
        <v>0</v>
      </c>
      <c r="E26" s="284">
        <v>40000</v>
      </c>
      <c r="F26" s="284">
        <v>0</v>
      </c>
      <c r="G26" s="284">
        <f t="shared" si="0"/>
        <v>40000</v>
      </c>
    </row>
    <row r="27" spans="1:7" s="33" customFormat="1" ht="12.75">
      <c r="A27" s="285" t="s">
        <v>71</v>
      </c>
      <c r="B27" s="285" t="s">
        <v>365</v>
      </c>
      <c r="C27" s="277" t="s">
        <v>72</v>
      </c>
      <c r="D27" s="278">
        <v>865484</v>
      </c>
      <c r="E27" s="278">
        <f>E28</f>
        <v>23304</v>
      </c>
      <c r="F27" s="278">
        <f>F28</f>
        <v>10031</v>
      </c>
      <c r="G27" s="278">
        <f t="shared" si="0"/>
        <v>878757</v>
      </c>
    </row>
    <row r="28" spans="1:7" s="33" customFormat="1" ht="12.75">
      <c r="A28" s="279">
        <v>72095</v>
      </c>
      <c r="B28" s="279" t="s">
        <v>365</v>
      </c>
      <c r="C28" s="280" t="s">
        <v>52</v>
      </c>
      <c r="D28" s="281">
        <v>865484</v>
      </c>
      <c r="E28" s="281">
        <f>SUM(E29:E34)</f>
        <v>23304</v>
      </c>
      <c r="F28" s="281">
        <f>SUM(F29:F34)</f>
        <v>10031</v>
      </c>
      <c r="G28" s="281">
        <f t="shared" si="0"/>
        <v>878757</v>
      </c>
    </row>
    <row r="29" spans="1:7" ht="45.75" customHeight="1">
      <c r="A29" s="282" t="s">
        <v>365</v>
      </c>
      <c r="B29" s="282">
        <v>2310</v>
      </c>
      <c r="C29" s="283" t="s">
        <v>473</v>
      </c>
      <c r="D29" s="284">
        <v>736617</v>
      </c>
      <c r="E29" s="284">
        <v>10912</v>
      </c>
      <c r="F29" s="284">
        <v>0</v>
      </c>
      <c r="G29" s="284">
        <f t="shared" si="0"/>
        <v>747529</v>
      </c>
    </row>
    <row r="30" spans="1:7" ht="45.75" customHeight="1">
      <c r="A30" s="282" t="s">
        <v>365</v>
      </c>
      <c r="B30" s="282">
        <v>2319</v>
      </c>
      <c r="C30" s="283" t="s">
        <v>473</v>
      </c>
      <c r="D30" s="284">
        <v>37918</v>
      </c>
      <c r="E30" s="284">
        <v>12154</v>
      </c>
      <c r="F30" s="284">
        <v>0</v>
      </c>
      <c r="G30" s="284">
        <f t="shared" si="0"/>
        <v>50072</v>
      </c>
    </row>
    <row r="31" spans="1:7" ht="45.75" customHeight="1">
      <c r="A31" s="282" t="s">
        <v>365</v>
      </c>
      <c r="B31" s="282">
        <v>2329</v>
      </c>
      <c r="C31" s="283" t="s">
        <v>474</v>
      </c>
      <c r="D31" s="284">
        <v>27910</v>
      </c>
      <c r="E31" s="284">
        <v>0</v>
      </c>
      <c r="F31" s="284">
        <v>10031</v>
      </c>
      <c r="G31" s="284">
        <f t="shared" si="0"/>
        <v>17879</v>
      </c>
    </row>
    <row r="32" spans="1:7" ht="54.75" customHeight="1">
      <c r="A32" s="286" t="s">
        <v>365</v>
      </c>
      <c r="B32" s="286">
        <v>2469</v>
      </c>
      <c r="C32" s="287" t="s">
        <v>472</v>
      </c>
      <c r="D32" s="288">
        <v>354</v>
      </c>
      <c r="E32" s="288">
        <v>185</v>
      </c>
      <c r="F32" s="288">
        <v>0</v>
      </c>
      <c r="G32" s="288">
        <f t="shared" si="0"/>
        <v>539</v>
      </c>
    </row>
    <row r="33" spans="1:7" ht="68.25" customHeight="1">
      <c r="A33" s="289" t="s">
        <v>365</v>
      </c>
      <c r="B33" s="289">
        <v>6289</v>
      </c>
      <c r="C33" s="290" t="s">
        <v>475</v>
      </c>
      <c r="D33" s="291">
        <v>58590</v>
      </c>
      <c r="E33" s="291">
        <v>51</v>
      </c>
      <c r="F33" s="291">
        <v>0</v>
      </c>
      <c r="G33" s="291">
        <f t="shared" si="0"/>
        <v>58641</v>
      </c>
    </row>
    <row r="34" spans="1:7" ht="55.5" customHeight="1">
      <c r="A34" s="282" t="s">
        <v>365</v>
      </c>
      <c r="B34" s="282">
        <v>6299</v>
      </c>
      <c r="C34" s="283" t="s">
        <v>476</v>
      </c>
      <c r="D34" s="284">
        <v>4095</v>
      </c>
      <c r="E34" s="284">
        <v>2</v>
      </c>
      <c r="F34" s="284">
        <v>0</v>
      </c>
      <c r="G34" s="284">
        <f t="shared" si="0"/>
        <v>4097</v>
      </c>
    </row>
    <row r="35" spans="1:7" s="33" customFormat="1" ht="15.75" customHeight="1">
      <c r="A35" s="285" t="s">
        <v>28</v>
      </c>
      <c r="B35" s="285" t="s">
        <v>365</v>
      </c>
      <c r="C35" s="277" t="s">
        <v>29</v>
      </c>
      <c r="D35" s="278">
        <v>3040615</v>
      </c>
      <c r="E35" s="278">
        <f>E36</f>
        <v>2800</v>
      </c>
      <c r="F35" s="278">
        <v>0</v>
      </c>
      <c r="G35" s="278">
        <f t="shared" si="0"/>
        <v>3043415</v>
      </c>
    </row>
    <row r="36" spans="1:7" s="33" customFormat="1" ht="15.75" customHeight="1">
      <c r="A36" s="279">
        <v>75095</v>
      </c>
      <c r="B36" s="279" t="s">
        <v>365</v>
      </c>
      <c r="C36" s="280" t="s">
        <v>52</v>
      </c>
      <c r="D36" s="281">
        <v>1500000</v>
      </c>
      <c r="E36" s="281">
        <f>E37</f>
        <v>2800</v>
      </c>
      <c r="F36" s="281">
        <v>0</v>
      </c>
      <c r="G36" s="281">
        <f t="shared" si="0"/>
        <v>1502800</v>
      </c>
    </row>
    <row r="37" spans="1:7" ht="60" customHeight="1">
      <c r="A37" s="282" t="s">
        <v>365</v>
      </c>
      <c r="B37" s="282">
        <v>2460</v>
      </c>
      <c r="C37" s="283" t="s">
        <v>472</v>
      </c>
      <c r="D37" s="284">
        <v>0</v>
      </c>
      <c r="E37" s="284">
        <v>2800</v>
      </c>
      <c r="F37" s="284">
        <v>0</v>
      </c>
      <c r="G37" s="284">
        <f t="shared" si="0"/>
        <v>2800</v>
      </c>
    </row>
    <row r="38" spans="1:7" s="33" customFormat="1" ht="16.5" customHeight="1">
      <c r="A38" s="285" t="s">
        <v>149</v>
      </c>
      <c r="B38" s="285" t="s">
        <v>365</v>
      </c>
      <c r="C38" s="277" t="s">
        <v>150</v>
      </c>
      <c r="D38" s="278">
        <v>657159540</v>
      </c>
      <c r="E38" s="278">
        <f>E39+E41+E43+E49</f>
        <v>12072189</v>
      </c>
      <c r="F38" s="278">
        <f>F39+F41+F43+F49</f>
        <v>70483908</v>
      </c>
      <c r="G38" s="278">
        <f t="shared" si="0"/>
        <v>598747821</v>
      </c>
    </row>
    <row r="39" spans="1:7" s="33" customFormat="1" ht="25.5">
      <c r="A39" s="279">
        <v>75801</v>
      </c>
      <c r="B39" s="279" t="s">
        <v>365</v>
      </c>
      <c r="C39" s="280" t="s">
        <v>361</v>
      </c>
      <c r="D39" s="281">
        <v>59737098</v>
      </c>
      <c r="E39" s="281">
        <v>0</v>
      </c>
      <c r="F39" s="281">
        <f>F40</f>
        <v>1984850</v>
      </c>
      <c r="G39" s="281">
        <f t="shared" si="0"/>
        <v>57752248</v>
      </c>
    </row>
    <row r="40" spans="1:7" ht="17.25" customHeight="1">
      <c r="A40" s="282" t="s">
        <v>365</v>
      </c>
      <c r="B40" s="282">
        <v>2920</v>
      </c>
      <c r="C40" s="283" t="s">
        <v>477</v>
      </c>
      <c r="D40" s="284">
        <v>59737098</v>
      </c>
      <c r="E40" s="284">
        <v>0</v>
      </c>
      <c r="F40" s="284">
        <v>1984850</v>
      </c>
      <c r="G40" s="284">
        <f t="shared" si="0"/>
        <v>57752248</v>
      </c>
    </row>
    <row r="41" spans="1:7" s="33" customFormat="1" ht="17.25" customHeight="1">
      <c r="A41" s="279">
        <v>75833</v>
      </c>
      <c r="B41" s="279" t="s">
        <v>365</v>
      </c>
      <c r="C41" s="280" t="s">
        <v>478</v>
      </c>
      <c r="D41" s="281">
        <v>60403478</v>
      </c>
      <c r="E41" s="281">
        <v>0</v>
      </c>
      <c r="F41" s="281">
        <f>F42</f>
        <v>4871179</v>
      </c>
      <c r="G41" s="281">
        <f t="shared" si="0"/>
        <v>55532299</v>
      </c>
    </row>
    <row r="42" spans="1:7" ht="17.25" customHeight="1">
      <c r="A42" s="282" t="s">
        <v>365</v>
      </c>
      <c r="B42" s="282">
        <v>2920</v>
      </c>
      <c r="C42" s="283" t="s">
        <v>477</v>
      </c>
      <c r="D42" s="284">
        <v>60403478</v>
      </c>
      <c r="E42" s="284">
        <v>0</v>
      </c>
      <c r="F42" s="284">
        <v>4871179</v>
      </c>
      <c r="G42" s="284">
        <f t="shared" si="0"/>
        <v>55532299</v>
      </c>
    </row>
    <row r="43" spans="1:7" s="33" customFormat="1" ht="38.25">
      <c r="A43" s="279">
        <v>75863</v>
      </c>
      <c r="B43" s="279" t="s">
        <v>365</v>
      </c>
      <c r="C43" s="280" t="s">
        <v>479</v>
      </c>
      <c r="D43" s="281">
        <v>325183673</v>
      </c>
      <c r="E43" s="281">
        <f>SUM(E44:E48)</f>
        <v>7806648</v>
      </c>
      <c r="F43" s="281">
        <f>SUM(F44:F48)</f>
        <v>63356265</v>
      </c>
      <c r="G43" s="281">
        <f t="shared" si="0"/>
        <v>269634056</v>
      </c>
    </row>
    <row r="44" spans="1:7" ht="79.5" customHeight="1">
      <c r="A44" s="282" t="s">
        <v>365</v>
      </c>
      <c r="B44" s="282">
        <v>2007</v>
      </c>
      <c r="C44" s="283" t="s">
        <v>480</v>
      </c>
      <c r="D44" s="284">
        <v>3332520</v>
      </c>
      <c r="E44" s="284">
        <v>1760181</v>
      </c>
      <c r="F44" s="284">
        <v>0</v>
      </c>
      <c r="G44" s="284">
        <f t="shared" si="0"/>
        <v>5092701</v>
      </c>
    </row>
    <row r="45" spans="1:7" ht="75" customHeight="1">
      <c r="A45" s="282" t="s">
        <v>365</v>
      </c>
      <c r="B45" s="282">
        <v>2057</v>
      </c>
      <c r="C45" s="283" t="s">
        <v>392</v>
      </c>
      <c r="D45" s="284">
        <v>22676342</v>
      </c>
      <c r="E45" s="284">
        <v>979320</v>
      </c>
      <c r="F45" s="284">
        <v>0</v>
      </c>
      <c r="G45" s="284">
        <f t="shared" si="0"/>
        <v>23655662</v>
      </c>
    </row>
    <row r="46" spans="1:7" ht="79.5" customHeight="1">
      <c r="A46" s="282" t="s">
        <v>365</v>
      </c>
      <c r="B46" s="282">
        <v>6207</v>
      </c>
      <c r="C46" s="283" t="s">
        <v>481</v>
      </c>
      <c r="D46" s="284">
        <v>61562693</v>
      </c>
      <c r="E46" s="284">
        <v>5067147</v>
      </c>
      <c r="F46" s="284">
        <v>0</v>
      </c>
      <c r="G46" s="284">
        <f t="shared" si="0"/>
        <v>66629840</v>
      </c>
    </row>
    <row r="47" spans="1:7" ht="79.5" customHeight="1">
      <c r="A47" s="282" t="s">
        <v>365</v>
      </c>
      <c r="B47" s="282">
        <v>6209</v>
      </c>
      <c r="C47" s="283" t="s">
        <v>481</v>
      </c>
      <c r="D47" s="284">
        <v>8610091</v>
      </c>
      <c r="E47" s="284">
        <v>0</v>
      </c>
      <c r="F47" s="284">
        <v>761907</v>
      </c>
      <c r="G47" s="284">
        <f t="shared" si="0"/>
        <v>7848184</v>
      </c>
    </row>
    <row r="48" spans="1:7" ht="74.25" customHeight="1">
      <c r="A48" s="282" t="s">
        <v>365</v>
      </c>
      <c r="B48" s="282">
        <v>6257</v>
      </c>
      <c r="C48" s="283" t="s">
        <v>412</v>
      </c>
      <c r="D48" s="284">
        <v>229002027</v>
      </c>
      <c r="E48" s="284">
        <v>0</v>
      </c>
      <c r="F48" s="284">
        <v>62594358</v>
      </c>
      <c r="G48" s="284">
        <f t="shared" si="0"/>
        <v>166407669</v>
      </c>
    </row>
    <row r="49" spans="1:7" s="33" customFormat="1" ht="43.5" customHeight="1">
      <c r="A49" s="279">
        <v>75864</v>
      </c>
      <c r="B49" s="279" t="s">
        <v>365</v>
      </c>
      <c r="C49" s="280" t="s">
        <v>482</v>
      </c>
      <c r="D49" s="281">
        <v>89743680</v>
      </c>
      <c r="E49" s="281">
        <f>SUM(E50:E55)</f>
        <v>4265541</v>
      </c>
      <c r="F49" s="281">
        <f>SUM(F50:F55)</f>
        <v>271614</v>
      </c>
      <c r="G49" s="281">
        <f t="shared" si="0"/>
        <v>93737607</v>
      </c>
    </row>
    <row r="50" spans="1:7" ht="81" customHeight="1">
      <c r="A50" s="286" t="s">
        <v>365</v>
      </c>
      <c r="B50" s="286">
        <v>2007</v>
      </c>
      <c r="C50" s="287" t="s">
        <v>480</v>
      </c>
      <c r="D50" s="288">
        <v>21203853</v>
      </c>
      <c r="E50" s="288">
        <v>1833179</v>
      </c>
      <c r="F50" s="288">
        <v>0</v>
      </c>
      <c r="G50" s="288">
        <f t="shared" si="0"/>
        <v>23037032</v>
      </c>
    </row>
    <row r="51" spans="1:7" ht="81" customHeight="1">
      <c r="A51" s="289" t="s">
        <v>365</v>
      </c>
      <c r="B51" s="289">
        <v>2009</v>
      </c>
      <c r="C51" s="290" t="s">
        <v>480</v>
      </c>
      <c r="D51" s="291">
        <v>23167260</v>
      </c>
      <c r="E51" s="291">
        <v>0</v>
      </c>
      <c r="F51" s="291">
        <v>190614</v>
      </c>
      <c r="G51" s="291">
        <f t="shared" si="0"/>
        <v>22976646</v>
      </c>
    </row>
    <row r="52" spans="1:7" ht="74.25" customHeight="1">
      <c r="A52" s="282" t="s">
        <v>365</v>
      </c>
      <c r="B52" s="282">
        <v>2057</v>
      </c>
      <c r="C52" s="283" t="s">
        <v>392</v>
      </c>
      <c r="D52" s="284">
        <v>10483827</v>
      </c>
      <c r="E52" s="284">
        <v>1479841</v>
      </c>
      <c r="F52" s="284">
        <v>0</v>
      </c>
      <c r="G52" s="284">
        <f t="shared" si="0"/>
        <v>11963668</v>
      </c>
    </row>
    <row r="53" spans="1:7" ht="74.25" customHeight="1">
      <c r="A53" s="282" t="s">
        <v>365</v>
      </c>
      <c r="B53" s="282">
        <v>2058</v>
      </c>
      <c r="C53" s="283" t="s">
        <v>392</v>
      </c>
      <c r="D53" s="284">
        <v>33069650</v>
      </c>
      <c r="E53" s="284">
        <v>761907</v>
      </c>
      <c r="F53" s="284">
        <v>0</v>
      </c>
      <c r="G53" s="284">
        <f t="shared" si="0"/>
        <v>33831557</v>
      </c>
    </row>
    <row r="54" spans="1:7" ht="74.25" customHeight="1">
      <c r="A54" s="282" t="s">
        <v>365</v>
      </c>
      <c r="B54" s="282">
        <v>2059</v>
      </c>
      <c r="C54" s="283" t="s">
        <v>392</v>
      </c>
      <c r="D54" s="284">
        <v>1286740</v>
      </c>
      <c r="E54" s="284">
        <v>190614</v>
      </c>
      <c r="F54" s="284">
        <v>0</v>
      </c>
      <c r="G54" s="284">
        <f t="shared" si="0"/>
        <v>1477354</v>
      </c>
    </row>
    <row r="55" spans="1:7" ht="74.25" customHeight="1">
      <c r="A55" s="282" t="s">
        <v>365</v>
      </c>
      <c r="B55" s="282">
        <v>6257</v>
      </c>
      <c r="C55" s="283" t="s">
        <v>412</v>
      </c>
      <c r="D55" s="284">
        <v>81000</v>
      </c>
      <c r="E55" s="284">
        <v>0</v>
      </c>
      <c r="F55" s="284">
        <v>81000</v>
      </c>
      <c r="G55" s="284">
        <f t="shared" si="0"/>
        <v>0</v>
      </c>
    </row>
    <row r="56" spans="1:7" s="33" customFormat="1" ht="16.5" customHeight="1">
      <c r="A56" s="285" t="s">
        <v>31</v>
      </c>
      <c r="B56" s="285" t="s">
        <v>365</v>
      </c>
      <c r="C56" s="277" t="s">
        <v>32</v>
      </c>
      <c r="D56" s="278">
        <v>1483915</v>
      </c>
      <c r="E56" s="278">
        <f>E57</f>
        <v>36404</v>
      </c>
      <c r="F56" s="278">
        <v>0</v>
      </c>
      <c r="G56" s="278">
        <f t="shared" si="0"/>
        <v>1520319</v>
      </c>
    </row>
    <row r="57" spans="1:7" s="33" customFormat="1" ht="16.5" customHeight="1">
      <c r="A57" s="279">
        <v>80195</v>
      </c>
      <c r="B57" s="279" t="s">
        <v>365</v>
      </c>
      <c r="C57" s="280" t="s">
        <v>52</v>
      </c>
      <c r="D57" s="281">
        <v>323435</v>
      </c>
      <c r="E57" s="281">
        <f>E58+E59</f>
        <v>36404</v>
      </c>
      <c r="F57" s="281">
        <v>0</v>
      </c>
      <c r="G57" s="281">
        <f t="shared" si="0"/>
        <v>359839</v>
      </c>
    </row>
    <row r="58" spans="1:7" ht="76.5">
      <c r="A58" s="282" t="s">
        <v>365</v>
      </c>
      <c r="B58" s="282">
        <v>2057</v>
      </c>
      <c r="C58" s="283" t="s">
        <v>392</v>
      </c>
      <c r="D58" s="284">
        <v>288116</v>
      </c>
      <c r="E58" s="284">
        <v>30681</v>
      </c>
      <c r="F58" s="284">
        <v>0</v>
      </c>
      <c r="G58" s="284">
        <f t="shared" si="0"/>
        <v>318797</v>
      </c>
    </row>
    <row r="59" spans="1:7" ht="81" customHeight="1">
      <c r="A59" s="282" t="s">
        <v>365</v>
      </c>
      <c r="B59" s="282">
        <v>2059</v>
      </c>
      <c r="C59" s="283" t="s">
        <v>392</v>
      </c>
      <c r="D59" s="284">
        <v>35319</v>
      </c>
      <c r="E59" s="284">
        <v>5723</v>
      </c>
      <c r="F59" s="284">
        <v>0</v>
      </c>
      <c r="G59" s="284">
        <f t="shared" si="0"/>
        <v>41042</v>
      </c>
    </row>
    <row r="60" spans="1:7" s="33" customFormat="1" ht="16.5" customHeight="1">
      <c r="A60" s="285" t="s">
        <v>34</v>
      </c>
      <c r="B60" s="285" t="s">
        <v>365</v>
      </c>
      <c r="C60" s="277" t="s">
        <v>35</v>
      </c>
      <c r="D60" s="278">
        <v>64002</v>
      </c>
      <c r="E60" s="278">
        <f>E61+E63</f>
        <v>22277</v>
      </c>
      <c r="F60" s="278">
        <f>F61+F63</f>
        <v>250</v>
      </c>
      <c r="G60" s="278">
        <f t="shared" si="0"/>
        <v>86029</v>
      </c>
    </row>
    <row r="61" spans="1:7" s="33" customFormat="1" ht="16.5" customHeight="1">
      <c r="A61" s="279">
        <v>85157</v>
      </c>
      <c r="B61" s="279" t="s">
        <v>365</v>
      </c>
      <c r="C61" s="280" t="s">
        <v>362</v>
      </c>
      <c r="D61" s="281">
        <v>0</v>
      </c>
      <c r="E61" s="281">
        <f>E62</f>
        <v>16359</v>
      </c>
      <c r="F61" s="281">
        <f>F62</f>
        <v>0</v>
      </c>
      <c r="G61" s="281">
        <f t="shared" si="0"/>
        <v>16359</v>
      </c>
    </row>
    <row r="62" spans="1:7" ht="16.5" customHeight="1">
      <c r="A62" s="282" t="s">
        <v>365</v>
      </c>
      <c r="B62" s="282" t="s">
        <v>467</v>
      </c>
      <c r="C62" s="283" t="s">
        <v>468</v>
      </c>
      <c r="D62" s="284">
        <v>0</v>
      </c>
      <c r="E62" s="284">
        <v>16359</v>
      </c>
      <c r="F62" s="284">
        <v>0</v>
      </c>
      <c r="G62" s="284">
        <f t="shared" si="0"/>
        <v>16359</v>
      </c>
    </row>
    <row r="63" spans="1:7" s="33" customFormat="1" ht="16.5" customHeight="1">
      <c r="A63" s="279">
        <v>85195</v>
      </c>
      <c r="B63" s="279" t="s">
        <v>365</v>
      </c>
      <c r="C63" s="280" t="s">
        <v>52</v>
      </c>
      <c r="D63" s="281">
        <v>48002</v>
      </c>
      <c r="E63" s="281">
        <f>E64+E65</f>
        <v>5918</v>
      </c>
      <c r="F63" s="281">
        <f>F64+F65</f>
        <v>250</v>
      </c>
      <c r="G63" s="281">
        <f t="shared" si="0"/>
        <v>53670</v>
      </c>
    </row>
    <row r="64" spans="1:7" ht="75" customHeight="1">
      <c r="A64" s="282" t="s">
        <v>365</v>
      </c>
      <c r="B64" s="282">
        <v>2057</v>
      </c>
      <c r="C64" s="283" t="s">
        <v>392</v>
      </c>
      <c r="D64" s="284">
        <v>33416</v>
      </c>
      <c r="E64" s="284">
        <v>5918</v>
      </c>
      <c r="F64" s="284">
        <v>0</v>
      </c>
      <c r="G64" s="284">
        <f t="shared" si="0"/>
        <v>39334</v>
      </c>
    </row>
    <row r="65" spans="1:7" ht="75" customHeight="1">
      <c r="A65" s="282" t="s">
        <v>365</v>
      </c>
      <c r="B65" s="282">
        <v>2059</v>
      </c>
      <c r="C65" s="283" t="s">
        <v>392</v>
      </c>
      <c r="D65" s="284">
        <v>2586</v>
      </c>
      <c r="E65" s="284">
        <v>0</v>
      </c>
      <c r="F65" s="284">
        <v>250</v>
      </c>
      <c r="G65" s="284">
        <f t="shared" si="0"/>
        <v>2336</v>
      </c>
    </row>
    <row r="66" spans="1:7" s="33" customFormat="1" ht="18" customHeight="1">
      <c r="A66" s="285" t="s">
        <v>240</v>
      </c>
      <c r="B66" s="285" t="s">
        <v>365</v>
      </c>
      <c r="C66" s="277" t="s">
        <v>36</v>
      </c>
      <c r="D66" s="278">
        <v>5096967</v>
      </c>
      <c r="E66" s="278">
        <v>388916</v>
      </c>
      <c r="F66" s="278">
        <v>0</v>
      </c>
      <c r="G66" s="278">
        <f t="shared" si="0"/>
        <v>5485883</v>
      </c>
    </row>
    <row r="67" spans="1:7" s="33" customFormat="1" ht="18" customHeight="1">
      <c r="A67" s="279">
        <v>85295</v>
      </c>
      <c r="B67" s="279" t="s">
        <v>365</v>
      </c>
      <c r="C67" s="280" t="s">
        <v>52</v>
      </c>
      <c r="D67" s="281">
        <v>4916967</v>
      </c>
      <c r="E67" s="281">
        <f>SUM(E68:E69)</f>
        <v>388916</v>
      </c>
      <c r="F67" s="281">
        <v>0</v>
      </c>
      <c r="G67" s="281">
        <f t="shared" si="0"/>
        <v>5305883</v>
      </c>
    </row>
    <row r="68" spans="1:7" ht="81" customHeight="1">
      <c r="A68" s="286" t="s">
        <v>365</v>
      </c>
      <c r="B68" s="286">
        <v>2057</v>
      </c>
      <c r="C68" s="287" t="s">
        <v>392</v>
      </c>
      <c r="D68" s="288">
        <v>1049362</v>
      </c>
      <c r="E68" s="288">
        <v>359929</v>
      </c>
      <c r="F68" s="288">
        <v>0</v>
      </c>
      <c r="G68" s="288">
        <f t="shared" si="0"/>
        <v>1409291</v>
      </c>
    </row>
    <row r="69" spans="1:7" ht="81" customHeight="1">
      <c r="A69" s="295" t="s">
        <v>365</v>
      </c>
      <c r="B69" s="295">
        <v>2059</v>
      </c>
      <c r="C69" s="296" t="s">
        <v>392</v>
      </c>
      <c r="D69" s="297">
        <v>125901</v>
      </c>
      <c r="E69" s="297">
        <v>28987</v>
      </c>
      <c r="F69" s="297">
        <v>0</v>
      </c>
      <c r="G69" s="297">
        <f t="shared" si="0"/>
        <v>154888</v>
      </c>
    </row>
    <row r="70" spans="1:7" s="33" customFormat="1" ht="30.75" customHeight="1">
      <c r="A70" s="285" t="s">
        <v>77</v>
      </c>
      <c r="B70" s="285" t="s">
        <v>365</v>
      </c>
      <c r="C70" s="277" t="s">
        <v>37</v>
      </c>
      <c r="D70" s="278">
        <v>7806586</v>
      </c>
      <c r="E70" s="278">
        <f>E71</f>
        <v>62794</v>
      </c>
      <c r="F70" s="278">
        <v>0</v>
      </c>
      <c r="G70" s="278">
        <f t="shared" si="0"/>
        <v>7869380</v>
      </c>
    </row>
    <row r="71" spans="1:7" s="33" customFormat="1" ht="28.5" customHeight="1">
      <c r="A71" s="279">
        <v>85324</v>
      </c>
      <c r="B71" s="279" t="s">
        <v>365</v>
      </c>
      <c r="C71" s="280" t="s">
        <v>184</v>
      </c>
      <c r="D71" s="281">
        <v>2155251</v>
      </c>
      <c r="E71" s="281">
        <f>E72</f>
        <v>62794</v>
      </c>
      <c r="F71" s="281">
        <v>0</v>
      </c>
      <c r="G71" s="281">
        <f t="shared" si="0"/>
        <v>2218045</v>
      </c>
    </row>
    <row r="72" spans="1:7" ht="18" customHeight="1">
      <c r="A72" s="282" t="s">
        <v>365</v>
      </c>
      <c r="B72" s="282" t="s">
        <v>467</v>
      </c>
      <c r="C72" s="283" t="s">
        <v>468</v>
      </c>
      <c r="D72" s="284">
        <v>247068</v>
      </c>
      <c r="E72" s="284">
        <v>62794</v>
      </c>
      <c r="F72" s="284">
        <v>0</v>
      </c>
      <c r="G72" s="284">
        <f t="shared" si="0"/>
        <v>309862</v>
      </c>
    </row>
    <row r="73" spans="1:7" s="33" customFormat="1" ht="29.25" customHeight="1">
      <c r="A73" s="285" t="s">
        <v>79</v>
      </c>
      <c r="B73" s="285" t="s">
        <v>365</v>
      </c>
      <c r="C73" s="277" t="s">
        <v>38</v>
      </c>
      <c r="D73" s="278">
        <v>3130029</v>
      </c>
      <c r="E73" s="278">
        <f>E74+E76</f>
        <v>65000</v>
      </c>
      <c r="F73" s="278">
        <v>0</v>
      </c>
      <c r="G73" s="278">
        <f t="shared" si="0"/>
        <v>3195029</v>
      </c>
    </row>
    <row r="74" spans="1:7" s="33" customFormat="1" ht="27" customHeight="1">
      <c r="A74" s="279">
        <v>90026</v>
      </c>
      <c r="B74" s="279" t="s">
        <v>365</v>
      </c>
      <c r="C74" s="280" t="s">
        <v>483</v>
      </c>
      <c r="D74" s="281">
        <v>100</v>
      </c>
      <c r="E74" s="281">
        <f>E75</f>
        <v>45000</v>
      </c>
      <c r="F74" s="281">
        <v>0</v>
      </c>
      <c r="G74" s="281">
        <f t="shared" si="0"/>
        <v>45100</v>
      </c>
    </row>
    <row r="75" spans="1:7" ht="16.5" customHeight="1">
      <c r="A75" s="282" t="s">
        <v>365</v>
      </c>
      <c r="B75" s="282" t="s">
        <v>484</v>
      </c>
      <c r="C75" s="283" t="s">
        <v>485</v>
      </c>
      <c r="D75" s="284">
        <v>100</v>
      </c>
      <c r="E75" s="284">
        <v>45000</v>
      </c>
      <c r="F75" s="284">
        <v>0</v>
      </c>
      <c r="G75" s="284">
        <f aca="true" t="shared" si="1" ref="G75:G85">D75+E75-F75</f>
        <v>45100</v>
      </c>
    </row>
    <row r="76" spans="1:7" s="33" customFormat="1" ht="16.5" customHeight="1">
      <c r="A76" s="279">
        <v>90095</v>
      </c>
      <c r="B76" s="279" t="s">
        <v>365</v>
      </c>
      <c r="C76" s="280" t="s">
        <v>52</v>
      </c>
      <c r="D76" s="281">
        <v>2055856</v>
      </c>
      <c r="E76" s="281">
        <f>E77</f>
        <v>20000</v>
      </c>
      <c r="F76" s="281">
        <v>0</v>
      </c>
      <c r="G76" s="281">
        <f t="shared" si="1"/>
        <v>2075856</v>
      </c>
    </row>
    <row r="77" spans="1:7" ht="54.75" customHeight="1">
      <c r="A77" s="282" t="s">
        <v>365</v>
      </c>
      <c r="B77" s="282">
        <v>2460</v>
      </c>
      <c r="C77" s="283" t="s">
        <v>472</v>
      </c>
      <c r="D77" s="284">
        <v>0</v>
      </c>
      <c r="E77" s="284">
        <v>20000</v>
      </c>
      <c r="F77" s="284">
        <v>0</v>
      </c>
      <c r="G77" s="284">
        <f t="shared" si="1"/>
        <v>20000</v>
      </c>
    </row>
    <row r="78" spans="1:7" s="33" customFormat="1" ht="28.5" customHeight="1">
      <c r="A78" s="285" t="s">
        <v>250</v>
      </c>
      <c r="B78" s="285" t="s">
        <v>365</v>
      </c>
      <c r="C78" s="277" t="s">
        <v>39</v>
      </c>
      <c r="D78" s="278">
        <v>16056374</v>
      </c>
      <c r="E78" s="278">
        <f>E79</f>
        <v>814988</v>
      </c>
      <c r="F78" s="278">
        <v>0</v>
      </c>
      <c r="G78" s="278">
        <f t="shared" si="1"/>
        <v>16871362</v>
      </c>
    </row>
    <row r="79" spans="1:7" s="33" customFormat="1" ht="16.5" customHeight="1">
      <c r="A79" s="279">
        <v>92105</v>
      </c>
      <c r="B79" s="279" t="s">
        <v>365</v>
      </c>
      <c r="C79" s="280" t="s">
        <v>208</v>
      </c>
      <c r="D79" s="281">
        <v>1000000</v>
      </c>
      <c r="E79" s="281">
        <f>E80+E81</f>
        <v>814988</v>
      </c>
      <c r="F79" s="281">
        <v>0</v>
      </c>
      <c r="G79" s="281">
        <f t="shared" si="1"/>
        <v>1814988</v>
      </c>
    </row>
    <row r="80" spans="1:7" ht="53.25" customHeight="1">
      <c r="A80" s="282" t="s">
        <v>365</v>
      </c>
      <c r="B80" s="282">
        <v>2710</v>
      </c>
      <c r="C80" s="283" t="s">
        <v>486</v>
      </c>
      <c r="D80" s="284">
        <v>0</v>
      </c>
      <c r="E80" s="284">
        <v>470000</v>
      </c>
      <c r="F80" s="284">
        <v>0</v>
      </c>
      <c r="G80" s="284">
        <f t="shared" si="1"/>
        <v>470000</v>
      </c>
    </row>
    <row r="81" spans="1:7" ht="53.25" customHeight="1">
      <c r="A81" s="282" t="s">
        <v>365</v>
      </c>
      <c r="B81" s="282">
        <v>6300</v>
      </c>
      <c r="C81" s="283" t="s">
        <v>470</v>
      </c>
      <c r="D81" s="284">
        <v>1000000</v>
      </c>
      <c r="E81" s="284">
        <v>344988</v>
      </c>
      <c r="F81" s="284">
        <v>0</v>
      </c>
      <c r="G81" s="284">
        <f t="shared" si="1"/>
        <v>1344988</v>
      </c>
    </row>
    <row r="82" spans="1:7" s="33" customFormat="1" ht="40.5" customHeight="1">
      <c r="A82" s="285" t="s">
        <v>407</v>
      </c>
      <c r="B82" s="285" t="s">
        <v>365</v>
      </c>
      <c r="C82" s="277" t="s">
        <v>40</v>
      </c>
      <c r="D82" s="278">
        <v>3925262</v>
      </c>
      <c r="E82" s="278">
        <f>E83</f>
        <v>157572</v>
      </c>
      <c r="F82" s="278">
        <v>0</v>
      </c>
      <c r="G82" s="278">
        <f t="shared" si="1"/>
        <v>4082834</v>
      </c>
    </row>
    <row r="83" spans="1:7" s="33" customFormat="1" ht="15.75" customHeight="1">
      <c r="A83" s="279">
        <v>92502</v>
      </c>
      <c r="B83" s="279" t="s">
        <v>365</v>
      </c>
      <c r="C83" s="280" t="s">
        <v>203</v>
      </c>
      <c r="D83" s="281">
        <v>3925262</v>
      </c>
      <c r="E83" s="281">
        <f>E84+E85</f>
        <v>157572</v>
      </c>
      <c r="F83" s="281">
        <v>0</v>
      </c>
      <c r="G83" s="281">
        <f t="shared" si="1"/>
        <v>4082834</v>
      </c>
    </row>
    <row r="84" spans="1:7" ht="15.75" customHeight="1">
      <c r="A84" s="282" t="s">
        <v>365</v>
      </c>
      <c r="B84" s="282" t="s">
        <v>467</v>
      </c>
      <c r="C84" s="283" t="s">
        <v>468</v>
      </c>
      <c r="D84" s="284">
        <v>101000</v>
      </c>
      <c r="E84" s="284">
        <v>5902</v>
      </c>
      <c r="F84" s="284">
        <v>0</v>
      </c>
      <c r="G84" s="284">
        <f t="shared" si="1"/>
        <v>106902</v>
      </c>
    </row>
    <row r="85" spans="1:7" ht="57" customHeight="1">
      <c r="A85" s="286" t="s">
        <v>365</v>
      </c>
      <c r="B85" s="286">
        <v>2460</v>
      </c>
      <c r="C85" s="287" t="s">
        <v>472</v>
      </c>
      <c r="D85" s="288">
        <v>1249098</v>
      </c>
      <c r="E85" s="288">
        <v>151670</v>
      </c>
      <c r="F85" s="288">
        <v>0</v>
      </c>
      <c r="G85" s="288">
        <f t="shared" si="1"/>
        <v>1400768</v>
      </c>
    </row>
    <row r="86" spans="1:7" ht="12.75">
      <c r="A86" s="292"/>
      <c r="C86" s="293"/>
      <c r="D86" s="293"/>
      <c r="E86" s="293"/>
      <c r="F86" s="293"/>
      <c r="G86" s="293"/>
    </row>
  </sheetData>
  <sheetProtection password="C25B" sheet="1"/>
  <mergeCells count="1">
    <mergeCell ref="A5:G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5"/>
  <sheetViews>
    <sheetView view="pageBreakPreview" zoomScaleSheetLayoutView="100" zoomScalePageLayoutView="0" workbookViewId="0" topLeftCell="A379">
      <selection activeCell="B405" sqref="B405:B407"/>
    </sheetView>
  </sheetViews>
  <sheetFormatPr defaultColWidth="8.796875" defaultRowHeight="14.25"/>
  <cols>
    <col min="1" max="1" width="7" style="1" customWidth="1"/>
    <col min="2" max="2" width="31.5" style="2" customWidth="1"/>
    <col min="3" max="3" width="3" style="1" customWidth="1"/>
    <col min="4" max="4" width="14.8984375" style="3" customWidth="1"/>
    <col min="5" max="5" width="13.3984375" style="2" customWidth="1"/>
    <col min="6" max="6" width="13.59765625" style="2" customWidth="1"/>
    <col min="7" max="7" width="13.19921875" style="2" customWidth="1"/>
    <col min="8" max="8" width="13.3984375" style="2" customWidth="1"/>
    <col min="9" max="9" width="13.19921875" style="2" customWidth="1"/>
    <col min="10" max="10" width="11.19921875" style="2" customWidth="1"/>
    <col min="11" max="11" width="13.3984375" style="2" customWidth="1"/>
    <col min="12" max="12" width="12.5" style="2" customWidth="1"/>
    <col min="13" max="13" width="13.3984375" style="2" customWidth="1"/>
    <col min="14" max="14" width="13.5" style="2" customWidth="1"/>
    <col min="15" max="15" width="13.69921875" style="2" customWidth="1"/>
    <col min="16" max="16" width="12.19921875" style="2" customWidth="1"/>
    <col min="17" max="16384" width="9" style="2" customWidth="1"/>
  </cols>
  <sheetData>
    <row r="1" spans="13:14" ht="12.75">
      <c r="M1" s="6" t="s">
        <v>488</v>
      </c>
      <c r="N1" s="6"/>
    </row>
    <row r="2" spans="13:14" ht="12.75">
      <c r="M2" s="4" t="s">
        <v>489</v>
      </c>
      <c r="N2" s="4"/>
    </row>
    <row r="3" spans="4:15" ht="12.75">
      <c r="D3" s="5"/>
      <c r="E3" s="7"/>
      <c r="F3" s="7"/>
      <c r="G3" s="7"/>
      <c r="H3" s="7"/>
      <c r="I3" s="7"/>
      <c r="J3" s="7"/>
      <c r="K3" s="7"/>
      <c r="L3" s="7"/>
      <c r="M3" s="4" t="s">
        <v>415</v>
      </c>
      <c r="N3" s="4"/>
      <c r="O3" s="7"/>
    </row>
    <row r="4" spans="4:15" ht="12.75"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27" customHeight="1">
      <c r="A5" s="798" t="s">
        <v>330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</row>
    <row r="6" spans="1:16" s="9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2.75">
      <c r="O7" s="1" t="s">
        <v>0</v>
      </c>
    </row>
    <row r="8" spans="1:16" s="33" customFormat="1" ht="16.5" customHeight="1">
      <c r="A8" s="808" t="s">
        <v>88</v>
      </c>
      <c r="B8" s="808" t="s">
        <v>89</v>
      </c>
      <c r="C8" s="808" t="s">
        <v>11</v>
      </c>
      <c r="D8" s="805" t="s">
        <v>90</v>
      </c>
      <c r="E8" s="812" t="s">
        <v>91</v>
      </c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</row>
    <row r="9" spans="1:16" s="33" customFormat="1" ht="14.25" customHeight="1">
      <c r="A9" s="808"/>
      <c r="B9" s="808"/>
      <c r="C9" s="808"/>
      <c r="D9" s="805"/>
      <c r="E9" s="808" t="s">
        <v>48</v>
      </c>
      <c r="F9" s="809" t="s">
        <v>46</v>
      </c>
      <c r="G9" s="809"/>
      <c r="H9" s="809"/>
      <c r="I9" s="809"/>
      <c r="J9" s="809"/>
      <c r="K9" s="809"/>
      <c r="L9" s="809"/>
      <c r="M9" s="808" t="s">
        <v>92</v>
      </c>
      <c r="N9" s="809" t="s">
        <v>46</v>
      </c>
      <c r="O9" s="809"/>
      <c r="P9" s="809"/>
    </row>
    <row r="10" spans="1:16" s="33" customFormat="1" ht="14.25" customHeight="1">
      <c r="A10" s="808"/>
      <c r="B10" s="808"/>
      <c r="C10" s="808"/>
      <c r="D10" s="805"/>
      <c r="E10" s="808"/>
      <c r="F10" s="808" t="s">
        <v>93</v>
      </c>
      <c r="G10" s="809" t="s">
        <v>46</v>
      </c>
      <c r="H10" s="809"/>
      <c r="I10" s="808" t="s">
        <v>94</v>
      </c>
      <c r="J10" s="808" t="s">
        <v>95</v>
      </c>
      <c r="K10" s="808" t="s">
        <v>96</v>
      </c>
      <c r="L10" s="808" t="s">
        <v>97</v>
      </c>
      <c r="M10" s="808"/>
      <c r="N10" s="808" t="s">
        <v>98</v>
      </c>
      <c r="O10" s="267" t="s">
        <v>46</v>
      </c>
      <c r="P10" s="808" t="s">
        <v>99</v>
      </c>
    </row>
    <row r="11" spans="1:16" s="33" customFormat="1" ht="66" customHeight="1">
      <c r="A11" s="808"/>
      <c r="B11" s="808"/>
      <c r="C11" s="808"/>
      <c r="D11" s="805"/>
      <c r="E11" s="808"/>
      <c r="F11" s="808"/>
      <c r="G11" s="267" t="s">
        <v>47</v>
      </c>
      <c r="H11" s="267" t="s">
        <v>100</v>
      </c>
      <c r="I11" s="808"/>
      <c r="J11" s="808"/>
      <c r="K11" s="808"/>
      <c r="L11" s="808"/>
      <c r="M11" s="808"/>
      <c r="N11" s="808"/>
      <c r="O11" s="267" t="s">
        <v>96</v>
      </c>
      <c r="P11" s="808"/>
    </row>
    <row r="12" spans="1:16" s="34" customFormat="1" ht="12.75">
      <c r="A12" s="715">
        <v>1</v>
      </c>
      <c r="B12" s="715">
        <v>2</v>
      </c>
      <c r="C12" s="715"/>
      <c r="D12" s="716">
        <v>3</v>
      </c>
      <c r="E12" s="715">
        <v>4</v>
      </c>
      <c r="F12" s="715">
        <v>5</v>
      </c>
      <c r="G12" s="715">
        <v>6</v>
      </c>
      <c r="H12" s="715">
        <v>7</v>
      </c>
      <c r="I12" s="715">
        <v>8</v>
      </c>
      <c r="J12" s="715">
        <v>9</v>
      </c>
      <c r="K12" s="715">
        <v>10</v>
      </c>
      <c r="L12" s="715">
        <v>11</v>
      </c>
      <c r="M12" s="715">
        <v>12</v>
      </c>
      <c r="N12" s="715">
        <v>13</v>
      </c>
      <c r="O12" s="715">
        <v>14</v>
      </c>
      <c r="P12" s="715">
        <v>15</v>
      </c>
    </row>
    <row r="13" spans="1:16" s="35" customFormat="1" ht="12.75">
      <c r="A13" s="717"/>
      <c r="B13" s="718"/>
      <c r="C13" s="717"/>
      <c r="D13" s="719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</row>
    <row r="14" spans="1:17" s="53" customFormat="1" ht="15.75">
      <c r="A14" s="806"/>
      <c r="B14" s="807" t="s">
        <v>12</v>
      </c>
      <c r="C14" s="36" t="s">
        <v>13</v>
      </c>
      <c r="D14" s="54">
        <f>D18+D39+D48+D66+D72+D96+D105+D111+D126+D138+D159+D165+D171+D180+D189+D234+D240+D270+D288+D306+D333+D342+D372+D405+D411+D132+D60</f>
        <v>1129075463</v>
      </c>
      <c r="E14" s="54">
        <f aca="true" t="shared" si="0" ref="E14:P14">E18+E39+E48+E66+E72+E96+E105+E111+E126+E138+E159+E165+E171+E180+E189+E234+E240+E270+E288+E306+E333+E342+E372+E405+E411+E132+E60</f>
        <v>652970946</v>
      </c>
      <c r="F14" s="54">
        <f t="shared" si="0"/>
        <v>268831464</v>
      </c>
      <c r="G14" s="54">
        <f t="shared" si="0"/>
        <v>141805090</v>
      </c>
      <c r="H14" s="54">
        <f t="shared" si="0"/>
        <v>127026374</v>
      </c>
      <c r="I14" s="54">
        <f t="shared" si="0"/>
        <v>192293434</v>
      </c>
      <c r="J14" s="54">
        <f t="shared" si="0"/>
        <v>2912276</v>
      </c>
      <c r="K14" s="54">
        <f t="shared" si="0"/>
        <v>147412721</v>
      </c>
      <c r="L14" s="54">
        <f t="shared" si="0"/>
        <v>41521051</v>
      </c>
      <c r="M14" s="54">
        <f t="shared" si="0"/>
        <v>476104517</v>
      </c>
      <c r="N14" s="54">
        <f t="shared" si="0"/>
        <v>448922286</v>
      </c>
      <c r="O14" s="54">
        <f t="shared" si="0"/>
        <v>356977775</v>
      </c>
      <c r="P14" s="54">
        <f t="shared" si="0"/>
        <v>27182231</v>
      </c>
      <c r="Q14" s="52"/>
    </row>
    <row r="15" spans="1:17" s="53" customFormat="1" ht="15.75">
      <c r="A15" s="806"/>
      <c r="B15" s="807"/>
      <c r="C15" s="36" t="s">
        <v>14</v>
      </c>
      <c r="D15" s="54">
        <f>D19+D40+D49+D67+D73+D97+D106+D112+D127+D139+D160+D166+D172+D181+D190+D235+D241+D271+D289+D307+D334+D343+D373+D406+D412+D133+D61</f>
        <v>-31271590</v>
      </c>
      <c r="E15" s="54">
        <f aca="true" t="shared" si="1" ref="E15:P15">E19+E40+E49+E67+E73+E97+E106+E112+E127+E139+E160+E166+E172+E181+E190+E235+E241+E271+E289+E307+E334+E343+E373+E406+E412+E133+E61</f>
        <v>8643950</v>
      </c>
      <c r="F15" s="54">
        <f t="shared" si="1"/>
        <v>2130509</v>
      </c>
      <c r="G15" s="54">
        <f t="shared" si="1"/>
        <v>127521</v>
      </c>
      <c r="H15" s="54">
        <f t="shared" si="1"/>
        <v>2002988</v>
      </c>
      <c r="I15" s="54">
        <f t="shared" si="1"/>
        <v>2864271</v>
      </c>
      <c r="J15" s="54">
        <f t="shared" si="1"/>
        <v>30600</v>
      </c>
      <c r="K15" s="54">
        <f t="shared" si="1"/>
        <v>7942400</v>
      </c>
      <c r="L15" s="54">
        <f t="shared" si="1"/>
        <v>-4323830</v>
      </c>
      <c r="M15" s="54">
        <f t="shared" si="1"/>
        <v>-39915540</v>
      </c>
      <c r="N15" s="54">
        <f t="shared" si="1"/>
        <v>-39915540</v>
      </c>
      <c r="O15" s="54">
        <f t="shared" si="1"/>
        <v>-57478666</v>
      </c>
      <c r="P15" s="54">
        <f t="shared" si="1"/>
        <v>0</v>
      </c>
      <c r="Q15" s="52"/>
    </row>
    <row r="16" spans="1:17" s="53" customFormat="1" ht="15.75">
      <c r="A16" s="806"/>
      <c r="B16" s="807"/>
      <c r="C16" s="36" t="s">
        <v>15</v>
      </c>
      <c r="D16" s="54">
        <f>D14+D15</f>
        <v>1097803873</v>
      </c>
      <c r="E16" s="54">
        <f aca="true" t="shared" si="2" ref="E16:P16">E14+E15</f>
        <v>661614896</v>
      </c>
      <c r="F16" s="54">
        <f t="shared" si="2"/>
        <v>270961973</v>
      </c>
      <c r="G16" s="54">
        <f t="shared" si="2"/>
        <v>141932611</v>
      </c>
      <c r="H16" s="54">
        <f t="shared" si="2"/>
        <v>129029362</v>
      </c>
      <c r="I16" s="54">
        <f t="shared" si="2"/>
        <v>195157705</v>
      </c>
      <c r="J16" s="54">
        <f t="shared" si="2"/>
        <v>2942876</v>
      </c>
      <c r="K16" s="54">
        <f t="shared" si="2"/>
        <v>155355121</v>
      </c>
      <c r="L16" s="54">
        <f t="shared" si="2"/>
        <v>37197221</v>
      </c>
      <c r="M16" s="54">
        <f t="shared" si="2"/>
        <v>436188977</v>
      </c>
      <c r="N16" s="54">
        <f t="shared" si="2"/>
        <v>409006746</v>
      </c>
      <c r="O16" s="54">
        <f t="shared" si="2"/>
        <v>299499109</v>
      </c>
      <c r="P16" s="54">
        <f t="shared" si="2"/>
        <v>27182231</v>
      </c>
      <c r="Q16" s="52"/>
    </row>
    <row r="17" spans="1:17" s="35" customFormat="1" ht="12.75">
      <c r="A17" s="720"/>
      <c r="B17" s="721"/>
      <c r="C17" s="38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45"/>
    </row>
    <row r="18" spans="1:17" s="56" customFormat="1" ht="14.25">
      <c r="A18" s="802" t="s">
        <v>16</v>
      </c>
      <c r="B18" s="801" t="s">
        <v>17</v>
      </c>
      <c r="C18" s="37" t="s">
        <v>13</v>
      </c>
      <c r="D18" s="57">
        <f>D24+D27+D30+D33+D36+D21</f>
        <v>13693066</v>
      </c>
      <c r="E18" s="58">
        <f>E24+E27+E30+E33+E36+E21</f>
        <v>7668521</v>
      </c>
      <c r="F18" s="58">
        <f aca="true" t="shared" si="3" ref="F18:P19">F24+F27+F30+F33+F36+F21</f>
        <v>780521</v>
      </c>
      <c r="G18" s="58">
        <f t="shared" si="3"/>
        <v>475800</v>
      </c>
      <c r="H18" s="58">
        <f t="shared" si="3"/>
        <v>304721</v>
      </c>
      <c r="I18" s="58">
        <f t="shared" si="3"/>
        <v>1388000</v>
      </c>
      <c r="J18" s="58">
        <f t="shared" si="3"/>
        <v>0</v>
      </c>
      <c r="K18" s="58">
        <f t="shared" si="3"/>
        <v>5500000</v>
      </c>
      <c r="L18" s="58">
        <f t="shared" si="3"/>
        <v>0</v>
      </c>
      <c r="M18" s="58">
        <f t="shared" si="3"/>
        <v>6024545</v>
      </c>
      <c r="N18" s="58">
        <f t="shared" si="3"/>
        <v>6024545</v>
      </c>
      <c r="O18" s="58">
        <f t="shared" si="3"/>
        <v>0</v>
      </c>
      <c r="P18" s="58">
        <f t="shared" si="3"/>
        <v>0</v>
      </c>
      <c r="Q18" s="55"/>
    </row>
    <row r="19" spans="1:17" s="56" customFormat="1" ht="14.25">
      <c r="A19" s="802"/>
      <c r="B19" s="801"/>
      <c r="C19" s="37" t="s">
        <v>14</v>
      </c>
      <c r="D19" s="57">
        <f>D25+D28+D31+D34+D37+D22</f>
        <v>104411</v>
      </c>
      <c r="E19" s="58">
        <f>E25+E28+E31+E34+E37+E22</f>
        <v>60150</v>
      </c>
      <c r="F19" s="58">
        <f t="shared" si="3"/>
        <v>60150</v>
      </c>
      <c r="G19" s="58">
        <f t="shared" si="3"/>
        <v>0</v>
      </c>
      <c r="H19" s="58">
        <f t="shared" si="3"/>
        <v>60150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44261</v>
      </c>
      <c r="N19" s="58">
        <f t="shared" si="3"/>
        <v>44261</v>
      </c>
      <c r="O19" s="58">
        <f t="shared" si="3"/>
        <v>0</v>
      </c>
      <c r="P19" s="58">
        <f t="shared" si="3"/>
        <v>0</v>
      </c>
      <c r="Q19" s="55"/>
    </row>
    <row r="20" spans="1:17" s="56" customFormat="1" ht="14.25">
      <c r="A20" s="802"/>
      <c r="B20" s="801"/>
      <c r="C20" s="37" t="s">
        <v>15</v>
      </c>
      <c r="D20" s="70">
        <f>D18+D19</f>
        <v>13797477</v>
      </c>
      <c r="E20" s="58">
        <f aca="true" t="shared" si="4" ref="E20:P20">E18+E19</f>
        <v>7728671</v>
      </c>
      <c r="F20" s="58">
        <f t="shared" si="4"/>
        <v>840671</v>
      </c>
      <c r="G20" s="58">
        <f t="shared" si="4"/>
        <v>475800</v>
      </c>
      <c r="H20" s="58">
        <f t="shared" si="4"/>
        <v>364871</v>
      </c>
      <c r="I20" s="58">
        <f t="shared" si="4"/>
        <v>1388000</v>
      </c>
      <c r="J20" s="58">
        <f t="shared" si="4"/>
        <v>0</v>
      </c>
      <c r="K20" s="58">
        <f t="shared" si="4"/>
        <v>5500000</v>
      </c>
      <c r="L20" s="58">
        <f t="shared" si="4"/>
        <v>0</v>
      </c>
      <c r="M20" s="58">
        <f t="shared" si="4"/>
        <v>6068806</v>
      </c>
      <c r="N20" s="58">
        <f t="shared" si="4"/>
        <v>6068806</v>
      </c>
      <c r="O20" s="58">
        <f t="shared" si="4"/>
        <v>0</v>
      </c>
      <c r="P20" s="58">
        <f t="shared" si="4"/>
        <v>0</v>
      </c>
      <c r="Q20" s="55"/>
    </row>
    <row r="21" spans="1:17" s="35" customFormat="1" ht="12.75" hidden="1">
      <c r="A21" s="803" t="s">
        <v>328</v>
      </c>
      <c r="B21" s="795" t="s">
        <v>329</v>
      </c>
      <c r="C21" s="61" t="s">
        <v>13</v>
      </c>
      <c r="D21" s="59">
        <f>E21+M21</f>
        <v>10000</v>
      </c>
      <c r="E21" s="60">
        <f>F21+I21+J21+K21+L21</f>
        <v>10000</v>
      </c>
      <c r="F21" s="60">
        <f>G21+H21</f>
        <v>10000</v>
      </c>
      <c r="G21" s="60">
        <v>0</v>
      </c>
      <c r="H21" s="60">
        <v>10000</v>
      </c>
      <c r="I21" s="60">
        <v>0</v>
      </c>
      <c r="J21" s="60">
        <v>0</v>
      </c>
      <c r="K21" s="60">
        <v>0</v>
      </c>
      <c r="L21" s="60">
        <v>0</v>
      </c>
      <c r="M21" s="60">
        <f>N21+P21</f>
        <v>0</v>
      </c>
      <c r="N21" s="60">
        <v>0</v>
      </c>
      <c r="O21" s="60">
        <v>0</v>
      </c>
      <c r="P21" s="60">
        <v>0</v>
      </c>
      <c r="Q21" s="45"/>
    </row>
    <row r="22" spans="1:17" s="35" customFormat="1" ht="12.75" hidden="1">
      <c r="A22" s="803"/>
      <c r="B22" s="795"/>
      <c r="C22" s="38" t="s">
        <v>14</v>
      </c>
      <c r="D22" s="59">
        <f>E22+M22</f>
        <v>0</v>
      </c>
      <c r="E22" s="60">
        <f>F22+I22+J22+K22+L22</f>
        <v>0</v>
      </c>
      <c r="F22" s="60">
        <f>G22+H22</f>
        <v>0</v>
      </c>
      <c r="G22" s="60"/>
      <c r="H22" s="60"/>
      <c r="I22" s="60"/>
      <c r="J22" s="60"/>
      <c r="K22" s="60"/>
      <c r="L22" s="60"/>
      <c r="M22" s="60">
        <f>N22+P22</f>
        <v>0</v>
      </c>
      <c r="N22" s="60"/>
      <c r="O22" s="60"/>
      <c r="P22" s="60"/>
      <c r="Q22" s="45"/>
    </row>
    <row r="23" spans="1:17" s="35" customFormat="1" ht="12.75" hidden="1">
      <c r="A23" s="803"/>
      <c r="B23" s="795"/>
      <c r="C23" s="38" t="s">
        <v>15</v>
      </c>
      <c r="D23" s="59">
        <f>D21+D22</f>
        <v>10000</v>
      </c>
      <c r="E23" s="60">
        <f aca="true" t="shared" si="5" ref="E23:P23">E21+E22</f>
        <v>10000</v>
      </c>
      <c r="F23" s="60">
        <f t="shared" si="5"/>
        <v>10000</v>
      </c>
      <c r="G23" s="60">
        <f t="shared" si="5"/>
        <v>0</v>
      </c>
      <c r="H23" s="60">
        <f t="shared" si="5"/>
        <v>10000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45"/>
    </row>
    <row r="24" spans="1:17" s="35" customFormat="1" ht="12.75" hidden="1">
      <c r="A24" s="803" t="s">
        <v>101</v>
      </c>
      <c r="B24" s="795" t="s">
        <v>102</v>
      </c>
      <c r="C24" s="61" t="s">
        <v>13</v>
      </c>
      <c r="D24" s="59">
        <f>E24+M24</f>
        <v>1300000</v>
      </c>
      <c r="E24" s="60">
        <f>F24+I24+J24+K24+L24</f>
        <v>1300000</v>
      </c>
      <c r="F24" s="60">
        <f>G24+H24</f>
        <v>0</v>
      </c>
      <c r="G24" s="60">
        <v>0</v>
      </c>
      <c r="H24" s="60">
        <v>0</v>
      </c>
      <c r="I24" s="60">
        <f>1100000+200000</f>
        <v>1300000</v>
      </c>
      <c r="J24" s="60">
        <v>0</v>
      </c>
      <c r="K24" s="60">
        <v>0</v>
      </c>
      <c r="L24" s="60">
        <v>0</v>
      </c>
      <c r="M24" s="60">
        <f>N24+P24</f>
        <v>0</v>
      </c>
      <c r="N24" s="60">
        <v>0</v>
      </c>
      <c r="O24" s="60">
        <v>0</v>
      </c>
      <c r="P24" s="60">
        <v>0</v>
      </c>
      <c r="Q24" s="45"/>
    </row>
    <row r="25" spans="1:17" s="35" customFormat="1" ht="12.75" hidden="1">
      <c r="A25" s="803"/>
      <c r="B25" s="795"/>
      <c r="C25" s="38" t="s">
        <v>14</v>
      </c>
      <c r="D25" s="59">
        <f>E25+M25</f>
        <v>0</v>
      </c>
      <c r="E25" s="60">
        <f>F25+I25+J25+K25+L25</f>
        <v>0</v>
      </c>
      <c r="F25" s="60">
        <f>G25+H25</f>
        <v>0</v>
      </c>
      <c r="G25" s="60"/>
      <c r="H25" s="60"/>
      <c r="I25" s="60"/>
      <c r="J25" s="60"/>
      <c r="K25" s="60"/>
      <c r="L25" s="60"/>
      <c r="M25" s="60">
        <f>N25+P25</f>
        <v>0</v>
      </c>
      <c r="N25" s="60"/>
      <c r="O25" s="60"/>
      <c r="P25" s="60"/>
      <c r="Q25" s="45"/>
    </row>
    <row r="26" spans="1:17" s="35" customFormat="1" ht="12.75" hidden="1">
      <c r="A26" s="803"/>
      <c r="B26" s="795"/>
      <c r="C26" s="38" t="s">
        <v>15</v>
      </c>
      <c r="D26" s="59">
        <f>D24+D25</f>
        <v>1300000</v>
      </c>
      <c r="E26" s="60">
        <f aca="true" t="shared" si="6" ref="E26:P26">E24+E25</f>
        <v>1300000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 t="shared" si="6"/>
        <v>1300000</v>
      </c>
      <c r="J26" s="60">
        <f t="shared" si="6"/>
        <v>0</v>
      </c>
      <c r="K26" s="60">
        <f t="shared" si="6"/>
        <v>0</v>
      </c>
      <c r="L26" s="60">
        <f t="shared" si="6"/>
        <v>0</v>
      </c>
      <c r="M26" s="60">
        <f t="shared" si="6"/>
        <v>0</v>
      </c>
      <c r="N26" s="60">
        <f t="shared" si="6"/>
        <v>0</v>
      </c>
      <c r="O26" s="60">
        <f t="shared" si="6"/>
        <v>0</v>
      </c>
      <c r="P26" s="60">
        <f t="shared" si="6"/>
        <v>0</v>
      </c>
      <c r="Q26" s="45"/>
    </row>
    <row r="27" spans="1:17" s="35" customFormat="1" ht="12.75">
      <c r="A27" s="803" t="s">
        <v>66</v>
      </c>
      <c r="B27" s="795" t="s">
        <v>103</v>
      </c>
      <c r="C27" s="61" t="s">
        <v>13</v>
      </c>
      <c r="D27" s="59">
        <f>E27+M27</f>
        <v>22045</v>
      </c>
      <c r="E27" s="60">
        <f>F27+I27+J27+K27+L27</f>
        <v>0</v>
      </c>
      <c r="F27" s="60">
        <f>G27+H27</f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f>N27+P27</f>
        <v>22045</v>
      </c>
      <c r="N27" s="60">
        <v>22045</v>
      </c>
      <c r="O27" s="60">
        <v>0</v>
      </c>
      <c r="P27" s="60">
        <v>0</v>
      </c>
      <c r="Q27" s="45"/>
    </row>
    <row r="28" spans="1:17" s="35" customFormat="1" ht="12.75">
      <c r="A28" s="803"/>
      <c r="B28" s="795"/>
      <c r="C28" s="38" t="s">
        <v>14</v>
      </c>
      <c r="D28" s="59">
        <f>E28+M28</f>
        <v>44261</v>
      </c>
      <c r="E28" s="60">
        <f>F28+I28+J28+K28+L28</f>
        <v>0</v>
      </c>
      <c r="F28" s="60">
        <f>G28+H28</f>
        <v>0</v>
      </c>
      <c r="G28" s="60"/>
      <c r="H28" s="60"/>
      <c r="I28" s="60"/>
      <c r="J28" s="60"/>
      <c r="K28" s="60"/>
      <c r="L28" s="60"/>
      <c r="M28" s="60">
        <f>N28+P28</f>
        <v>44261</v>
      </c>
      <c r="N28" s="60">
        <v>44261</v>
      </c>
      <c r="O28" s="60"/>
      <c r="P28" s="60"/>
      <c r="Q28" s="45"/>
    </row>
    <row r="29" spans="1:17" s="35" customFormat="1" ht="12.75">
      <c r="A29" s="803"/>
      <c r="B29" s="795"/>
      <c r="C29" s="38" t="s">
        <v>15</v>
      </c>
      <c r="D29" s="59">
        <f>D27+D28</f>
        <v>66306</v>
      </c>
      <c r="E29" s="60">
        <f aca="true" t="shared" si="7" ref="E29:P29">E27+E28</f>
        <v>0</v>
      </c>
      <c r="F29" s="60">
        <f t="shared" si="7"/>
        <v>0</v>
      </c>
      <c r="G29" s="60">
        <f t="shared" si="7"/>
        <v>0</v>
      </c>
      <c r="H29" s="60">
        <f t="shared" si="7"/>
        <v>0</v>
      </c>
      <c r="I29" s="60">
        <f t="shared" si="7"/>
        <v>0</v>
      </c>
      <c r="J29" s="60">
        <f t="shared" si="7"/>
        <v>0</v>
      </c>
      <c r="K29" s="60">
        <f t="shared" si="7"/>
        <v>0</v>
      </c>
      <c r="L29" s="60">
        <f t="shared" si="7"/>
        <v>0</v>
      </c>
      <c r="M29" s="60">
        <f t="shared" si="7"/>
        <v>66306</v>
      </c>
      <c r="N29" s="60">
        <f t="shared" si="7"/>
        <v>66306</v>
      </c>
      <c r="O29" s="60">
        <f t="shared" si="7"/>
        <v>0</v>
      </c>
      <c r="P29" s="60">
        <f t="shared" si="7"/>
        <v>0</v>
      </c>
      <c r="Q29" s="45"/>
    </row>
    <row r="30" spans="1:17" s="35" customFormat="1" ht="12.75" hidden="1">
      <c r="A30" s="803" t="s">
        <v>104</v>
      </c>
      <c r="B30" s="795" t="s">
        <v>105</v>
      </c>
      <c r="C30" s="61" t="s">
        <v>13</v>
      </c>
      <c r="D30" s="59">
        <f>E30+M30</f>
        <v>5510500</v>
      </c>
      <c r="E30" s="60">
        <f>F30+I30+J30+K30+L30</f>
        <v>5508000</v>
      </c>
      <c r="F30" s="60">
        <f>G30+H30</f>
        <v>0</v>
      </c>
      <c r="G30" s="60">
        <v>0</v>
      </c>
      <c r="H30" s="60">
        <v>0</v>
      </c>
      <c r="I30" s="60">
        <v>8000</v>
      </c>
      <c r="J30" s="60">
        <v>0</v>
      </c>
      <c r="K30" s="60">
        <v>5500000</v>
      </c>
      <c r="L30" s="60">
        <v>0</v>
      </c>
      <c r="M30" s="60">
        <f>N30+P30</f>
        <v>2500</v>
      </c>
      <c r="N30" s="60">
        <v>2500</v>
      </c>
      <c r="O30" s="60">
        <v>0</v>
      </c>
      <c r="P30" s="60">
        <v>0</v>
      </c>
      <c r="Q30" s="45"/>
    </row>
    <row r="31" spans="1:17" s="35" customFormat="1" ht="12.75" hidden="1">
      <c r="A31" s="803"/>
      <c r="B31" s="795"/>
      <c r="C31" s="38" t="s">
        <v>14</v>
      </c>
      <c r="D31" s="59">
        <f>E31+M31</f>
        <v>0</v>
      </c>
      <c r="E31" s="60">
        <f>F31+I31+J31+K31+L31</f>
        <v>0</v>
      </c>
      <c r="F31" s="60">
        <f>G31+H31</f>
        <v>0</v>
      </c>
      <c r="G31" s="60"/>
      <c r="H31" s="60"/>
      <c r="I31" s="60"/>
      <c r="J31" s="60"/>
      <c r="K31" s="60"/>
      <c r="L31" s="60"/>
      <c r="M31" s="60">
        <f>N31+P31</f>
        <v>0</v>
      </c>
      <c r="N31" s="60"/>
      <c r="O31" s="60"/>
      <c r="P31" s="60"/>
      <c r="Q31" s="45"/>
    </row>
    <row r="32" spans="1:17" s="35" customFormat="1" ht="12.75" hidden="1">
      <c r="A32" s="803"/>
      <c r="B32" s="795"/>
      <c r="C32" s="38" t="s">
        <v>15</v>
      </c>
      <c r="D32" s="59">
        <f>D30+D31</f>
        <v>5510500</v>
      </c>
      <c r="E32" s="60">
        <f aca="true" t="shared" si="8" ref="E32:P32">E30+E31</f>
        <v>5508000</v>
      </c>
      <c r="F32" s="60">
        <f t="shared" si="8"/>
        <v>0</v>
      </c>
      <c r="G32" s="60">
        <f t="shared" si="8"/>
        <v>0</v>
      </c>
      <c r="H32" s="60">
        <f t="shared" si="8"/>
        <v>0</v>
      </c>
      <c r="I32" s="60">
        <f t="shared" si="8"/>
        <v>8000</v>
      </c>
      <c r="J32" s="60">
        <f t="shared" si="8"/>
        <v>0</v>
      </c>
      <c r="K32" s="60">
        <f t="shared" si="8"/>
        <v>5500000</v>
      </c>
      <c r="L32" s="60">
        <f t="shared" si="8"/>
        <v>0</v>
      </c>
      <c r="M32" s="60">
        <f t="shared" si="8"/>
        <v>2500</v>
      </c>
      <c r="N32" s="60">
        <f t="shared" si="8"/>
        <v>2500</v>
      </c>
      <c r="O32" s="60">
        <f t="shared" si="8"/>
        <v>0</v>
      </c>
      <c r="P32" s="60">
        <f t="shared" si="8"/>
        <v>0</v>
      </c>
      <c r="Q32" s="45"/>
    </row>
    <row r="33" spans="1:17" s="35" customFormat="1" ht="12.75" hidden="1">
      <c r="A33" s="803" t="s">
        <v>18</v>
      </c>
      <c r="B33" s="795" t="s">
        <v>106</v>
      </c>
      <c r="C33" s="61" t="s">
        <v>13</v>
      </c>
      <c r="D33" s="59">
        <f>E33+M33</f>
        <v>6500000</v>
      </c>
      <c r="E33" s="60">
        <f>F33+I33+J33+K33+L33</f>
        <v>500000</v>
      </c>
      <c r="F33" s="60">
        <f>G33+H33</f>
        <v>500000</v>
      </c>
      <c r="G33" s="60">
        <v>470000</v>
      </c>
      <c r="H33" s="60">
        <f>10000+15000+5000</f>
        <v>30000</v>
      </c>
      <c r="I33" s="60">
        <v>0</v>
      </c>
      <c r="J33" s="60">
        <v>0</v>
      </c>
      <c r="K33" s="60">
        <v>0</v>
      </c>
      <c r="L33" s="60">
        <v>0</v>
      </c>
      <c r="M33" s="60">
        <f>N33+P33</f>
        <v>6000000</v>
      </c>
      <c r="N33" s="60">
        <v>6000000</v>
      </c>
      <c r="O33" s="60">
        <v>0</v>
      </c>
      <c r="P33" s="60">
        <v>0</v>
      </c>
      <c r="Q33" s="45"/>
    </row>
    <row r="34" spans="1:17" s="35" customFormat="1" ht="12.75" hidden="1">
      <c r="A34" s="803"/>
      <c r="B34" s="795"/>
      <c r="C34" s="38" t="s">
        <v>14</v>
      </c>
      <c r="D34" s="59">
        <f>E34+M34</f>
        <v>0</v>
      </c>
      <c r="E34" s="60">
        <f>F34+I34+J34+K34+L34</f>
        <v>0</v>
      </c>
      <c r="F34" s="60">
        <f>G34+H34</f>
        <v>0</v>
      </c>
      <c r="G34" s="60"/>
      <c r="H34" s="60"/>
      <c r="I34" s="60"/>
      <c r="J34" s="60"/>
      <c r="K34" s="60"/>
      <c r="L34" s="60"/>
      <c r="M34" s="60">
        <f>N34+P34</f>
        <v>0</v>
      </c>
      <c r="N34" s="60"/>
      <c r="O34" s="60"/>
      <c r="P34" s="60"/>
      <c r="Q34" s="45"/>
    </row>
    <row r="35" spans="1:17" s="35" customFormat="1" ht="12.75" hidden="1">
      <c r="A35" s="803"/>
      <c r="B35" s="795"/>
      <c r="C35" s="38" t="s">
        <v>15</v>
      </c>
      <c r="D35" s="59">
        <f>D33+D34</f>
        <v>6500000</v>
      </c>
      <c r="E35" s="60">
        <f aca="true" t="shared" si="9" ref="E35:P35">E33+E34</f>
        <v>500000</v>
      </c>
      <c r="F35" s="60">
        <f t="shared" si="9"/>
        <v>500000</v>
      </c>
      <c r="G35" s="60">
        <f t="shared" si="9"/>
        <v>470000</v>
      </c>
      <c r="H35" s="60">
        <f t="shared" si="9"/>
        <v>30000</v>
      </c>
      <c r="I35" s="60">
        <f t="shared" si="9"/>
        <v>0</v>
      </c>
      <c r="J35" s="60">
        <f t="shared" si="9"/>
        <v>0</v>
      </c>
      <c r="K35" s="60">
        <f t="shared" si="9"/>
        <v>0</v>
      </c>
      <c r="L35" s="60">
        <f t="shared" si="9"/>
        <v>0</v>
      </c>
      <c r="M35" s="60">
        <f t="shared" si="9"/>
        <v>6000000</v>
      </c>
      <c r="N35" s="60">
        <f t="shared" si="9"/>
        <v>6000000</v>
      </c>
      <c r="O35" s="60">
        <f t="shared" si="9"/>
        <v>0</v>
      </c>
      <c r="P35" s="60">
        <f t="shared" si="9"/>
        <v>0</v>
      </c>
      <c r="Q35" s="45"/>
    </row>
    <row r="36" spans="1:17" s="35" customFormat="1" ht="12.75">
      <c r="A36" s="803" t="s">
        <v>107</v>
      </c>
      <c r="B36" s="795" t="s">
        <v>52</v>
      </c>
      <c r="C36" s="61" t="s">
        <v>13</v>
      </c>
      <c r="D36" s="59">
        <f>E36+M36</f>
        <v>350521</v>
      </c>
      <c r="E36" s="60">
        <f>F36+I36+J36+K36+L36</f>
        <v>350521</v>
      </c>
      <c r="F36" s="60">
        <f>G36+H36</f>
        <v>270521</v>
      </c>
      <c r="G36" s="60">
        <v>5800</v>
      </c>
      <c r="H36" s="60">
        <v>264721</v>
      </c>
      <c r="I36" s="60">
        <v>80000</v>
      </c>
      <c r="J36" s="60">
        <v>0</v>
      </c>
      <c r="K36" s="60">
        <v>0</v>
      </c>
      <c r="L36" s="60">
        <v>0</v>
      </c>
      <c r="M36" s="60">
        <f>N36+P36</f>
        <v>0</v>
      </c>
      <c r="N36" s="60">
        <v>0</v>
      </c>
      <c r="O36" s="60">
        <v>0</v>
      </c>
      <c r="P36" s="60">
        <v>0</v>
      </c>
      <c r="Q36" s="45"/>
    </row>
    <row r="37" spans="1:17" s="35" customFormat="1" ht="12.75">
      <c r="A37" s="803"/>
      <c r="B37" s="795"/>
      <c r="C37" s="38" t="s">
        <v>14</v>
      </c>
      <c r="D37" s="59">
        <f>E37+M37</f>
        <v>60150</v>
      </c>
      <c r="E37" s="60">
        <f>F37+I37+J37+K37+L37</f>
        <v>60150</v>
      </c>
      <c r="F37" s="60">
        <f>G37+H37</f>
        <v>60150</v>
      </c>
      <c r="G37" s="60"/>
      <c r="H37" s="60">
        <v>60150</v>
      </c>
      <c r="I37" s="60"/>
      <c r="J37" s="60"/>
      <c r="K37" s="60"/>
      <c r="L37" s="60"/>
      <c r="M37" s="60">
        <f>N37+P37</f>
        <v>0</v>
      </c>
      <c r="N37" s="60"/>
      <c r="O37" s="60"/>
      <c r="P37" s="60"/>
      <c r="Q37" s="45"/>
    </row>
    <row r="38" spans="1:17" s="35" customFormat="1" ht="12.75">
      <c r="A38" s="803"/>
      <c r="B38" s="795"/>
      <c r="C38" s="38" t="s">
        <v>15</v>
      </c>
      <c r="D38" s="59">
        <f>D36+D37</f>
        <v>410671</v>
      </c>
      <c r="E38" s="60">
        <f aca="true" t="shared" si="10" ref="E38:P38">E36+E37</f>
        <v>410671</v>
      </c>
      <c r="F38" s="60">
        <f t="shared" si="10"/>
        <v>330671</v>
      </c>
      <c r="G38" s="60">
        <f t="shared" si="10"/>
        <v>5800</v>
      </c>
      <c r="H38" s="60">
        <f t="shared" si="10"/>
        <v>324871</v>
      </c>
      <c r="I38" s="60">
        <f t="shared" si="10"/>
        <v>80000</v>
      </c>
      <c r="J38" s="60">
        <f t="shared" si="10"/>
        <v>0</v>
      </c>
      <c r="K38" s="60">
        <f t="shared" si="10"/>
        <v>0</v>
      </c>
      <c r="L38" s="60">
        <f t="shared" si="10"/>
        <v>0</v>
      </c>
      <c r="M38" s="60">
        <f t="shared" si="10"/>
        <v>0</v>
      </c>
      <c r="N38" s="60">
        <f t="shared" si="10"/>
        <v>0</v>
      </c>
      <c r="O38" s="60">
        <f t="shared" si="10"/>
        <v>0</v>
      </c>
      <c r="P38" s="60">
        <f t="shared" si="10"/>
        <v>0</v>
      </c>
      <c r="Q38" s="45"/>
    </row>
    <row r="39" spans="1:17" s="39" customFormat="1" ht="14.25" hidden="1">
      <c r="A39" s="802" t="s">
        <v>67</v>
      </c>
      <c r="B39" s="801" t="s">
        <v>68</v>
      </c>
      <c r="C39" s="37" t="s">
        <v>13</v>
      </c>
      <c r="D39" s="62">
        <f aca="true" t="shared" si="11" ref="D39:P40">D45+D42</f>
        <v>704000</v>
      </c>
      <c r="E39" s="63">
        <f t="shared" si="11"/>
        <v>704000</v>
      </c>
      <c r="F39" s="63">
        <f t="shared" si="11"/>
        <v>56000</v>
      </c>
      <c r="G39" s="63">
        <f t="shared" si="11"/>
        <v>56000</v>
      </c>
      <c r="H39" s="63">
        <f t="shared" si="11"/>
        <v>0</v>
      </c>
      <c r="I39" s="63">
        <f t="shared" si="11"/>
        <v>8000</v>
      </c>
      <c r="J39" s="63">
        <f t="shared" si="11"/>
        <v>0</v>
      </c>
      <c r="K39" s="63">
        <f t="shared" si="11"/>
        <v>640000</v>
      </c>
      <c r="L39" s="63">
        <f t="shared" si="11"/>
        <v>0</v>
      </c>
      <c r="M39" s="63">
        <f t="shared" si="11"/>
        <v>0</v>
      </c>
      <c r="N39" s="63">
        <f t="shared" si="11"/>
        <v>0</v>
      </c>
      <c r="O39" s="63">
        <f t="shared" si="11"/>
        <v>0</v>
      </c>
      <c r="P39" s="63">
        <f t="shared" si="11"/>
        <v>0</v>
      </c>
      <c r="Q39" s="46"/>
    </row>
    <row r="40" spans="1:17" s="39" customFormat="1" ht="14.25" hidden="1">
      <c r="A40" s="802"/>
      <c r="B40" s="801"/>
      <c r="C40" s="37" t="s">
        <v>14</v>
      </c>
      <c r="D40" s="62">
        <f t="shared" si="11"/>
        <v>0</v>
      </c>
      <c r="E40" s="63">
        <f t="shared" si="11"/>
        <v>0</v>
      </c>
      <c r="F40" s="63">
        <f t="shared" si="11"/>
        <v>0</v>
      </c>
      <c r="G40" s="63">
        <f t="shared" si="11"/>
        <v>0</v>
      </c>
      <c r="H40" s="63">
        <f t="shared" si="11"/>
        <v>0</v>
      </c>
      <c r="I40" s="63">
        <f t="shared" si="11"/>
        <v>0</v>
      </c>
      <c r="J40" s="63">
        <f t="shared" si="11"/>
        <v>0</v>
      </c>
      <c r="K40" s="63">
        <f t="shared" si="11"/>
        <v>0</v>
      </c>
      <c r="L40" s="63">
        <f t="shared" si="11"/>
        <v>0</v>
      </c>
      <c r="M40" s="63">
        <f t="shared" si="11"/>
        <v>0</v>
      </c>
      <c r="N40" s="63">
        <f t="shared" si="11"/>
        <v>0</v>
      </c>
      <c r="O40" s="63">
        <f t="shared" si="11"/>
        <v>0</v>
      </c>
      <c r="P40" s="63">
        <f t="shared" si="11"/>
        <v>0</v>
      </c>
      <c r="Q40" s="46"/>
    </row>
    <row r="41" spans="1:17" s="39" customFormat="1" ht="14.25" hidden="1">
      <c r="A41" s="802"/>
      <c r="B41" s="801"/>
      <c r="C41" s="37" t="s">
        <v>15</v>
      </c>
      <c r="D41" s="62">
        <f>D39+D40</f>
        <v>704000</v>
      </c>
      <c r="E41" s="63">
        <f aca="true" t="shared" si="12" ref="E41:P41">E39+E40</f>
        <v>704000</v>
      </c>
      <c r="F41" s="63">
        <f t="shared" si="12"/>
        <v>56000</v>
      </c>
      <c r="G41" s="63">
        <f t="shared" si="12"/>
        <v>56000</v>
      </c>
      <c r="H41" s="63">
        <f t="shared" si="12"/>
        <v>0</v>
      </c>
      <c r="I41" s="63">
        <f t="shared" si="12"/>
        <v>8000</v>
      </c>
      <c r="J41" s="63">
        <f t="shared" si="12"/>
        <v>0</v>
      </c>
      <c r="K41" s="63">
        <f t="shared" si="12"/>
        <v>640000</v>
      </c>
      <c r="L41" s="63">
        <f t="shared" si="12"/>
        <v>0</v>
      </c>
      <c r="M41" s="63">
        <f t="shared" si="12"/>
        <v>0</v>
      </c>
      <c r="N41" s="63">
        <f t="shared" si="12"/>
        <v>0</v>
      </c>
      <c r="O41" s="63">
        <f t="shared" si="12"/>
        <v>0</v>
      </c>
      <c r="P41" s="63">
        <f t="shared" si="12"/>
        <v>0</v>
      </c>
      <c r="Q41" s="46"/>
    </row>
    <row r="42" spans="1:17" s="35" customFormat="1" ht="12.75" hidden="1">
      <c r="A42" s="803" t="s">
        <v>80</v>
      </c>
      <c r="B42" s="804" t="s">
        <v>81</v>
      </c>
      <c r="C42" s="61" t="s">
        <v>13</v>
      </c>
      <c r="D42" s="59">
        <f>E42+M42</f>
        <v>56000</v>
      </c>
      <c r="E42" s="60">
        <f>F42+I42+J42+K42+L42</f>
        <v>56000</v>
      </c>
      <c r="F42" s="60">
        <f>G42+H42</f>
        <v>56000</v>
      </c>
      <c r="G42" s="60">
        <v>56000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f>N42+P42</f>
        <v>0</v>
      </c>
      <c r="N42" s="60">
        <v>0</v>
      </c>
      <c r="O42" s="60">
        <v>0</v>
      </c>
      <c r="P42" s="60">
        <v>0</v>
      </c>
      <c r="Q42" s="45"/>
    </row>
    <row r="43" spans="1:17" s="35" customFormat="1" ht="12.75" hidden="1">
      <c r="A43" s="803"/>
      <c r="B43" s="804"/>
      <c r="C43" s="38" t="s">
        <v>14</v>
      </c>
      <c r="D43" s="59">
        <f>E43+M43</f>
        <v>0</v>
      </c>
      <c r="E43" s="60">
        <f>F43+I43+J43+K43+L43</f>
        <v>0</v>
      </c>
      <c r="F43" s="60">
        <f>G43+H43</f>
        <v>0</v>
      </c>
      <c r="G43" s="60"/>
      <c r="H43" s="60"/>
      <c r="I43" s="60"/>
      <c r="J43" s="60"/>
      <c r="K43" s="60"/>
      <c r="L43" s="60"/>
      <c r="M43" s="60">
        <f>N43+P43</f>
        <v>0</v>
      </c>
      <c r="N43" s="60"/>
      <c r="O43" s="60"/>
      <c r="P43" s="60"/>
      <c r="Q43" s="45"/>
    </row>
    <row r="44" spans="1:17" s="35" customFormat="1" ht="12.75" hidden="1">
      <c r="A44" s="803"/>
      <c r="B44" s="804"/>
      <c r="C44" s="38" t="s">
        <v>15</v>
      </c>
      <c r="D44" s="59">
        <f>D42+D43</f>
        <v>56000</v>
      </c>
      <c r="E44" s="60">
        <f aca="true" t="shared" si="13" ref="E44:P44">E42+E43</f>
        <v>56000</v>
      </c>
      <c r="F44" s="60">
        <f t="shared" si="13"/>
        <v>56000</v>
      </c>
      <c r="G44" s="60">
        <f t="shared" si="13"/>
        <v>56000</v>
      </c>
      <c r="H44" s="60">
        <f t="shared" si="13"/>
        <v>0</v>
      </c>
      <c r="I44" s="60">
        <f t="shared" si="13"/>
        <v>0</v>
      </c>
      <c r="J44" s="60">
        <f t="shared" si="13"/>
        <v>0</v>
      </c>
      <c r="K44" s="60">
        <f t="shared" si="13"/>
        <v>0</v>
      </c>
      <c r="L44" s="60">
        <f t="shared" si="13"/>
        <v>0</v>
      </c>
      <c r="M44" s="60">
        <f t="shared" si="13"/>
        <v>0</v>
      </c>
      <c r="N44" s="60">
        <f t="shared" si="13"/>
        <v>0</v>
      </c>
      <c r="O44" s="60">
        <f t="shared" si="13"/>
        <v>0</v>
      </c>
      <c r="P44" s="60">
        <f t="shared" si="13"/>
        <v>0</v>
      </c>
      <c r="Q44" s="45"/>
    </row>
    <row r="45" spans="1:17" s="35" customFormat="1" ht="24" customHeight="1" hidden="1">
      <c r="A45" s="803" t="s">
        <v>108</v>
      </c>
      <c r="B45" s="804" t="s">
        <v>109</v>
      </c>
      <c r="C45" s="61" t="s">
        <v>13</v>
      </c>
      <c r="D45" s="59">
        <f>E45+M45</f>
        <v>648000</v>
      </c>
      <c r="E45" s="60">
        <f>F45+I45+J45+K45+L45</f>
        <v>648000</v>
      </c>
      <c r="F45" s="60">
        <f>G45+H45</f>
        <v>0</v>
      </c>
      <c r="G45" s="60">
        <v>0</v>
      </c>
      <c r="H45" s="60">
        <v>0</v>
      </c>
      <c r="I45" s="60">
        <v>8000</v>
      </c>
      <c r="J45" s="60">
        <v>0</v>
      </c>
      <c r="K45" s="60">
        <v>640000</v>
      </c>
      <c r="L45" s="60">
        <v>0</v>
      </c>
      <c r="M45" s="60">
        <f>N45+P45</f>
        <v>0</v>
      </c>
      <c r="N45" s="60">
        <v>0</v>
      </c>
      <c r="O45" s="60">
        <v>0</v>
      </c>
      <c r="P45" s="60">
        <v>0</v>
      </c>
      <c r="Q45" s="45"/>
    </row>
    <row r="46" spans="1:17" s="35" customFormat="1" ht="24" customHeight="1" hidden="1">
      <c r="A46" s="803"/>
      <c r="B46" s="804"/>
      <c r="C46" s="38" t="s">
        <v>14</v>
      </c>
      <c r="D46" s="59">
        <f>E46+M46</f>
        <v>0</v>
      </c>
      <c r="E46" s="60">
        <f>F46+I46+J46+K46+L46</f>
        <v>0</v>
      </c>
      <c r="F46" s="60">
        <f>G46+H46</f>
        <v>0</v>
      </c>
      <c r="G46" s="60"/>
      <c r="H46" s="60"/>
      <c r="I46" s="60"/>
      <c r="J46" s="60"/>
      <c r="K46" s="60"/>
      <c r="L46" s="60"/>
      <c r="M46" s="60">
        <f>N46+P46</f>
        <v>0</v>
      </c>
      <c r="N46" s="60"/>
      <c r="O46" s="60"/>
      <c r="P46" s="60"/>
      <c r="Q46" s="45"/>
    </row>
    <row r="47" spans="1:17" s="35" customFormat="1" ht="24" customHeight="1" hidden="1" thickBot="1">
      <c r="A47" s="803"/>
      <c r="B47" s="804"/>
      <c r="C47" s="38" t="s">
        <v>15</v>
      </c>
      <c r="D47" s="59">
        <f>D45+D46</f>
        <v>648000</v>
      </c>
      <c r="E47" s="60">
        <f aca="true" t="shared" si="14" ref="E47:P47">E45+E46</f>
        <v>648000</v>
      </c>
      <c r="F47" s="60">
        <f t="shared" si="14"/>
        <v>0</v>
      </c>
      <c r="G47" s="60">
        <f t="shared" si="14"/>
        <v>0</v>
      </c>
      <c r="H47" s="60">
        <f t="shared" si="14"/>
        <v>0</v>
      </c>
      <c r="I47" s="60">
        <f t="shared" si="14"/>
        <v>8000</v>
      </c>
      <c r="J47" s="60">
        <f t="shared" si="14"/>
        <v>0</v>
      </c>
      <c r="K47" s="60">
        <f t="shared" si="14"/>
        <v>640000</v>
      </c>
      <c r="L47" s="60">
        <f t="shared" si="14"/>
        <v>0</v>
      </c>
      <c r="M47" s="60">
        <f t="shared" si="14"/>
        <v>0</v>
      </c>
      <c r="N47" s="60">
        <f t="shared" si="14"/>
        <v>0</v>
      </c>
      <c r="O47" s="60">
        <f t="shared" si="14"/>
        <v>0</v>
      </c>
      <c r="P47" s="60">
        <f t="shared" si="14"/>
        <v>0</v>
      </c>
      <c r="Q47" s="45"/>
    </row>
    <row r="48" spans="1:17" s="40" customFormat="1" ht="14.25">
      <c r="A48" s="802" t="s">
        <v>110</v>
      </c>
      <c r="B48" s="801" t="s">
        <v>111</v>
      </c>
      <c r="C48" s="37" t="s">
        <v>13</v>
      </c>
      <c r="D48" s="57">
        <f aca="true" t="shared" si="15" ref="D48:P49">D54+D57+D51</f>
        <v>15839097</v>
      </c>
      <c r="E48" s="58">
        <f t="shared" si="15"/>
        <v>15824188</v>
      </c>
      <c r="F48" s="58">
        <f t="shared" si="15"/>
        <v>1306502</v>
      </c>
      <c r="G48" s="58">
        <f t="shared" si="15"/>
        <v>225018</v>
      </c>
      <c r="H48" s="58">
        <f t="shared" si="15"/>
        <v>1081484</v>
      </c>
      <c r="I48" s="58">
        <f t="shared" si="15"/>
        <v>2403767</v>
      </c>
      <c r="J48" s="58">
        <f t="shared" si="15"/>
        <v>0</v>
      </c>
      <c r="K48" s="58">
        <f t="shared" si="15"/>
        <v>12113919</v>
      </c>
      <c r="L48" s="58">
        <f t="shared" si="15"/>
        <v>0</v>
      </c>
      <c r="M48" s="58">
        <f t="shared" si="15"/>
        <v>14909</v>
      </c>
      <c r="N48" s="58">
        <f t="shared" si="15"/>
        <v>14909</v>
      </c>
      <c r="O48" s="58">
        <f t="shared" si="15"/>
        <v>14909</v>
      </c>
      <c r="P48" s="58">
        <f t="shared" si="15"/>
        <v>0</v>
      </c>
      <c r="Q48" s="47"/>
    </row>
    <row r="49" spans="1:17" s="40" customFormat="1" ht="14.25">
      <c r="A49" s="802"/>
      <c r="B49" s="801"/>
      <c r="C49" s="37" t="s">
        <v>14</v>
      </c>
      <c r="D49" s="57">
        <f t="shared" si="15"/>
        <v>118854</v>
      </c>
      <c r="E49" s="58">
        <f t="shared" si="15"/>
        <v>61659</v>
      </c>
      <c r="F49" s="58">
        <f t="shared" si="15"/>
        <v>20000</v>
      </c>
      <c r="G49" s="58">
        <f t="shared" si="15"/>
        <v>2500</v>
      </c>
      <c r="H49" s="58">
        <f t="shared" si="15"/>
        <v>17500</v>
      </c>
      <c r="I49" s="58">
        <f t="shared" si="15"/>
        <v>0</v>
      </c>
      <c r="J49" s="58">
        <f t="shared" si="15"/>
        <v>0</v>
      </c>
      <c r="K49" s="58">
        <f t="shared" si="15"/>
        <v>41659</v>
      </c>
      <c r="L49" s="58">
        <f t="shared" si="15"/>
        <v>0</v>
      </c>
      <c r="M49" s="58">
        <f t="shared" si="15"/>
        <v>57195</v>
      </c>
      <c r="N49" s="58">
        <f t="shared" si="15"/>
        <v>57195</v>
      </c>
      <c r="O49" s="58">
        <f t="shared" si="15"/>
        <v>57195</v>
      </c>
      <c r="P49" s="58">
        <f t="shared" si="15"/>
        <v>0</v>
      </c>
      <c r="Q49" s="47"/>
    </row>
    <row r="50" spans="1:17" s="40" customFormat="1" ht="14.25">
      <c r="A50" s="802"/>
      <c r="B50" s="801"/>
      <c r="C50" s="37" t="s">
        <v>15</v>
      </c>
      <c r="D50" s="70">
        <f>D48+D49</f>
        <v>15957951</v>
      </c>
      <c r="E50" s="58">
        <f aca="true" t="shared" si="16" ref="E50:P50">E48+E49</f>
        <v>15885847</v>
      </c>
      <c r="F50" s="58">
        <f t="shared" si="16"/>
        <v>1326502</v>
      </c>
      <c r="G50" s="58">
        <f t="shared" si="16"/>
        <v>227518</v>
      </c>
      <c r="H50" s="58">
        <f t="shared" si="16"/>
        <v>1098984</v>
      </c>
      <c r="I50" s="58">
        <f t="shared" si="16"/>
        <v>2403767</v>
      </c>
      <c r="J50" s="58">
        <f t="shared" si="16"/>
        <v>0</v>
      </c>
      <c r="K50" s="58">
        <f t="shared" si="16"/>
        <v>12155578</v>
      </c>
      <c r="L50" s="58">
        <f t="shared" si="16"/>
        <v>0</v>
      </c>
      <c r="M50" s="58">
        <f t="shared" si="16"/>
        <v>72104</v>
      </c>
      <c r="N50" s="58">
        <f t="shared" si="16"/>
        <v>72104</v>
      </c>
      <c r="O50" s="58">
        <f t="shared" si="16"/>
        <v>72104</v>
      </c>
      <c r="P50" s="58">
        <f t="shared" si="16"/>
        <v>0</v>
      </c>
      <c r="Q50" s="47"/>
    </row>
    <row r="51" spans="1:17" s="35" customFormat="1" ht="12.75">
      <c r="A51" s="803" t="s">
        <v>206</v>
      </c>
      <c r="B51" s="804" t="s">
        <v>207</v>
      </c>
      <c r="C51" s="61" t="s">
        <v>13</v>
      </c>
      <c r="D51" s="59">
        <f>E51+M51</f>
        <v>3725178</v>
      </c>
      <c r="E51" s="60">
        <f>F51+I51+J51+K51+L51</f>
        <v>3710269</v>
      </c>
      <c r="F51" s="60">
        <f>G51+H51</f>
        <v>1306502</v>
      </c>
      <c r="G51" s="60">
        <v>225018</v>
      </c>
      <c r="H51" s="60">
        <f>9000+1069710+2774</f>
        <v>1081484</v>
      </c>
      <c r="I51" s="60">
        <v>2403767</v>
      </c>
      <c r="J51" s="60">
        <v>0</v>
      </c>
      <c r="K51" s="60">
        <v>0</v>
      </c>
      <c r="L51" s="60">
        <v>0</v>
      </c>
      <c r="M51" s="60">
        <f>N51+P51</f>
        <v>14909</v>
      </c>
      <c r="N51" s="60">
        <v>14909</v>
      </c>
      <c r="O51" s="60">
        <v>14909</v>
      </c>
      <c r="P51" s="60">
        <v>0</v>
      </c>
      <c r="Q51" s="45"/>
    </row>
    <row r="52" spans="1:17" s="35" customFormat="1" ht="12.75">
      <c r="A52" s="803"/>
      <c r="B52" s="804"/>
      <c r="C52" s="38" t="s">
        <v>14</v>
      </c>
      <c r="D52" s="59">
        <f>E52+M52</f>
        <v>57195</v>
      </c>
      <c r="E52" s="60">
        <f>F52+I52+J52+K52+L52</f>
        <v>0</v>
      </c>
      <c r="F52" s="60">
        <f>G52+H52</f>
        <v>0</v>
      </c>
      <c r="G52" s="60"/>
      <c r="H52" s="60"/>
      <c r="I52" s="60"/>
      <c r="J52" s="60"/>
      <c r="K52" s="60"/>
      <c r="L52" s="60"/>
      <c r="M52" s="60">
        <f>N52+P52</f>
        <v>57195</v>
      </c>
      <c r="N52" s="60">
        <v>57195</v>
      </c>
      <c r="O52" s="60">
        <v>57195</v>
      </c>
      <c r="P52" s="60"/>
      <c r="Q52" s="45"/>
    </row>
    <row r="53" spans="1:17" s="35" customFormat="1" ht="12.75">
      <c r="A53" s="803"/>
      <c r="B53" s="804"/>
      <c r="C53" s="38" t="s">
        <v>15</v>
      </c>
      <c r="D53" s="59">
        <f>D51+D52</f>
        <v>3782373</v>
      </c>
      <c r="E53" s="60">
        <f aca="true" t="shared" si="17" ref="E53:P53">E51+E52</f>
        <v>3710269</v>
      </c>
      <c r="F53" s="60">
        <f t="shared" si="17"/>
        <v>1306502</v>
      </c>
      <c r="G53" s="60">
        <f t="shared" si="17"/>
        <v>225018</v>
      </c>
      <c r="H53" s="60">
        <f t="shared" si="17"/>
        <v>1081484</v>
      </c>
      <c r="I53" s="60">
        <f t="shared" si="17"/>
        <v>2403767</v>
      </c>
      <c r="J53" s="60">
        <f t="shared" si="17"/>
        <v>0</v>
      </c>
      <c r="K53" s="60">
        <f t="shared" si="17"/>
        <v>0</v>
      </c>
      <c r="L53" s="60">
        <f t="shared" si="17"/>
        <v>0</v>
      </c>
      <c r="M53" s="60">
        <f t="shared" si="17"/>
        <v>72104</v>
      </c>
      <c r="N53" s="60">
        <f t="shared" si="17"/>
        <v>72104</v>
      </c>
      <c r="O53" s="60">
        <f t="shared" si="17"/>
        <v>72104</v>
      </c>
      <c r="P53" s="60">
        <f t="shared" si="17"/>
        <v>0</v>
      </c>
      <c r="Q53" s="45"/>
    </row>
    <row r="54" spans="1:17" s="35" customFormat="1" ht="12.75">
      <c r="A54" s="803" t="s">
        <v>112</v>
      </c>
      <c r="B54" s="804" t="s">
        <v>113</v>
      </c>
      <c r="C54" s="61" t="s">
        <v>13</v>
      </c>
      <c r="D54" s="59">
        <f>E54+M54</f>
        <v>11627259</v>
      </c>
      <c r="E54" s="60">
        <f>F54+I54+J54+K54+L54</f>
        <v>11627259</v>
      </c>
      <c r="F54" s="60">
        <f>G54+H54</f>
        <v>0</v>
      </c>
      <c r="G54" s="60">
        <v>0</v>
      </c>
      <c r="H54" s="60">
        <v>0</v>
      </c>
      <c r="I54" s="60">
        <v>0</v>
      </c>
      <c r="J54" s="60">
        <v>0</v>
      </c>
      <c r="K54" s="60">
        <v>11627259</v>
      </c>
      <c r="L54" s="60">
        <v>0</v>
      </c>
      <c r="M54" s="60">
        <f>N54+P54</f>
        <v>0</v>
      </c>
      <c r="N54" s="60">
        <v>0</v>
      </c>
      <c r="O54" s="60">
        <v>0</v>
      </c>
      <c r="P54" s="60">
        <v>0</v>
      </c>
      <c r="Q54" s="45"/>
    </row>
    <row r="55" spans="1:17" s="35" customFormat="1" ht="12.75">
      <c r="A55" s="803"/>
      <c r="B55" s="804"/>
      <c r="C55" s="38" t="s">
        <v>14</v>
      </c>
      <c r="D55" s="59">
        <f>E55+M55</f>
        <v>42633</v>
      </c>
      <c r="E55" s="60">
        <f>F55+I55+J55+K55+L55</f>
        <v>42633</v>
      </c>
      <c r="F55" s="60">
        <f>G55+H55</f>
        <v>20000</v>
      </c>
      <c r="G55" s="60">
        <v>2500</v>
      </c>
      <c r="H55" s="60">
        <f>17500</f>
        <v>17500</v>
      </c>
      <c r="I55" s="60"/>
      <c r="J55" s="60"/>
      <c r="K55" s="60">
        <f>106369+6254-91586+35615-15744+6461-2244+920-14734-867+1061+62-1055-62-7382-435</f>
        <v>22633</v>
      </c>
      <c r="L55" s="60"/>
      <c r="M55" s="60">
        <f>N55+P55</f>
        <v>0</v>
      </c>
      <c r="N55" s="60"/>
      <c r="O55" s="60"/>
      <c r="P55" s="60"/>
      <c r="Q55" s="45"/>
    </row>
    <row r="56" spans="1:17" s="35" customFormat="1" ht="12.75">
      <c r="A56" s="803"/>
      <c r="B56" s="804"/>
      <c r="C56" s="38" t="s">
        <v>15</v>
      </c>
      <c r="D56" s="59">
        <f>D54+D55</f>
        <v>11669892</v>
      </c>
      <c r="E56" s="60">
        <f aca="true" t="shared" si="18" ref="E56:P56">E54+E55</f>
        <v>11669892</v>
      </c>
      <c r="F56" s="60">
        <f t="shared" si="18"/>
        <v>20000</v>
      </c>
      <c r="G56" s="60">
        <f t="shared" si="18"/>
        <v>2500</v>
      </c>
      <c r="H56" s="60">
        <f t="shared" si="18"/>
        <v>17500</v>
      </c>
      <c r="I56" s="60">
        <f t="shared" si="18"/>
        <v>0</v>
      </c>
      <c r="J56" s="60">
        <f t="shared" si="18"/>
        <v>0</v>
      </c>
      <c r="K56" s="60">
        <f t="shared" si="18"/>
        <v>11649892</v>
      </c>
      <c r="L56" s="60">
        <f t="shared" si="18"/>
        <v>0</v>
      </c>
      <c r="M56" s="60">
        <f t="shared" si="18"/>
        <v>0</v>
      </c>
      <c r="N56" s="60">
        <f t="shared" si="18"/>
        <v>0</v>
      </c>
      <c r="O56" s="60">
        <f t="shared" si="18"/>
        <v>0</v>
      </c>
      <c r="P56" s="60">
        <f t="shared" si="18"/>
        <v>0</v>
      </c>
      <c r="Q56" s="45"/>
    </row>
    <row r="57" spans="1:17" s="35" customFormat="1" ht="12.75">
      <c r="A57" s="803" t="s">
        <v>114</v>
      </c>
      <c r="B57" s="804" t="s">
        <v>52</v>
      </c>
      <c r="C57" s="61" t="s">
        <v>13</v>
      </c>
      <c r="D57" s="59">
        <f>E57+M57</f>
        <v>486660</v>
      </c>
      <c r="E57" s="60">
        <f>F57+I57+J57+K57+L57</f>
        <v>486660</v>
      </c>
      <c r="F57" s="60">
        <f>G57+H57</f>
        <v>0</v>
      </c>
      <c r="G57" s="60">
        <v>0</v>
      </c>
      <c r="H57" s="60">
        <v>0</v>
      </c>
      <c r="I57" s="60">
        <v>0</v>
      </c>
      <c r="J57" s="60">
        <v>0</v>
      </c>
      <c r="K57" s="60">
        <v>486660</v>
      </c>
      <c r="L57" s="60">
        <v>0</v>
      </c>
      <c r="M57" s="60">
        <f>N57+P57</f>
        <v>0</v>
      </c>
      <c r="N57" s="60">
        <v>0</v>
      </c>
      <c r="O57" s="60">
        <v>0</v>
      </c>
      <c r="P57" s="60">
        <v>0</v>
      </c>
      <c r="Q57" s="45"/>
    </row>
    <row r="58" spans="1:17" s="35" customFormat="1" ht="12.75">
      <c r="A58" s="803"/>
      <c r="B58" s="804"/>
      <c r="C58" s="38" t="s">
        <v>14</v>
      </c>
      <c r="D58" s="59">
        <f>E58+M58</f>
        <v>19026</v>
      </c>
      <c r="E58" s="60">
        <f>F58+I58+J58+K58+L58</f>
        <v>19026</v>
      </c>
      <c r="F58" s="60">
        <f>G58+H58</f>
        <v>0</v>
      </c>
      <c r="G58" s="60"/>
      <c r="H58" s="60"/>
      <c r="I58" s="60"/>
      <c r="J58" s="60"/>
      <c r="K58" s="60">
        <f>19970-944</f>
        <v>19026</v>
      </c>
      <c r="L58" s="60"/>
      <c r="M58" s="60">
        <f>N58+P58</f>
        <v>0</v>
      </c>
      <c r="N58" s="60"/>
      <c r="O58" s="60"/>
      <c r="P58" s="60"/>
      <c r="Q58" s="45"/>
    </row>
    <row r="59" spans="1:17" s="35" customFormat="1" ht="12.75">
      <c r="A59" s="803"/>
      <c r="B59" s="804"/>
      <c r="C59" s="38" t="s">
        <v>15</v>
      </c>
      <c r="D59" s="59">
        <f>D57+D58</f>
        <v>505686</v>
      </c>
      <c r="E59" s="60">
        <f aca="true" t="shared" si="19" ref="E59:P59">E57+E58</f>
        <v>505686</v>
      </c>
      <c r="F59" s="60">
        <f t="shared" si="19"/>
        <v>0</v>
      </c>
      <c r="G59" s="60">
        <f t="shared" si="19"/>
        <v>0</v>
      </c>
      <c r="H59" s="60">
        <f t="shared" si="19"/>
        <v>0</v>
      </c>
      <c r="I59" s="60">
        <f t="shared" si="19"/>
        <v>0</v>
      </c>
      <c r="J59" s="60">
        <f t="shared" si="19"/>
        <v>0</v>
      </c>
      <c r="K59" s="60">
        <f t="shared" si="19"/>
        <v>505686</v>
      </c>
      <c r="L59" s="60">
        <f t="shared" si="19"/>
        <v>0</v>
      </c>
      <c r="M59" s="60">
        <f t="shared" si="19"/>
        <v>0</v>
      </c>
      <c r="N59" s="60">
        <f t="shared" si="19"/>
        <v>0</v>
      </c>
      <c r="O59" s="60">
        <f t="shared" si="19"/>
        <v>0</v>
      </c>
      <c r="P59" s="60">
        <f t="shared" si="19"/>
        <v>0</v>
      </c>
      <c r="Q59" s="45"/>
    </row>
    <row r="60" spans="1:17" s="42" customFormat="1" ht="15" customHeight="1">
      <c r="A60" s="802" t="s">
        <v>339</v>
      </c>
      <c r="B60" s="801" t="s">
        <v>340</v>
      </c>
      <c r="C60" s="37" t="s">
        <v>13</v>
      </c>
      <c r="D60" s="57">
        <f aca="true" t="shared" si="20" ref="D60:N60">D63</f>
        <v>0</v>
      </c>
      <c r="E60" s="58">
        <f t="shared" si="20"/>
        <v>0</v>
      </c>
      <c r="F60" s="58">
        <f t="shared" si="20"/>
        <v>0</v>
      </c>
      <c r="G60" s="58">
        <f t="shared" si="20"/>
        <v>0</v>
      </c>
      <c r="H60" s="58">
        <f t="shared" si="20"/>
        <v>0</v>
      </c>
      <c r="I60" s="58">
        <f t="shared" si="20"/>
        <v>0</v>
      </c>
      <c r="J60" s="58">
        <f t="shared" si="20"/>
        <v>0</v>
      </c>
      <c r="K60" s="58">
        <f t="shared" si="20"/>
        <v>0</v>
      </c>
      <c r="L60" s="58">
        <f t="shared" si="20"/>
        <v>0</v>
      </c>
      <c r="M60" s="58">
        <f t="shared" si="20"/>
        <v>0</v>
      </c>
      <c r="N60" s="58">
        <f t="shared" si="20"/>
        <v>0</v>
      </c>
      <c r="O60" s="58">
        <f>O63</f>
        <v>0</v>
      </c>
      <c r="P60" s="58">
        <f>P63</f>
        <v>0</v>
      </c>
      <c r="Q60" s="49"/>
    </row>
    <row r="61" spans="1:17" s="42" customFormat="1" ht="15" customHeight="1">
      <c r="A61" s="802"/>
      <c r="B61" s="801"/>
      <c r="C61" s="37" t="s">
        <v>14</v>
      </c>
      <c r="D61" s="57">
        <f aca="true" t="shared" si="21" ref="D61:N61">D64</f>
        <v>18293</v>
      </c>
      <c r="E61" s="58">
        <f t="shared" si="21"/>
        <v>0</v>
      </c>
      <c r="F61" s="58">
        <f t="shared" si="21"/>
        <v>0</v>
      </c>
      <c r="G61" s="58">
        <f t="shared" si="21"/>
        <v>0</v>
      </c>
      <c r="H61" s="58">
        <f t="shared" si="21"/>
        <v>0</v>
      </c>
      <c r="I61" s="58">
        <f t="shared" si="21"/>
        <v>0</v>
      </c>
      <c r="J61" s="58">
        <f t="shared" si="21"/>
        <v>0</v>
      </c>
      <c r="K61" s="58">
        <f t="shared" si="21"/>
        <v>0</v>
      </c>
      <c r="L61" s="58">
        <f t="shared" si="21"/>
        <v>0</v>
      </c>
      <c r="M61" s="58">
        <f t="shared" si="21"/>
        <v>18293</v>
      </c>
      <c r="N61" s="58">
        <f t="shared" si="21"/>
        <v>18293</v>
      </c>
      <c r="O61" s="58">
        <f>O64</f>
        <v>0</v>
      </c>
      <c r="P61" s="58">
        <f>P64</f>
        <v>0</v>
      </c>
      <c r="Q61" s="49"/>
    </row>
    <row r="62" spans="1:17" s="42" customFormat="1" ht="15" customHeight="1">
      <c r="A62" s="802"/>
      <c r="B62" s="801"/>
      <c r="C62" s="37" t="s">
        <v>15</v>
      </c>
      <c r="D62" s="70">
        <f>D60+D61</f>
        <v>18293</v>
      </c>
      <c r="E62" s="58">
        <f aca="true" t="shared" si="22" ref="E62:P62">E60+E61</f>
        <v>0</v>
      </c>
      <c r="F62" s="58">
        <f t="shared" si="22"/>
        <v>0</v>
      </c>
      <c r="G62" s="58">
        <f t="shared" si="22"/>
        <v>0</v>
      </c>
      <c r="H62" s="58">
        <f t="shared" si="22"/>
        <v>0</v>
      </c>
      <c r="I62" s="58">
        <f t="shared" si="22"/>
        <v>0</v>
      </c>
      <c r="J62" s="58">
        <f t="shared" si="22"/>
        <v>0</v>
      </c>
      <c r="K62" s="58">
        <f t="shared" si="22"/>
        <v>0</v>
      </c>
      <c r="L62" s="58">
        <f t="shared" si="22"/>
        <v>0</v>
      </c>
      <c r="M62" s="58">
        <f t="shared" si="22"/>
        <v>18293</v>
      </c>
      <c r="N62" s="58">
        <f t="shared" si="22"/>
        <v>18293</v>
      </c>
      <c r="O62" s="58">
        <f t="shared" si="22"/>
        <v>0</v>
      </c>
      <c r="P62" s="58">
        <f t="shared" si="22"/>
        <v>0</v>
      </c>
      <c r="Q62" s="49"/>
    </row>
    <row r="63" spans="1:17" s="41" customFormat="1" ht="12.75">
      <c r="A63" s="803" t="s">
        <v>341</v>
      </c>
      <c r="B63" s="795" t="s">
        <v>359</v>
      </c>
      <c r="C63" s="61" t="s">
        <v>13</v>
      </c>
      <c r="D63" s="59">
        <f>E63+M63</f>
        <v>0</v>
      </c>
      <c r="E63" s="60">
        <f>F63+I63+J63+K63+L63</f>
        <v>0</v>
      </c>
      <c r="F63" s="60">
        <f>G63+H63</f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f>N63+P63</f>
        <v>0</v>
      </c>
      <c r="N63" s="60">
        <v>0</v>
      </c>
      <c r="O63" s="60">
        <v>0</v>
      </c>
      <c r="P63" s="60">
        <v>0</v>
      </c>
      <c r="Q63" s="48"/>
    </row>
    <row r="64" spans="1:17" s="41" customFormat="1" ht="12.75">
      <c r="A64" s="803"/>
      <c r="B64" s="795"/>
      <c r="C64" s="38" t="s">
        <v>14</v>
      </c>
      <c r="D64" s="59">
        <f>E64+M64</f>
        <v>18293</v>
      </c>
      <c r="E64" s="60">
        <f>F64+I64+J64+K64+L64</f>
        <v>0</v>
      </c>
      <c r="F64" s="60">
        <f>G64+H64</f>
        <v>0</v>
      </c>
      <c r="G64" s="60"/>
      <c r="H64" s="60"/>
      <c r="I64" s="60"/>
      <c r="J64" s="60"/>
      <c r="K64" s="60"/>
      <c r="L64" s="60"/>
      <c r="M64" s="60">
        <f>N64+P64</f>
        <v>18293</v>
      </c>
      <c r="N64" s="60">
        <v>18293</v>
      </c>
      <c r="O64" s="60"/>
      <c r="P64" s="60"/>
      <c r="Q64" s="48"/>
    </row>
    <row r="65" spans="1:17" s="41" customFormat="1" ht="12.75">
      <c r="A65" s="803"/>
      <c r="B65" s="795"/>
      <c r="C65" s="38" t="s">
        <v>15</v>
      </c>
      <c r="D65" s="59">
        <f>D63+D64</f>
        <v>18293</v>
      </c>
      <c r="E65" s="60">
        <f aca="true" t="shared" si="23" ref="E65:P65">E63+E64</f>
        <v>0</v>
      </c>
      <c r="F65" s="60">
        <f t="shared" si="23"/>
        <v>0</v>
      </c>
      <c r="G65" s="60">
        <f t="shared" si="23"/>
        <v>0</v>
      </c>
      <c r="H65" s="60">
        <f t="shared" si="23"/>
        <v>0</v>
      </c>
      <c r="I65" s="60">
        <f t="shared" si="23"/>
        <v>0</v>
      </c>
      <c r="J65" s="60">
        <f t="shared" si="23"/>
        <v>0</v>
      </c>
      <c r="K65" s="60">
        <f t="shared" si="23"/>
        <v>0</v>
      </c>
      <c r="L65" s="60">
        <f t="shared" si="23"/>
        <v>0</v>
      </c>
      <c r="M65" s="60">
        <f t="shared" si="23"/>
        <v>18293</v>
      </c>
      <c r="N65" s="60">
        <f t="shared" si="23"/>
        <v>18293</v>
      </c>
      <c r="O65" s="60">
        <f t="shared" si="23"/>
        <v>0</v>
      </c>
      <c r="P65" s="60">
        <f t="shared" si="23"/>
        <v>0</v>
      </c>
      <c r="Q65" s="48"/>
    </row>
    <row r="66" spans="1:17" s="42" customFormat="1" ht="14.25" hidden="1">
      <c r="A66" s="802" t="s">
        <v>115</v>
      </c>
      <c r="B66" s="801" t="s">
        <v>116</v>
      </c>
      <c r="C66" s="37" t="s">
        <v>13</v>
      </c>
      <c r="D66" s="57">
        <f aca="true" t="shared" si="24" ref="D66:P67">D69</f>
        <v>313550</v>
      </c>
      <c r="E66" s="58">
        <f t="shared" si="24"/>
        <v>313550</v>
      </c>
      <c r="F66" s="58">
        <f t="shared" si="24"/>
        <v>313550</v>
      </c>
      <c r="G66" s="58">
        <f t="shared" si="24"/>
        <v>294550</v>
      </c>
      <c r="H66" s="58">
        <f t="shared" si="24"/>
        <v>19000</v>
      </c>
      <c r="I66" s="58">
        <f t="shared" si="24"/>
        <v>0</v>
      </c>
      <c r="J66" s="58">
        <f t="shared" si="24"/>
        <v>0</v>
      </c>
      <c r="K66" s="58">
        <f t="shared" si="24"/>
        <v>0</v>
      </c>
      <c r="L66" s="58">
        <f t="shared" si="24"/>
        <v>0</v>
      </c>
      <c r="M66" s="58">
        <f t="shared" si="24"/>
        <v>0</v>
      </c>
      <c r="N66" s="58">
        <f t="shared" si="24"/>
        <v>0</v>
      </c>
      <c r="O66" s="58">
        <f>O69</f>
        <v>0</v>
      </c>
      <c r="P66" s="58">
        <f t="shared" si="24"/>
        <v>0</v>
      </c>
      <c r="Q66" s="49"/>
    </row>
    <row r="67" spans="1:17" s="42" customFormat="1" ht="14.25" hidden="1">
      <c r="A67" s="802"/>
      <c r="B67" s="801"/>
      <c r="C67" s="37" t="s">
        <v>14</v>
      </c>
      <c r="D67" s="57">
        <f t="shared" si="24"/>
        <v>0</v>
      </c>
      <c r="E67" s="58">
        <f t="shared" si="24"/>
        <v>0</v>
      </c>
      <c r="F67" s="58">
        <f t="shared" si="24"/>
        <v>0</v>
      </c>
      <c r="G67" s="58">
        <f t="shared" si="24"/>
        <v>0</v>
      </c>
      <c r="H67" s="58">
        <f t="shared" si="24"/>
        <v>0</v>
      </c>
      <c r="I67" s="58">
        <f t="shared" si="24"/>
        <v>0</v>
      </c>
      <c r="J67" s="58">
        <f t="shared" si="24"/>
        <v>0</v>
      </c>
      <c r="K67" s="58">
        <f t="shared" si="24"/>
        <v>0</v>
      </c>
      <c r="L67" s="58">
        <f t="shared" si="24"/>
        <v>0</v>
      </c>
      <c r="M67" s="58">
        <f t="shared" si="24"/>
        <v>0</v>
      </c>
      <c r="N67" s="58">
        <f t="shared" si="24"/>
        <v>0</v>
      </c>
      <c r="O67" s="58">
        <f>O70</f>
        <v>0</v>
      </c>
      <c r="P67" s="58">
        <f t="shared" si="24"/>
        <v>0</v>
      </c>
      <c r="Q67" s="49"/>
    </row>
    <row r="68" spans="1:17" s="42" customFormat="1" ht="14.25" hidden="1">
      <c r="A68" s="802"/>
      <c r="B68" s="801"/>
      <c r="C68" s="37" t="s">
        <v>15</v>
      </c>
      <c r="D68" s="70">
        <f>D66+D67</f>
        <v>313550</v>
      </c>
      <c r="E68" s="58">
        <f aca="true" t="shared" si="25" ref="E68:P68">E66+E67</f>
        <v>313550</v>
      </c>
      <c r="F68" s="58">
        <f t="shared" si="25"/>
        <v>313550</v>
      </c>
      <c r="G68" s="58">
        <f t="shared" si="25"/>
        <v>294550</v>
      </c>
      <c r="H68" s="58">
        <f t="shared" si="25"/>
        <v>19000</v>
      </c>
      <c r="I68" s="58">
        <f t="shared" si="25"/>
        <v>0</v>
      </c>
      <c r="J68" s="58">
        <f t="shared" si="25"/>
        <v>0</v>
      </c>
      <c r="K68" s="58">
        <f t="shared" si="25"/>
        <v>0</v>
      </c>
      <c r="L68" s="58">
        <f t="shared" si="25"/>
        <v>0</v>
      </c>
      <c r="M68" s="58">
        <f t="shared" si="25"/>
        <v>0</v>
      </c>
      <c r="N68" s="58">
        <f t="shared" si="25"/>
        <v>0</v>
      </c>
      <c r="O68" s="58">
        <f t="shared" si="25"/>
        <v>0</v>
      </c>
      <c r="P68" s="58">
        <f t="shared" si="25"/>
        <v>0</v>
      </c>
      <c r="Q68" s="49"/>
    </row>
    <row r="69" spans="1:17" s="41" customFormat="1" ht="12.75" hidden="1">
      <c r="A69" s="803" t="s">
        <v>117</v>
      </c>
      <c r="B69" s="795" t="s">
        <v>118</v>
      </c>
      <c r="C69" s="61" t="s">
        <v>13</v>
      </c>
      <c r="D69" s="59">
        <f>E69+M69</f>
        <v>313550</v>
      </c>
      <c r="E69" s="60">
        <f>F69+I69+J69+K69+L69</f>
        <v>313550</v>
      </c>
      <c r="F69" s="60">
        <f>G69+H69</f>
        <v>313550</v>
      </c>
      <c r="G69" s="60">
        <v>294550</v>
      </c>
      <c r="H69" s="60">
        <v>19000</v>
      </c>
      <c r="I69" s="60">
        <v>0</v>
      </c>
      <c r="J69" s="60">
        <v>0</v>
      </c>
      <c r="K69" s="60">
        <v>0</v>
      </c>
      <c r="L69" s="60">
        <v>0</v>
      </c>
      <c r="M69" s="60">
        <f>N69+P69</f>
        <v>0</v>
      </c>
      <c r="N69" s="60">
        <v>0</v>
      </c>
      <c r="O69" s="60">
        <v>0</v>
      </c>
      <c r="P69" s="60">
        <v>0</v>
      </c>
      <c r="Q69" s="48"/>
    </row>
    <row r="70" spans="1:17" s="41" customFormat="1" ht="12.75" hidden="1">
      <c r="A70" s="803"/>
      <c r="B70" s="795"/>
      <c r="C70" s="38" t="s">
        <v>14</v>
      </c>
      <c r="D70" s="59">
        <f>E70+M70</f>
        <v>0</v>
      </c>
      <c r="E70" s="60">
        <f>F70+I70+J70+K70+L70</f>
        <v>0</v>
      </c>
      <c r="F70" s="60">
        <f>G70+H70</f>
        <v>0</v>
      </c>
      <c r="G70" s="60"/>
      <c r="H70" s="60"/>
      <c r="I70" s="60"/>
      <c r="J70" s="60"/>
      <c r="K70" s="60"/>
      <c r="L70" s="60"/>
      <c r="M70" s="60">
        <f>N70+P70</f>
        <v>0</v>
      </c>
      <c r="N70" s="60"/>
      <c r="O70" s="60"/>
      <c r="P70" s="60"/>
      <c r="Q70" s="48"/>
    </row>
    <row r="71" spans="1:17" s="41" customFormat="1" ht="12.75" hidden="1">
      <c r="A71" s="803"/>
      <c r="B71" s="795"/>
      <c r="C71" s="38" t="s">
        <v>15</v>
      </c>
      <c r="D71" s="59">
        <f>D69+D70</f>
        <v>313550</v>
      </c>
      <c r="E71" s="60">
        <f aca="true" t="shared" si="26" ref="E71:P71">E69+E70</f>
        <v>313550</v>
      </c>
      <c r="F71" s="60">
        <f t="shared" si="26"/>
        <v>313550</v>
      </c>
      <c r="G71" s="60">
        <f t="shared" si="26"/>
        <v>294550</v>
      </c>
      <c r="H71" s="60">
        <f t="shared" si="26"/>
        <v>19000</v>
      </c>
      <c r="I71" s="60">
        <f t="shared" si="26"/>
        <v>0</v>
      </c>
      <c r="J71" s="60">
        <f t="shared" si="26"/>
        <v>0</v>
      </c>
      <c r="K71" s="60">
        <f t="shared" si="26"/>
        <v>0</v>
      </c>
      <c r="L71" s="60">
        <f t="shared" si="26"/>
        <v>0</v>
      </c>
      <c r="M71" s="60">
        <f t="shared" si="26"/>
        <v>0</v>
      </c>
      <c r="N71" s="60">
        <f t="shared" si="26"/>
        <v>0</v>
      </c>
      <c r="O71" s="60">
        <f t="shared" si="26"/>
        <v>0</v>
      </c>
      <c r="P71" s="60">
        <f t="shared" si="26"/>
        <v>0</v>
      </c>
      <c r="Q71" s="48"/>
    </row>
    <row r="72" spans="1:17" s="40" customFormat="1" ht="14.25">
      <c r="A72" s="802" t="s">
        <v>19</v>
      </c>
      <c r="B72" s="801" t="s">
        <v>20</v>
      </c>
      <c r="C72" s="37" t="s">
        <v>13</v>
      </c>
      <c r="D72" s="57">
        <f aca="true" t="shared" si="27" ref="D72:P73">D75+D78+D81+D84+D93+D90+D87</f>
        <v>473437312</v>
      </c>
      <c r="E72" s="58">
        <f t="shared" si="27"/>
        <v>185783323</v>
      </c>
      <c r="F72" s="58">
        <f t="shared" si="27"/>
        <v>86713895</v>
      </c>
      <c r="G72" s="58">
        <f t="shared" si="27"/>
        <v>13359864</v>
      </c>
      <c r="H72" s="58">
        <f t="shared" si="27"/>
        <v>73354031</v>
      </c>
      <c r="I72" s="58">
        <f t="shared" si="27"/>
        <v>98366302</v>
      </c>
      <c r="J72" s="58">
        <f t="shared" si="27"/>
        <v>75031</v>
      </c>
      <c r="K72" s="58">
        <f t="shared" si="27"/>
        <v>628095</v>
      </c>
      <c r="L72" s="58">
        <f t="shared" si="27"/>
        <v>0</v>
      </c>
      <c r="M72" s="58">
        <f t="shared" si="27"/>
        <v>287653989</v>
      </c>
      <c r="N72" s="58">
        <f t="shared" si="27"/>
        <v>287153989</v>
      </c>
      <c r="O72" s="58">
        <f t="shared" si="27"/>
        <v>234761039</v>
      </c>
      <c r="P72" s="58">
        <f t="shared" si="27"/>
        <v>500000</v>
      </c>
      <c r="Q72" s="47"/>
    </row>
    <row r="73" spans="1:17" s="40" customFormat="1" ht="14.25">
      <c r="A73" s="802"/>
      <c r="B73" s="801"/>
      <c r="C73" s="37" t="s">
        <v>14</v>
      </c>
      <c r="D73" s="57">
        <f t="shared" si="27"/>
        <v>-40445330</v>
      </c>
      <c r="E73" s="58">
        <f t="shared" si="27"/>
        <v>996841</v>
      </c>
      <c r="F73" s="58">
        <f t="shared" si="27"/>
        <v>74720</v>
      </c>
      <c r="G73" s="58">
        <f t="shared" si="27"/>
        <v>0</v>
      </c>
      <c r="H73" s="58">
        <f t="shared" si="27"/>
        <v>74720</v>
      </c>
      <c r="I73" s="58">
        <f t="shared" si="27"/>
        <v>0</v>
      </c>
      <c r="J73" s="58">
        <f t="shared" si="27"/>
        <v>0</v>
      </c>
      <c r="K73" s="58">
        <f t="shared" si="27"/>
        <v>922121</v>
      </c>
      <c r="L73" s="58">
        <f t="shared" si="27"/>
        <v>0</v>
      </c>
      <c r="M73" s="58">
        <f t="shared" si="27"/>
        <v>-41442171</v>
      </c>
      <c r="N73" s="58">
        <f t="shared" si="27"/>
        <v>-41442171</v>
      </c>
      <c r="O73" s="58">
        <f t="shared" si="27"/>
        <v>-59543849</v>
      </c>
      <c r="P73" s="58">
        <f t="shared" si="27"/>
        <v>0</v>
      </c>
      <c r="Q73" s="47"/>
    </row>
    <row r="74" spans="1:17" s="40" customFormat="1" ht="14.25">
      <c r="A74" s="802"/>
      <c r="B74" s="801"/>
      <c r="C74" s="37" t="s">
        <v>15</v>
      </c>
      <c r="D74" s="70">
        <f>D72+D73</f>
        <v>432991982</v>
      </c>
      <c r="E74" s="58">
        <f aca="true" t="shared" si="28" ref="E74:P74">E72+E73</f>
        <v>186780164</v>
      </c>
      <c r="F74" s="58">
        <f t="shared" si="28"/>
        <v>86788615</v>
      </c>
      <c r="G74" s="58">
        <f t="shared" si="28"/>
        <v>13359864</v>
      </c>
      <c r="H74" s="58">
        <f t="shared" si="28"/>
        <v>73428751</v>
      </c>
      <c r="I74" s="58">
        <f t="shared" si="28"/>
        <v>98366302</v>
      </c>
      <c r="J74" s="58">
        <f t="shared" si="28"/>
        <v>75031</v>
      </c>
      <c r="K74" s="58">
        <f t="shared" si="28"/>
        <v>1550216</v>
      </c>
      <c r="L74" s="58">
        <f t="shared" si="28"/>
        <v>0</v>
      </c>
      <c r="M74" s="58">
        <f t="shared" si="28"/>
        <v>246211818</v>
      </c>
      <c r="N74" s="58">
        <f t="shared" si="28"/>
        <v>245711818</v>
      </c>
      <c r="O74" s="58">
        <f t="shared" si="28"/>
        <v>175217190</v>
      </c>
      <c r="P74" s="58">
        <f t="shared" si="28"/>
        <v>500000</v>
      </c>
      <c r="Q74" s="47"/>
    </row>
    <row r="75" spans="1:17" s="35" customFormat="1" ht="12.75" hidden="1">
      <c r="A75" s="803" t="s">
        <v>119</v>
      </c>
      <c r="B75" s="795" t="s">
        <v>120</v>
      </c>
      <c r="C75" s="61" t="s">
        <v>13</v>
      </c>
      <c r="D75" s="59">
        <f>E75+M75</f>
        <v>108278668</v>
      </c>
      <c r="E75" s="60">
        <f>F75+I75+J75+K75+L75</f>
        <v>108278668</v>
      </c>
      <c r="F75" s="60">
        <f>G75+H75</f>
        <v>9962366</v>
      </c>
      <c r="G75" s="60">
        <v>0</v>
      </c>
      <c r="H75" s="60">
        <v>9962366</v>
      </c>
      <c r="I75" s="60">
        <v>98316302</v>
      </c>
      <c r="J75" s="60">
        <v>0</v>
      </c>
      <c r="K75" s="60">
        <v>0</v>
      </c>
      <c r="L75" s="60">
        <v>0</v>
      </c>
      <c r="M75" s="60">
        <f aca="true" t="shared" si="29" ref="M75:M94">N75+P75</f>
        <v>0</v>
      </c>
      <c r="N75" s="60">
        <v>0</v>
      </c>
      <c r="O75" s="60">
        <v>0</v>
      </c>
      <c r="P75" s="60">
        <v>0</v>
      </c>
      <c r="Q75" s="45"/>
    </row>
    <row r="76" spans="1:17" s="35" customFormat="1" ht="12.75" hidden="1">
      <c r="A76" s="803"/>
      <c r="B76" s="795"/>
      <c r="C76" s="38" t="s">
        <v>14</v>
      </c>
      <c r="D76" s="59">
        <f>E76+M76</f>
        <v>0</v>
      </c>
      <c r="E76" s="60">
        <f>F76+I76+J76+K76+L76</f>
        <v>0</v>
      </c>
      <c r="F76" s="60">
        <f>G76+H76</f>
        <v>0</v>
      </c>
      <c r="G76" s="60"/>
      <c r="H76" s="60"/>
      <c r="I76" s="60"/>
      <c r="J76" s="60"/>
      <c r="K76" s="60"/>
      <c r="L76" s="60"/>
      <c r="M76" s="60">
        <f t="shared" si="29"/>
        <v>0</v>
      </c>
      <c r="N76" s="60"/>
      <c r="O76" s="60"/>
      <c r="P76" s="60"/>
      <c r="Q76" s="45"/>
    </row>
    <row r="77" spans="1:17" s="35" customFormat="1" ht="12.75" hidden="1">
      <c r="A77" s="803"/>
      <c r="B77" s="795"/>
      <c r="C77" s="38" t="s">
        <v>15</v>
      </c>
      <c r="D77" s="59">
        <f>D75+D76</f>
        <v>108278668</v>
      </c>
      <c r="E77" s="60">
        <f aca="true" t="shared" si="30" ref="E77:P77">E75+E76</f>
        <v>108278668</v>
      </c>
      <c r="F77" s="60">
        <f t="shared" si="30"/>
        <v>9962366</v>
      </c>
      <c r="G77" s="60">
        <f t="shared" si="30"/>
        <v>0</v>
      </c>
      <c r="H77" s="60">
        <f t="shared" si="30"/>
        <v>9962366</v>
      </c>
      <c r="I77" s="60">
        <f t="shared" si="30"/>
        <v>98316302</v>
      </c>
      <c r="J77" s="60">
        <f t="shared" si="30"/>
        <v>0</v>
      </c>
      <c r="K77" s="60">
        <f t="shared" si="30"/>
        <v>0</v>
      </c>
      <c r="L77" s="60">
        <f t="shared" si="30"/>
        <v>0</v>
      </c>
      <c r="M77" s="60">
        <f t="shared" si="30"/>
        <v>0</v>
      </c>
      <c r="N77" s="60">
        <f t="shared" si="30"/>
        <v>0</v>
      </c>
      <c r="O77" s="60">
        <f t="shared" si="30"/>
        <v>0</v>
      </c>
      <c r="P77" s="60">
        <f t="shared" si="30"/>
        <v>0</v>
      </c>
      <c r="Q77" s="45"/>
    </row>
    <row r="78" spans="1:17" s="35" customFormat="1" ht="12.75">
      <c r="A78" s="803" t="s">
        <v>121</v>
      </c>
      <c r="B78" s="795" t="s">
        <v>122</v>
      </c>
      <c r="C78" s="61" t="s">
        <v>13</v>
      </c>
      <c r="D78" s="59">
        <f>E78+M78</f>
        <v>265129</v>
      </c>
      <c r="E78" s="60">
        <f>F78+I78+J78+K78+L78</f>
        <v>15129</v>
      </c>
      <c r="F78" s="60">
        <f>G78+H78</f>
        <v>15129</v>
      </c>
      <c r="G78" s="60">
        <v>0</v>
      </c>
      <c r="H78" s="60">
        <v>15129</v>
      </c>
      <c r="I78" s="60">
        <v>0</v>
      </c>
      <c r="J78" s="60">
        <v>0</v>
      </c>
      <c r="K78" s="60">
        <v>0</v>
      </c>
      <c r="L78" s="60">
        <v>0</v>
      </c>
      <c r="M78" s="60">
        <f t="shared" si="29"/>
        <v>250000</v>
      </c>
      <c r="N78" s="60">
        <v>250000</v>
      </c>
      <c r="O78" s="60">
        <v>0</v>
      </c>
      <c r="P78" s="60">
        <v>0</v>
      </c>
      <c r="Q78" s="45"/>
    </row>
    <row r="79" spans="1:17" s="35" customFormat="1" ht="12.75">
      <c r="A79" s="803"/>
      <c r="B79" s="795"/>
      <c r="C79" s="38" t="s">
        <v>14</v>
      </c>
      <c r="D79" s="59">
        <f>E79+M79</f>
        <v>100000</v>
      </c>
      <c r="E79" s="60">
        <f>F79+I79+J79+K79+L79</f>
        <v>0</v>
      </c>
      <c r="F79" s="60">
        <f>G79+H79</f>
        <v>0</v>
      </c>
      <c r="G79" s="60"/>
      <c r="H79" s="60"/>
      <c r="I79" s="60"/>
      <c r="J79" s="60"/>
      <c r="K79" s="60"/>
      <c r="L79" s="60"/>
      <c r="M79" s="60">
        <f t="shared" si="29"/>
        <v>100000</v>
      </c>
      <c r="N79" s="60">
        <v>100000</v>
      </c>
      <c r="O79" s="60"/>
      <c r="P79" s="60"/>
      <c r="Q79" s="45"/>
    </row>
    <row r="80" spans="1:17" s="35" customFormat="1" ht="12.75">
      <c r="A80" s="803"/>
      <c r="B80" s="795"/>
      <c r="C80" s="38" t="s">
        <v>15</v>
      </c>
      <c r="D80" s="59">
        <f>D78+D79</f>
        <v>365129</v>
      </c>
      <c r="E80" s="60">
        <f aca="true" t="shared" si="31" ref="E80:P80">E78+E79</f>
        <v>15129</v>
      </c>
      <c r="F80" s="60">
        <f t="shared" si="31"/>
        <v>15129</v>
      </c>
      <c r="G80" s="60">
        <f t="shared" si="31"/>
        <v>0</v>
      </c>
      <c r="H80" s="60">
        <f t="shared" si="31"/>
        <v>15129</v>
      </c>
      <c r="I80" s="60">
        <f t="shared" si="31"/>
        <v>0</v>
      </c>
      <c r="J80" s="60">
        <f t="shared" si="31"/>
        <v>0</v>
      </c>
      <c r="K80" s="60">
        <f t="shared" si="31"/>
        <v>0</v>
      </c>
      <c r="L80" s="60">
        <f t="shared" si="31"/>
        <v>0</v>
      </c>
      <c r="M80" s="60">
        <f t="shared" si="31"/>
        <v>350000</v>
      </c>
      <c r="N80" s="60">
        <f t="shared" si="31"/>
        <v>350000</v>
      </c>
      <c r="O80" s="60">
        <f t="shared" si="31"/>
        <v>0</v>
      </c>
      <c r="P80" s="60">
        <f t="shared" si="31"/>
        <v>0</v>
      </c>
      <c r="Q80" s="45"/>
    </row>
    <row r="81" spans="1:17" s="35" customFormat="1" ht="12.75" hidden="1">
      <c r="A81" s="803" t="s">
        <v>49</v>
      </c>
      <c r="B81" s="795" t="s">
        <v>50</v>
      </c>
      <c r="C81" s="61" t="s">
        <v>13</v>
      </c>
      <c r="D81" s="59">
        <f>E81+M81</f>
        <v>37000000</v>
      </c>
      <c r="E81" s="60">
        <f>F81+I81+J81+K81+L81</f>
        <v>37000000</v>
      </c>
      <c r="F81" s="60">
        <f>G81+H81</f>
        <v>37000000</v>
      </c>
      <c r="G81" s="60">
        <v>0</v>
      </c>
      <c r="H81" s="60">
        <v>37000000</v>
      </c>
      <c r="I81" s="60">
        <v>0</v>
      </c>
      <c r="J81" s="60">
        <v>0</v>
      </c>
      <c r="K81" s="60">
        <v>0</v>
      </c>
      <c r="L81" s="60">
        <v>0</v>
      </c>
      <c r="M81" s="60">
        <f t="shared" si="29"/>
        <v>0</v>
      </c>
      <c r="N81" s="60">
        <v>0</v>
      </c>
      <c r="O81" s="60">
        <v>0</v>
      </c>
      <c r="P81" s="60">
        <v>0</v>
      </c>
      <c r="Q81" s="45"/>
    </row>
    <row r="82" spans="1:17" s="35" customFormat="1" ht="12.75" hidden="1">
      <c r="A82" s="803"/>
      <c r="B82" s="795"/>
      <c r="C82" s="38" t="s">
        <v>14</v>
      </c>
      <c r="D82" s="59">
        <f>E82+M82</f>
        <v>0</v>
      </c>
      <c r="E82" s="60">
        <f>F82+I82+J82+K82+L82</f>
        <v>0</v>
      </c>
      <c r="F82" s="60">
        <f>G82+H82</f>
        <v>0</v>
      </c>
      <c r="G82" s="60"/>
      <c r="H82" s="60"/>
      <c r="I82" s="60"/>
      <c r="J82" s="60"/>
      <c r="K82" s="60"/>
      <c r="L82" s="60"/>
      <c r="M82" s="60">
        <f t="shared" si="29"/>
        <v>0</v>
      </c>
      <c r="N82" s="60"/>
      <c r="O82" s="60"/>
      <c r="P82" s="60"/>
      <c r="Q82" s="45"/>
    </row>
    <row r="83" spans="1:17" s="35" customFormat="1" ht="12.75" hidden="1">
      <c r="A83" s="803"/>
      <c r="B83" s="795"/>
      <c r="C83" s="38" t="s">
        <v>15</v>
      </c>
      <c r="D83" s="59">
        <f>D81+D82</f>
        <v>37000000</v>
      </c>
      <c r="E83" s="60">
        <f aca="true" t="shared" si="32" ref="E83:P83">E81+E82</f>
        <v>37000000</v>
      </c>
      <c r="F83" s="60">
        <f t="shared" si="32"/>
        <v>37000000</v>
      </c>
      <c r="G83" s="60">
        <f t="shared" si="32"/>
        <v>0</v>
      </c>
      <c r="H83" s="60">
        <f t="shared" si="32"/>
        <v>37000000</v>
      </c>
      <c r="I83" s="60">
        <f t="shared" si="32"/>
        <v>0</v>
      </c>
      <c r="J83" s="60">
        <f t="shared" si="32"/>
        <v>0</v>
      </c>
      <c r="K83" s="60">
        <f t="shared" si="32"/>
        <v>0</v>
      </c>
      <c r="L83" s="60">
        <f t="shared" si="32"/>
        <v>0</v>
      </c>
      <c r="M83" s="60">
        <f t="shared" si="32"/>
        <v>0</v>
      </c>
      <c r="N83" s="60">
        <f t="shared" si="32"/>
        <v>0</v>
      </c>
      <c r="O83" s="60">
        <f t="shared" si="32"/>
        <v>0</v>
      </c>
      <c r="P83" s="60">
        <f t="shared" si="32"/>
        <v>0</v>
      </c>
      <c r="Q83" s="45"/>
    </row>
    <row r="84" spans="1:17" s="35" customFormat="1" ht="12.75">
      <c r="A84" s="803" t="s">
        <v>21</v>
      </c>
      <c r="B84" s="795" t="s">
        <v>123</v>
      </c>
      <c r="C84" s="61" t="s">
        <v>13</v>
      </c>
      <c r="D84" s="59">
        <f>E84+M84</f>
        <v>321768968</v>
      </c>
      <c r="E84" s="60">
        <f>F84+I84+J84+K84+L84</f>
        <v>39814979</v>
      </c>
      <c r="F84" s="60">
        <f>G84+H84</f>
        <v>39398400</v>
      </c>
      <c r="G84" s="60">
        <v>13207139</v>
      </c>
      <c r="H84" s="60">
        <f>155000+3690000+6000+355000+7814000+16450+12087000+134400+150000+7000+7000+881364+211031+75000+726+7000+578290+16000</f>
        <v>26191261</v>
      </c>
      <c r="I84" s="60">
        <v>0</v>
      </c>
      <c r="J84" s="60">
        <v>75031</v>
      </c>
      <c r="K84" s="60">
        <f>22664+4000+163795+28904+59281+10461+39108+6902+5469+964</f>
        <v>341548</v>
      </c>
      <c r="L84" s="60">
        <v>0</v>
      </c>
      <c r="M84" s="60">
        <f t="shared" si="29"/>
        <v>281953989</v>
      </c>
      <c r="N84" s="60">
        <v>281953989</v>
      </c>
      <c r="O84" s="60">
        <f>196244887+37460594+466500+589058</f>
        <v>234761039</v>
      </c>
      <c r="P84" s="60">
        <v>0</v>
      </c>
      <c r="Q84" s="45"/>
    </row>
    <row r="85" spans="1:17" s="35" customFormat="1" ht="12.75">
      <c r="A85" s="803"/>
      <c r="B85" s="795"/>
      <c r="C85" s="38" t="s">
        <v>14</v>
      </c>
      <c r="D85" s="59">
        <f>E85+M85</f>
        <v>-40737678</v>
      </c>
      <c r="E85" s="60">
        <f>F85+I85+J85+K85+L85</f>
        <v>804493</v>
      </c>
      <c r="F85" s="60">
        <f>G85+H85</f>
        <v>74720</v>
      </c>
      <c r="G85" s="60"/>
      <c r="H85" s="60">
        <f>9710+11822+53188</f>
        <v>74720</v>
      </c>
      <c r="I85" s="60"/>
      <c r="J85" s="60"/>
      <c r="K85" s="60">
        <f>354679+62587-10366-1823+60188+10620+8368+1476+206604+37440</f>
        <v>729773</v>
      </c>
      <c r="L85" s="60"/>
      <c r="M85" s="60">
        <f t="shared" si="29"/>
        <v>-41542171</v>
      </c>
      <c r="N85" s="60">
        <f>17358224-60615486+1071637+643454</f>
        <v>-41542171</v>
      </c>
      <c r="O85" s="60">
        <f>-60615486+1071637</f>
        <v>-59543849</v>
      </c>
      <c r="P85" s="60"/>
      <c r="Q85" s="45"/>
    </row>
    <row r="86" spans="1:17" s="35" customFormat="1" ht="12.75">
      <c r="A86" s="803"/>
      <c r="B86" s="795"/>
      <c r="C86" s="38" t="s">
        <v>15</v>
      </c>
      <c r="D86" s="59">
        <f>D84+D85</f>
        <v>281031290</v>
      </c>
      <c r="E86" s="60">
        <f aca="true" t="shared" si="33" ref="E86:P86">E84+E85</f>
        <v>40619472</v>
      </c>
      <c r="F86" s="60">
        <f t="shared" si="33"/>
        <v>39473120</v>
      </c>
      <c r="G86" s="60">
        <f t="shared" si="33"/>
        <v>13207139</v>
      </c>
      <c r="H86" s="60">
        <f t="shared" si="33"/>
        <v>26265981</v>
      </c>
      <c r="I86" s="60">
        <f t="shared" si="33"/>
        <v>0</v>
      </c>
      <c r="J86" s="60">
        <f t="shared" si="33"/>
        <v>75031</v>
      </c>
      <c r="K86" s="60">
        <f t="shared" si="33"/>
        <v>1071321</v>
      </c>
      <c r="L86" s="60">
        <f t="shared" si="33"/>
        <v>0</v>
      </c>
      <c r="M86" s="60">
        <f t="shared" si="33"/>
        <v>240411818</v>
      </c>
      <c r="N86" s="60">
        <f t="shared" si="33"/>
        <v>240411818</v>
      </c>
      <c r="O86" s="60">
        <f t="shared" si="33"/>
        <v>175217190</v>
      </c>
      <c r="P86" s="60">
        <f t="shared" si="33"/>
        <v>0</v>
      </c>
      <c r="Q86" s="45"/>
    </row>
    <row r="87" spans="1:17" s="35" customFormat="1" ht="12.75" hidden="1">
      <c r="A87" s="803" t="s">
        <v>82</v>
      </c>
      <c r="B87" s="795" t="s">
        <v>124</v>
      </c>
      <c r="C87" s="61" t="s">
        <v>13</v>
      </c>
      <c r="D87" s="59">
        <f>E87+M87</f>
        <v>4800000</v>
      </c>
      <c r="E87" s="60">
        <f>F87+I87+J87+K87+L87</f>
        <v>0</v>
      </c>
      <c r="F87" s="60">
        <f>G87+H87</f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f t="shared" si="29"/>
        <v>4800000</v>
      </c>
      <c r="N87" s="60">
        <v>4800000</v>
      </c>
      <c r="O87" s="60">
        <v>0</v>
      </c>
      <c r="P87" s="60">
        <v>0</v>
      </c>
      <c r="Q87" s="45"/>
    </row>
    <row r="88" spans="1:17" s="35" customFormat="1" ht="12.75" hidden="1">
      <c r="A88" s="803"/>
      <c r="B88" s="795"/>
      <c r="C88" s="38" t="s">
        <v>14</v>
      </c>
      <c r="D88" s="59">
        <f>E88+M88</f>
        <v>0</v>
      </c>
      <c r="E88" s="60">
        <f>F88+I88+J88+K88+L88</f>
        <v>0</v>
      </c>
      <c r="F88" s="60">
        <f>G88+H88</f>
        <v>0</v>
      </c>
      <c r="G88" s="60"/>
      <c r="H88" s="60"/>
      <c r="I88" s="60"/>
      <c r="J88" s="60"/>
      <c r="K88" s="60"/>
      <c r="L88" s="60"/>
      <c r="M88" s="60">
        <f t="shared" si="29"/>
        <v>0</v>
      </c>
      <c r="N88" s="60"/>
      <c r="O88" s="60"/>
      <c r="P88" s="60"/>
      <c r="Q88" s="45"/>
    </row>
    <row r="89" spans="1:17" s="35" customFormat="1" ht="12.75" hidden="1">
      <c r="A89" s="803"/>
      <c r="B89" s="795"/>
      <c r="C89" s="38" t="s">
        <v>15</v>
      </c>
      <c r="D89" s="59">
        <f>D87+D88</f>
        <v>4800000</v>
      </c>
      <c r="E89" s="60">
        <f aca="true" t="shared" si="34" ref="E89:P89">E87+E88</f>
        <v>0</v>
      </c>
      <c r="F89" s="60">
        <f t="shared" si="34"/>
        <v>0</v>
      </c>
      <c r="G89" s="60">
        <f t="shared" si="34"/>
        <v>0</v>
      </c>
      <c r="H89" s="60">
        <f t="shared" si="34"/>
        <v>0</v>
      </c>
      <c r="I89" s="60">
        <f t="shared" si="34"/>
        <v>0</v>
      </c>
      <c r="J89" s="60">
        <f t="shared" si="34"/>
        <v>0</v>
      </c>
      <c r="K89" s="60">
        <f t="shared" si="34"/>
        <v>0</v>
      </c>
      <c r="L89" s="60">
        <f t="shared" si="34"/>
        <v>0</v>
      </c>
      <c r="M89" s="60">
        <f t="shared" si="34"/>
        <v>4800000</v>
      </c>
      <c r="N89" s="60">
        <f t="shared" si="34"/>
        <v>4800000</v>
      </c>
      <c r="O89" s="60">
        <f t="shared" si="34"/>
        <v>0</v>
      </c>
      <c r="P89" s="60">
        <f t="shared" si="34"/>
        <v>0</v>
      </c>
      <c r="Q89" s="45"/>
    </row>
    <row r="90" spans="1:17" s="35" customFormat="1" ht="12.75" hidden="1">
      <c r="A90" s="803" t="s">
        <v>45</v>
      </c>
      <c r="B90" s="795" t="s">
        <v>125</v>
      </c>
      <c r="C90" s="61" t="s">
        <v>13</v>
      </c>
      <c r="D90" s="59">
        <f>E90+M90</f>
        <v>150000</v>
      </c>
      <c r="E90" s="60">
        <f>F90+I90+J90+K90+L90</f>
        <v>0</v>
      </c>
      <c r="F90" s="60">
        <f>G90+H90</f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f t="shared" si="29"/>
        <v>150000</v>
      </c>
      <c r="N90" s="60">
        <v>150000</v>
      </c>
      <c r="O90" s="60">
        <v>0</v>
      </c>
      <c r="P90" s="60">
        <v>0</v>
      </c>
      <c r="Q90" s="45"/>
    </row>
    <row r="91" spans="1:17" s="35" customFormat="1" ht="12.75" hidden="1">
      <c r="A91" s="803"/>
      <c r="B91" s="795"/>
      <c r="C91" s="38" t="s">
        <v>14</v>
      </c>
      <c r="D91" s="59">
        <f>E91+M91</f>
        <v>0</v>
      </c>
      <c r="E91" s="60">
        <f>F91+I91+J91+K91+L91</f>
        <v>0</v>
      </c>
      <c r="F91" s="60">
        <f>G91+H91</f>
        <v>0</v>
      </c>
      <c r="G91" s="60"/>
      <c r="H91" s="60"/>
      <c r="I91" s="60"/>
      <c r="J91" s="60"/>
      <c r="K91" s="60"/>
      <c r="L91" s="60"/>
      <c r="M91" s="60">
        <f t="shared" si="29"/>
        <v>0</v>
      </c>
      <c r="N91" s="60"/>
      <c r="O91" s="60"/>
      <c r="P91" s="60"/>
      <c r="Q91" s="45"/>
    </row>
    <row r="92" spans="1:17" s="35" customFormat="1" ht="12.75" hidden="1">
      <c r="A92" s="803"/>
      <c r="B92" s="795"/>
      <c r="C92" s="38" t="s">
        <v>15</v>
      </c>
      <c r="D92" s="59">
        <f>D90+D91</f>
        <v>150000</v>
      </c>
      <c r="E92" s="60">
        <f aca="true" t="shared" si="35" ref="E92:P92">E90+E91</f>
        <v>0</v>
      </c>
      <c r="F92" s="60">
        <f t="shared" si="35"/>
        <v>0</v>
      </c>
      <c r="G92" s="60">
        <f t="shared" si="35"/>
        <v>0</v>
      </c>
      <c r="H92" s="60">
        <f t="shared" si="35"/>
        <v>0</v>
      </c>
      <c r="I92" s="60">
        <f t="shared" si="35"/>
        <v>0</v>
      </c>
      <c r="J92" s="60">
        <f t="shared" si="35"/>
        <v>0</v>
      </c>
      <c r="K92" s="60">
        <f t="shared" si="35"/>
        <v>0</v>
      </c>
      <c r="L92" s="60">
        <f t="shared" si="35"/>
        <v>0</v>
      </c>
      <c r="M92" s="60">
        <f t="shared" si="35"/>
        <v>150000</v>
      </c>
      <c r="N92" s="60">
        <f t="shared" si="35"/>
        <v>150000</v>
      </c>
      <c r="O92" s="60">
        <f t="shared" si="35"/>
        <v>0</v>
      </c>
      <c r="P92" s="60">
        <f t="shared" si="35"/>
        <v>0</v>
      </c>
      <c r="Q92" s="45"/>
    </row>
    <row r="93" spans="1:17" s="35" customFormat="1" ht="12.75">
      <c r="A93" s="803" t="s">
        <v>51</v>
      </c>
      <c r="B93" s="795" t="s">
        <v>52</v>
      </c>
      <c r="C93" s="61" t="s">
        <v>13</v>
      </c>
      <c r="D93" s="59">
        <f>E93+M93</f>
        <v>1174547</v>
      </c>
      <c r="E93" s="60">
        <f>F93+I93+J93+K93+L93</f>
        <v>674547</v>
      </c>
      <c r="F93" s="60">
        <f>G93+H93</f>
        <v>338000</v>
      </c>
      <c r="G93" s="60">
        <v>152725</v>
      </c>
      <c r="H93" s="60">
        <f>2000+161275+2000+20000</f>
        <v>185275</v>
      </c>
      <c r="I93" s="60">
        <v>50000</v>
      </c>
      <c r="J93" s="60">
        <v>0</v>
      </c>
      <c r="K93" s="60">
        <f>27710+4890+12498+2205+6912+1220+985+174+190234+33568+850+150+4250+750+128+23</f>
        <v>286547</v>
      </c>
      <c r="L93" s="60">
        <v>0</v>
      </c>
      <c r="M93" s="60">
        <f t="shared" si="29"/>
        <v>500000</v>
      </c>
      <c r="N93" s="60">
        <v>0</v>
      </c>
      <c r="O93" s="60">
        <v>0</v>
      </c>
      <c r="P93" s="60">
        <v>500000</v>
      </c>
      <c r="Q93" s="45"/>
    </row>
    <row r="94" spans="1:17" s="35" customFormat="1" ht="12.75">
      <c r="A94" s="803"/>
      <c r="B94" s="795"/>
      <c r="C94" s="38" t="s">
        <v>14</v>
      </c>
      <c r="D94" s="59">
        <f>E94+M94</f>
        <v>192348</v>
      </c>
      <c r="E94" s="60">
        <f>F94+I94+J94+K94+L94</f>
        <v>192348</v>
      </c>
      <c r="F94" s="60">
        <f>G94+H94</f>
        <v>0</v>
      </c>
      <c r="G94" s="60"/>
      <c r="H94" s="60"/>
      <c r="I94" s="60"/>
      <c r="J94" s="60"/>
      <c r="K94" s="60">
        <v>192348</v>
      </c>
      <c r="L94" s="60"/>
      <c r="M94" s="60">
        <f t="shared" si="29"/>
        <v>0</v>
      </c>
      <c r="N94" s="60"/>
      <c r="O94" s="60"/>
      <c r="P94" s="60"/>
      <c r="Q94" s="45"/>
    </row>
    <row r="95" spans="1:17" s="35" customFormat="1" ht="12.75">
      <c r="A95" s="803"/>
      <c r="B95" s="795"/>
      <c r="C95" s="38" t="s">
        <v>15</v>
      </c>
      <c r="D95" s="59">
        <f>D93+D94</f>
        <v>1366895</v>
      </c>
      <c r="E95" s="60">
        <f aca="true" t="shared" si="36" ref="E95:P95">E93+E94</f>
        <v>866895</v>
      </c>
      <c r="F95" s="60">
        <f t="shared" si="36"/>
        <v>338000</v>
      </c>
      <c r="G95" s="60">
        <f t="shared" si="36"/>
        <v>152725</v>
      </c>
      <c r="H95" s="60">
        <f t="shared" si="36"/>
        <v>185275</v>
      </c>
      <c r="I95" s="60">
        <f t="shared" si="36"/>
        <v>50000</v>
      </c>
      <c r="J95" s="60">
        <f t="shared" si="36"/>
        <v>0</v>
      </c>
      <c r="K95" s="60">
        <f t="shared" si="36"/>
        <v>478895</v>
      </c>
      <c r="L95" s="60">
        <f t="shared" si="36"/>
        <v>0</v>
      </c>
      <c r="M95" s="60">
        <f t="shared" si="36"/>
        <v>500000</v>
      </c>
      <c r="N95" s="60">
        <f t="shared" si="36"/>
        <v>0</v>
      </c>
      <c r="O95" s="60">
        <f t="shared" si="36"/>
        <v>0</v>
      </c>
      <c r="P95" s="60">
        <f t="shared" si="36"/>
        <v>500000</v>
      </c>
      <c r="Q95" s="45"/>
    </row>
    <row r="96" spans="1:17" s="40" customFormat="1" ht="14.25">
      <c r="A96" s="802" t="s">
        <v>69</v>
      </c>
      <c r="B96" s="801" t="s">
        <v>70</v>
      </c>
      <c r="C96" s="37" t="s">
        <v>13</v>
      </c>
      <c r="D96" s="57">
        <f aca="true" t="shared" si="37" ref="D96:P97">D99+D102</f>
        <v>1834637</v>
      </c>
      <c r="E96" s="58">
        <f t="shared" si="37"/>
        <v>1834637</v>
      </c>
      <c r="F96" s="58">
        <f t="shared" si="37"/>
        <v>646250</v>
      </c>
      <c r="G96" s="58">
        <f t="shared" si="37"/>
        <v>171000</v>
      </c>
      <c r="H96" s="58">
        <f t="shared" si="37"/>
        <v>475250</v>
      </c>
      <c r="I96" s="58">
        <f t="shared" si="37"/>
        <v>150000</v>
      </c>
      <c r="J96" s="58">
        <f t="shared" si="37"/>
        <v>0</v>
      </c>
      <c r="K96" s="58">
        <f t="shared" si="37"/>
        <v>1038387</v>
      </c>
      <c r="L96" s="58">
        <f t="shared" si="37"/>
        <v>0</v>
      </c>
      <c r="M96" s="58">
        <f t="shared" si="37"/>
        <v>0</v>
      </c>
      <c r="N96" s="58">
        <f t="shared" si="37"/>
        <v>0</v>
      </c>
      <c r="O96" s="58">
        <f t="shared" si="37"/>
        <v>0</v>
      </c>
      <c r="P96" s="58">
        <f t="shared" si="37"/>
        <v>0</v>
      </c>
      <c r="Q96" s="47"/>
    </row>
    <row r="97" spans="1:17" s="40" customFormat="1" ht="14.25">
      <c r="A97" s="802"/>
      <c r="B97" s="801"/>
      <c r="C97" s="37" t="s">
        <v>14</v>
      </c>
      <c r="D97" s="57">
        <f t="shared" si="37"/>
        <v>12811</v>
      </c>
      <c r="E97" s="58">
        <f t="shared" si="37"/>
        <v>12811</v>
      </c>
      <c r="F97" s="58">
        <f t="shared" si="37"/>
        <v>0</v>
      </c>
      <c r="G97" s="58">
        <f t="shared" si="37"/>
        <v>0</v>
      </c>
      <c r="H97" s="58">
        <f t="shared" si="37"/>
        <v>0</v>
      </c>
      <c r="I97" s="58">
        <f t="shared" si="37"/>
        <v>0</v>
      </c>
      <c r="J97" s="58">
        <f t="shared" si="37"/>
        <v>0</v>
      </c>
      <c r="K97" s="58">
        <f t="shared" si="37"/>
        <v>12811</v>
      </c>
      <c r="L97" s="58">
        <f t="shared" si="37"/>
        <v>0</v>
      </c>
      <c r="M97" s="58">
        <f t="shared" si="37"/>
        <v>0</v>
      </c>
      <c r="N97" s="58">
        <f t="shared" si="37"/>
        <v>0</v>
      </c>
      <c r="O97" s="58">
        <f t="shared" si="37"/>
        <v>0</v>
      </c>
      <c r="P97" s="58">
        <f t="shared" si="37"/>
        <v>0</v>
      </c>
      <c r="Q97" s="47"/>
    </row>
    <row r="98" spans="1:17" s="40" customFormat="1" ht="14.25">
      <c r="A98" s="802"/>
      <c r="B98" s="801"/>
      <c r="C98" s="37" t="s">
        <v>15</v>
      </c>
      <c r="D98" s="70">
        <f>D96+D97</f>
        <v>1847448</v>
      </c>
      <c r="E98" s="58">
        <f aca="true" t="shared" si="38" ref="E98:P98">E96+E97</f>
        <v>1847448</v>
      </c>
      <c r="F98" s="58">
        <f t="shared" si="38"/>
        <v>646250</v>
      </c>
      <c r="G98" s="58">
        <f t="shared" si="38"/>
        <v>171000</v>
      </c>
      <c r="H98" s="58">
        <f t="shared" si="38"/>
        <v>475250</v>
      </c>
      <c r="I98" s="58">
        <f t="shared" si="38"/>
        <v>150000</v>
      </c>
      <c r="J98" s="58">
        <f t="shared" si="38"/>
        <v>0</v>
      </c>
      <c r="K98" s="58">
        <f t="shared" si="38"/>
        <v>1051198</v>
      </c>
      <c r="L98" s="58">
        <f t="shared" si="38"/>
        <v>0</v>
      </c>
      <c r="M98" s="58">
        <f t="shared" si="38"/>
        <v>0</v>
      </c>
      <c r="N98" s="58">
        <f t="shared" si="38"/>
        <v>0</v>
      </c>
      <c r="O98" s="58">
        <f t="shared" si="38"/>
        <v>0</v>
      </c>
      <c r="P98" s="58">
        <f t="shared" si="38"/>
        <v>0</v>
      </c>
      <c r="Q98" s="47"/>
    </row>
    <row r="99" spans="1:17" s="35" customFormat="1" ht="12.75" hidden="1">
      <c r="A99" s="803" t="s">
        <v>126</v>
      </c>
      <c r="B99" s="795" t="s">
        <v>127</v>
      </c>
      <c r="C99" s="61" t="s">
        <v>13</v>
      </c>
      <c r="D99" s="59">
        <f>E99+M99</f>
        <v>649819</v>
      </c>
      <c r="E99" s="60">
        <f>F99+I99+J99+K99+L99</f>
        <v>649819</v>
      </c>
      <c r="F99" s="60">
        <f>G99+H99</f>
        <v>478250</v>
      </c>
      <c r="G99" s="60">
        <v>3000</v>
      </c>
      <c r="H99" s="60">
        <f>2000+51250+400000+22000</f>
        <v>475250</v>
      </c>
      <c r="I99" s="60">
        <v>150000</v>
      </c>
      <c r="J99" s="60">
        <v>0</v>
      </c>
      <c r="K99" s="60">
        <f>4279+1426+735+245+104+35+4184+1394+3125+1042+3675+1225+75+25</f>
        <v>21569</v>
      </c>
      <c r="L99" s="60">
        <v>0</v>
      </c>
      <c r="M99" s="60">
        <f>N99+P99</f>
        <v>0</v>
      </c>
      <c r="N99" s="60">
        <v>0</v>
      </c>
      <c r="O99" s="60">
        <v>0</v>
      </c>
      <c r="P99" s="60">
        <v>0</v>
      </c>
      <c r="Q99" s="45"/>
    </row>
    <row r="100" spans="1:17" s="35" customFormat="1" ht="12.75" hidden="1">
      <c r="A100" s="803"/>
      <c r="B100" s="795"/>
      <c r="C100" s="38" t="s">
        <v>14</v>
      </c>
      <c r="D100" s="59">
        <f>E100+M100</f>
        <v>0</v>
      </c>
      <c r="E100" s="60">
        <f>F100+I100+J100+K100+L100</f>
        <v>0</v>
      </c>
      <c r="F100" s="60">
        <f>G100+H100</f>
        <v>0</v>
      </c>
      <c r="G100" s="60"/>
      <c r="H100" s="60"/>
      <c r="I100" s="60"/>
      <c r="J100" s="60"/>
      <c r="K100" s="60"/>
      <c r="L100" s="60"/>
      <c r="M100" s="60">
        <f>N100+P100</f>
        <v>0</v>
      </c>
      <c r="N100" s="60"/>
      <c r="O100" s="60"/>
      <c r="P100" s="60"/>
      <c r="Q100" s="45"/>
    </row>
    <row r="101" spans="1:17" s="35" customFormat="1" ht="12.75" hidden="1">
      <c r="A101" s="803"/>
      <c r="B101" s="795"/>
      <c r="C101" s="38" t="s">
        <v>15</v>
      </c>
      <c r="D101" s="59">
        <f>D99+D100</f>
        <v>649819</v>
      </c>
      <c r="E101" s="60">
        <f aca="true" t="shared" si="39" ref="E101:P101">E99+E100</f>
        <v>649819</v>
      </c>
      <c r="F101" s="60">
        <f t="shared" si="39"/>
        <v>478250</v>
      </c>
      <c r="G101" s="60">
        <f t="shared" si="39"/>
        <v>3000</v>
      </c>
      <c r="H101" s="60">
        <f t="shared" si="39"/>
        <v>475250</v>
      </c>
      <c r="I101" s="60">
        <f t="shared" si="39"/>
        <v>150000</v>
      </c>
      <c r="J101" s="60">
        <f t="shared" si="39"/>
        <v>0</v>
      </c>
      <c r="K101" s="60">
        <f t="shared" si="39"/>
        <v>21569</v>
      </c>
      <c r="L101" s="60">
        <f t="shared" si="39"/>
        <v>0</v>
      </c>
      <c r="M101" s="60">
        <f t="shared" si="39"/>
        <v>0</v>
      </c>
      <c r="N101" s="60">
        <f t="shared" si="39"/>
        <v>0</v>
      </c>
      <c r="O101" s="60">
        <f t="shared" si="39"/>
        <v>0</v>
      </c>
      <c r="P101" s="60">
        <f t="shared" si="39"/>
        <v>0</v>
      </c>
      <c r="Q101" s="45"/>
    </row>
    <row r="102" spans="1:17" s="35" customFormat="1" ht="12.75">
      <c r="A102" s="803" t="s">
        <v>83</v>
      </c>
      <c r="B102" s="795" t="s">
        <v>52</v>
      </c>
      <c r="C102" s="61" t="s">
        <v>13</v>
      </c>
      <c r="D102" s="59">
        <f>E102+M102</f>
        <v>1184818</v>
      </c>
      <c r="E102" s="60">
        <f>F102+I102+J102+K102+L102</f>
        <v>1184818</v>
      </c>
      <c r="F102" s="60">
        <f>G102+H102</f>
        <v>168000</v>
      </c>
      <c r="G102" s="60">
        <v>168000</v>
      </c>
      <c r="H102" s="60">
        <v>0</v>
      </c>
      <c r="I102" s="60">
        <v>0</v>
      </c>
      <c r="J102" s="60">
        <v>0</v>
      </c>
      <c r="K102" s="60">
        <f>122400+320219+56509+9596+1694+56695+10005+8079+1426+17000+3000+256152+45202+12750+2250+2295+405+76449+13492+1020+180</f>
        <v>1016818</v>
      </c>
      <c r="L102" s="60">
        <v>0</v>
      </c>
      <c r="M102" s="60">
        <f>N102+P102</f>
        <v>0</v>
      </c>
      <c r="N102" s="60">
        <v>0</v>
      </c>
      <c r="O102" s="60">
        <v>0</v>
      </c>
      <c r="P102" s="60">
        <v>0</v>
      </c>
      <c r="Q102" s="45"/>
    </row>
    <row r="103" spans="1:17" s="35" customFormat="1" ht="12.75">
      <c r="A103" s="803"/>
      <c r="B103" s="795"/>
      <c r="C103" s="38" t="s">
        <v>14</v>
      </c>
      <c r="D103" s="59">
        <f>E103+M103</f>
        <v>12811</v>
      </c>
      <c r="E103" s="60">
        <f>F103+I103+J103+K103+L103</f>
        <v>12811</v>
      </c>
      <c r="F103" s="60">
        <f>G103+H103</f>
        <v>0</v>
      </c>
      <c r="G103" s="60"/>
      <c r="H103" s="60"/>
      <c r="I103" s="60"/>
      <c r="J103" s="60"/>
      <c r="K103" s="60">
        <f>26749-13938</f>
        <v>12811</v>
      </c>
      <c r="L103" s="60"/>
      <c r="M103" s="60">
        <f>N103+P103</f>
        <v>0</v>
      </c>
      <c r="N103" s="60"/>
      <c r="O103" s="60"/>
      <c r="P103" s="60"/>
      <c r="Q103" s="45"/>
    </row>
    <row r="104" spans="1:17" s="35" customFormat="1" ht="12.75">
      <c r="A104" s="803"/>
      <c r="B104" s="795"/>
      <c r="C104" s="38" t="s">
        <v>15</v>
      </c>
      <c r="D104" s="59">
        <f>D102+D103</f>
        <v>1197629</v>
      </c>
      <c r="E104" s="60">
        <f aca="true" t="shared" si="40" ref="E104:P104">E102+E103</f>
        <v>1197629</v>
      </c>
      <c r="F104" s="60">
        <f t="shared" si="40"/>
        <v>168000</v>
      </c>
      <c r="G104" s="60">
        <f t="shared" si="40"/>
        <v>168000</v>
      </c>
      <c r="H104" s="60">
        <f t="shared" si="40"/>
        <v>0</v>
      </c>
      <c r="I104" s="60">
        <f t="shared" si="40"/>
        <v>0</v>
      </c>
      <c r="J104" s="60">
        <f t="shared" si="40"/>
        <v>0</v>
      </c>
      <c r="K104" s="60">
        <f t="shared" si="40"/>
        <v>1029629</v>
      </c>
      <c r="L104" s="60">
        <f t="shared" si="40"/>
        <v>0</v>
      </c>
      <c r="M104" s="60">
        <f t="shared" si="40"/>
        <v>0</v>
      </c>
      <c r="N104" s="60">
        <f t="shared" si="40"/>
        <v>0</v>
      </c>
      <c r="O104" s="60">
        <f t="shared" si="40"/>
        <v>0</v>
      </c>
      <c r="P104" s="60">
        <f t="shared" si="40"/>
        <v>0</v>
      </c>
      <c r="Q104" s="45"/>
    </row>
    <row r="105" spans="1:17" s="40" customFormat="1" ht="14.25" hidden="1">
      <c r="A105" s="802" t="s">
        <v>22</v>
      </c>
      <c r="B105" s="801" t="s">
        <v>23</v>
      </c>
      <c r="C105" s="37" t="s">
        <v>13</v>
      </c>
      <c r="D105" s="57">
        <f aca="true" t="shared" si="41" ref="D105:P106">D108</f>
        <v>1639900</v>
      </c>
      <c r="E105" s="58">
        <f t="shared" si="41"/>
        <v>522500</v>
      </c>
      <c r="F105" s="58">
        <f t="shared" si="41"/>
        <v>522500</v>
      </c>
      <c r="G105" s="58">
        <f t="shared" si="41"/>
        <v>0</v>
      </c>
      <c r="H105" s="58">
        <f t="shared" si="41"/>
        <v>522500</v>
      </c>
      <c r="I105" s="58">
        <f t="shared" si="41"/>
        <v>0</v>
      </c>
      <c r="J105" s="58">
        <f t="shared" si="41"/>
        <v>0</v>
      </c>
      <c r="K105" s="58">
        <f t="shared" si="41"/>
        <v>0</v>
      </c>
      <c r="L105" s="58">
        <f t="shared" si="41"/>
        <v>0</v>
      </c>
      <c r="M105" s="58">
        <f t="shared" si="41"/>
        <v>1117400</v>
      </c>
      <c r="N105" s="58">
        <f t="shared" si="41"/>
        <v>1117400</v>
      </c>
      <c r="O105" s="58">
        <f>O108</f>
        <v>0</v>
      </c>
      <c r="P105" s="58">
        <f t="shared" si="41"/>
        <v>0</v>
      </c>
      <c r="Q105" s="47"/>
    </row>
    <row r="106" spans="1:17" s="40" customFormat="1" ht="14.25" hidden="1">
      <c r="A106" s="802"/>
      <c r="B106" s="801"/>
      <c r="C106" s="37" t="s">
        <v>14</v>
      </c>
      <c r="D106" s="57">
        <f t="shared" si="41"/>
        <v>0</v>
      </c>
      <c r="E106" s="58">
        <f t="shared" si="41"/>
        <v>0</v>
      </c>
      <c r="F106" s="58">
        <f t="shared" si="41"/>
        <v>0</v>
      </c>
      <c r="G106" s="58">
        <f t="shared" si="41"/>
        <v>0</v>
      </c>
      <c r="H106" s="58">
        <f t="shared" si="41"/>
        <v>0</v>
      </c>
      <c r="I106" s="58">
        <f t="shared" si="41"/>
        <v>0</v>
      </c>
      <c r="J106" s="58">
        <f t="shared" si="41"/>
        <v>0</v>
      </c>
      <c r="K106" s="58">
        <f t="shared" si="41"/>
        <v>0</v>
      </c>
      <c r="L106" s="58">
        <f t="shared" si="41"/>
        <v>0</v>
      </c>
      <c r="M106" s="58">
        <f t="shared" si="41"/>
        <v>0</v>
      </c>
      <c r="N106" s="58">
        <f t="shared" si="41"/>
        <v>0</v>
      </c>
      <c r="O106" s="58">
        <f>O109</f>
        <v>0</v>
      </c>
      <c r="P106" s="58">
        <f t="shared" si="41"/>
        <v>0</v>
      </c>
      <c r="Q106" s="47"/>
    </row>
    <row r="107" spans="1:17" s="40" customFormat="1" ht="14.25" hidden="1">
      <c r="A107" s="802"/>
      <c r="B107" s="801"/>
      <c r="C107" s="37" t="s">
        <v>15</v>
      </c>
      <c r="D107" s="70">
        <f>D105+D106</f>
        <v>1639900</v>
      </c>
      <c r="E107" s="58">
        <f aca="true" t="shared" si="42" ref="E107:P107">E105+E106</f>
        <v>522500</v>
      </c>
      <c r="F107" s="58">
        <f t="shared" si="42"/>
        <v>522500</v>
      </c>
      <c r="G107" s="58">
        <f t="shared" si="42"/>
        <v>0</v>
      </c>
      <c r="H107" s="58">
        <f t="shared" si="42"/>
        <v>522500</v>
      </c>
      <c r="I107" s="58">
        <f t="shared" si="42"/>
        <v>0</v>
      </c>
      <c r="J107" s="58">
        <f t="shared" si="42"/>
        <v>0</v>
      </c>
      <c r="K107" s="58">
        <f t="shared" si="42"/>
        <v>0</v>
      </c>
      <c r="L107" s="58">
        <f t="shared" si="42"/>
        <v>0</v>
      </c>
      <c r="M107" s="58">
        <f t="shared" si="42"/>
        <v>1117400</v>
      </c>
      <c r="N107" s="58">
        <f t="shared" si="42"/>
        <v>1117400</v>
      </c>
      <c r="O107" s="58">
        <f t="shared" si="42"/>
        <v>0</v>
      </c>
      <c r="P107" s="58">
        <f t="shared" si="42"/>
        <v>0</v>
      </c>
      <c r="Q107" s="47"/>
    </row>
    <row r="108" spans="1:17" s="35" customFormat="1" ht="12.75" hidden="1">
      <c r="A108" s="803" t="s">
        <v>24</v>
      </c>
      <c r="B108" s="795" t="s">
        <v>128</v>
      </c>
      <c r="C108" s="61" t="s">
        <v>13</v>
      </c>
      <c r="D108" s="59">
        <f>E108+M108</f>
        <v>1639900</v>
      </c>
      <c r="E108" s="60">
        <f>F108+I108+J108+K108+L108</f>
        <v>522500</v>
      </c>
      <c r="F108" s="60">
        <f>G108+H108</f>
        <v>522500</v>
      </c>
      <c r="G108" s="60">
        <v>0</v>
      </c>
      <c r="H108" s="60">
        <v>522500</v>
      </c>
      <c r="I108" s="60">
        <v>0</v>
      </c>
      <c r="J108" s="60">
        <v>0</v>
      </c>
      <c r="K108" s="60">
        <v>0</v>
      </c>
      <c r="L108" s="60">
        <v>0</v>
      </c>
      <c r="M108" s="60">
        <f>N108+P108</f>
        <v>1117400</v>
      </c>
      <c r="N108" s="60">
        <v>1117400</v>
      </c>
      <c r="O108" s="60">
        <v>0</v>
      </c>
      <c r="P108" s="60">
        <v>0</v>
      </c>
      <c r="Q108" s="45"/>
    </row>
    <row r="109" spans="1:17" s="35" customFormat="1" ht="12.75" hidden="1">
      <c r="A109" s="803"/>
      <c r="B109" s="795"/>
      <c r="C109" s="38" t="s">
        <v>14</v>
      </c>
      <c r="D109" s="59">
        <f>E109+M109</f>
        <v>0</v>
      </c>
      <c r="E109" s="60">
        <f>F109+I109+J109+K109+L109</f>
        <v>0</v>
      </c>
      <c r="F109" s="60">
        <f>G109+H109</f>
        <v>0</v>
      </c>
      <c r="G109" s="60"/>
      <c r="H109" s="60"/>
      <c r="I109" s="60"/>
      <c r="J109" s="60"/>
      <c r="K109" s="60"/>
      <c r="L109" s="60"/>
      <c r="M109" s="60">
        <f>N109+P109</f>
        <v>0</v>
      </c>
      <c r="N109" s="60"/>
      <c r="O109" s="60"/>
      <c r="P109" s="60"/>
      <c r="Q109" s="45"/>
    </row>
    <row r="110" spans="1:17" s="35" customFormat="1" ht="12.75" hidden="1">
      <c r="A110" s="803"/>
      <c r="B110" s="795"/>
      <c r="C110" s="38" t="s">
        <v>15</v>
      </c>
      <c r="D110" s="59">
        <f>D108+D109</f>
        <v>1639900</v>
      </c>
      <c r="E110" s="60">
        <f aca="true" t="shared" si="43" ref="E110:P110">E108+E109</f>
        <v>522500</v>
      </c>
      <c r="F110" s="60">
        <f t="shared" si="43"/>
        <v>522500</v>
      </c>
      <c r="G110" s="60">
        <f t="shared" si="43"/>
        <v>0</v>
      </c>
      <c r="H110" s="60">
        <f t="shared" si="43"/>
        <v>522500</v>
      </c>
      <c r="I110" s="60">
        <f t="shared" si="43"/>
        <v>0</v>
      </c>
      <c r="J110" s="60">
        <f t="shared" si="43"/>
        <v>0</v>
      </c>
      <c r="K110" s="60">
        <f t="shared" si="43"/>
        <v>0</v>
      </c>
      <c r="L110" s="60">
        <f t="shared" si="43"/>
        <v>0</v>
      </c>
      <c r="M110" s="60">
        <f t="shared" si="43"/>
        <v>1117400</v>
      </c>
      <c r="N110" s="60">
        <f t="shared" si="43"/>
        <v>1117400</v>
      </c>
      <c r="O110" s="60">
        <f t="shared" si="43"/>
        <v>0</v>
      </c>
      <c r="P110" s="60">
        <f t="shared" si="43"/>
        <v>0</v>
      </c>
      <c r="Q110" s="45"/>
    </row>
    <row r="111" spans="1:17" s="40" customFormat="1" ht="14.25">
      <c r="A111" s="802" t="s">
        <v>25</v>
      </c>
      <c r="B111" s="801" t="s">
        <v>26</v>
      </c>
      <c r="C111" s="37" t="s">
        <v>13</v>
      </c>
      <c r="D111" s="57">
        <f aca="true" t="shared" si="44" ref="D111:P112">D114+D117+D120+D123</f>
        <v>4861054</v>
      </c>
      <c r="E111" s="58">
        <f t="shared" si="44"/>
        <v>4847054</v>
      </c>
      <c r="F111" s="58">
        <f t="shared" si="44"/>
        <v>4844754</v>
      </c>
      <c r="G111" s="58">
        <f t="shared" si="44"/>
        <v>4044800</v>
      </c>
      <c r="H111" s="58">
        <f t="shared" si="44"/>
        <v>799954</v>
      </c>
      <c r="I111" s="58">
        <f t="shared" si="44"/>
        <v>0</v>
      </c>
      <c r="J111" s="58">
        <f t="shared" si="44"/>
        <v>2300</v>
      </c>
      <c r="K111" s="58">
        <f t="shared" si="44"/>
        <v>0</v>
      </c>
      <c r="L111" s="58">
        <f t="shared" si="44"/>
        <v>0</v>
      </c>
      <c r="M111" s="58">
        <f t="shared" si="44"/>
        <v>14000</v>
      </c>
      <c r="N111" s="58">
        <f t="shared" si="44"/>
        <v>14000</v>
      </c>
      <c r="O111" s="58">
        <f t="shared" si="44"/>
        <v>0</v>
      </c>
      <c r="P111" s="58">
        <f t="shared" si="44"/>
        <v>0</v>
      </c>
      <c r="Q111" s="47"/>
    </row>
    <row r="112" spans="1:17" s="40" customFormat="1" ht="14.25">
      <c r="A112" s="802"/>
      <c r="B112" s="801"/>
      <c r="C112" s="37" t="s">
        <v>14</v>
      </c>
      <c r="D112" s="57">
        <f t="shared" si="44"/>
        <v>40000</v>
      </c>
      <c r="E112" s="58">
        <f t="shared" si="44"/>
        <v>54000</v>
      </c>
      <c r="F112" s="58">
        <f t="shared" si="44"/>
        <v>54000</v>
      </c>
      <c r="G112" s="58">
        <f t="shared" si="44"/>
        <v>40000</v>
      </c>
      <c r="H112" s="58">
        <f t="shared" si="44"/>
        <v>14000</v>
      </c>
      <c r="I112" s="58">
        <f t="shared" si="44"/>
        <v>0</v>
      </c>
      <c r="J112" s="58">
        <f t="shared" si="44"/>
        <v>0</v>
      </c>
      <c r="K112" s="58">
        <f t="shared" si="44"/>
        <v>0</v>
      </c>
      <c r="L112" s="58">
        <f t="shared" si="44"/>
        <v>0</v>
      </c>
      <c r="M112" s="58">
        <f t="shared" si="44"/>
        <v>-14000</v>
      </c>
      <c r="N112" s="58">
        <f t="shared" si="44"/>
        <v>-14000</v>
      </c>
      <c r="O112" s="58">
        <f t="shared" si="44"/>
        <v>0</v>
      </c>
      <c r="P112" s="58">
        <f t="shared" si="44"/>
        <v>0</v>
      </c>
      <c r="Q112" s="47"/>
    </row>
    <row r="113" spans="1:17" s="40" customFormat="1" ht="14.25">
      <c r="A113" s="802"/>
      <c r="B113" s="801"/>
      <c r="C113" s="37" t="s">
        <v>15</v>
      </c>
      <c r="D113" s="70">
        <f>D111+D112</f>
        <v>4901054</v>
      </c>
      <c r="E113" s="58">
        <f aca="true" t="shared" si="45" ref="E113:P113">E111+E112</f>
        <v>4901054</v>
      </c>
      <c r="F113" s="58">
        <f t="shared" si="45"/>
        <v>4898754</v>
      </c>
      <c r="G113" s="58">
        <f t="shared" si="45"/>
        <v>4084800</v>
      </c>
      <c r="H113" s="58">
        <f t="shared" si="45"/>
        <v>813954</v>
      </c>
      <c r="I113" s="58">
        <f t="shared" si="45"/>
        <v>0</v>
      </c>
      <c r="J113" s="58">
        <f t="shared" si="45"/>
        <v>2300</v>
      </c>
      <c r="K113" s="58">
        <f t="shared" si="45"/>
        <v>0</v>
      </c>
      <c r="L113" s="58">
        <f t="shared" si="45"/>
        <v>0</v>
      </c>
      <c r="M113" s="58">
        <f t="shared" si="45"/>
        <v>0</v>
      </c>
      <c r="N113" s="58">
        <f t="shared" si="45"/>
        <v>0</v>
      </c>
      <c r="O113" s="58">
        <f t="shared" si="45"/>
        <v>0</v>
      </c>
      <c r="P113" s="58">
        <f t="shared" si="45"/>
        <v>0</v>
      </c>
      <c r="Q113" s="47"/>
    </row>
    <row r="114" spans="1:17" s="65" customFormat="1" ht="12.75" hidden="1">
      <c r="A114" s="803" t="s">
        <v>27</v>
      </c>
      <c r="B114" s="795" t="s">
        <v>129</v>
      </c>
      <c r="C114" s="61" t="s">
        <v>13</v>
      </c>
      <c r="D114" s="298">
        <f>E114+M114</f>
        <v>4422054</v>
      </c>
      <c r="E114" s="300">
        <f>F114+I114+J114+K114+L114</f>
        <v>4422054</v>
      </c>
      <c r="F114" s="300">
        <f>G114+H114</f>
        <v>4419754</v>
      </c>
      <c r="G114" s="300">
        <v>3825200</v>
      </c>
      <c r="H114" s="300">
        <f>60500+101300+73000+122000+2500+60500+71500+9000+8000+65154+14600+6500</f>
        <v>594554</v>
      </c>
      <c r="I114" s="300">
        <v>0</v>
      </c>
      <c r="J114" s="300">
        <v>2300</v>
      </c>
      <c r="K114" s="300">
        <v>0</v>
      </c>
      <c r="L114" s="300">
        <v>0</v>
      </c>
      <c r="M114" s="300">
        <f>N114+P114</f>
        <v>0</v>
      </c>
      <c r="N114" s="300">
        <v>0</v>
      </c>
      <c r="O114" s="300">
        <v>0</v>
      </c>
      <c r="P114" s="300">
        <v>0</v>
      </c>
      <c r="Q114" s="64"/>
    </row>
    <row r="115" spans="1:17" s="35" customFormat="1" ht="12.75" hidden="1">
      <c r="A115" s="803"/>
      <c r="B115" s="795"/>
      <c r="C115" s="38" t="s">
        <v>14</v>
      </c>
      <c r="D115" s="59">
        <f>E115+M115</f>
        <v>0</v>
      </c>
      <c r="E115" s="60">
        <f>F115+I115+J115+K115+L115</f>
        <v>0</v>
      </c>
      <c r="F115" s="60">
        <f>G115+H115</f>
        <v>0</v>
      </c>
      <c r="G115" s="60"/>
      <c r="H115" s="60"/>
      <c r="I115" s="60"/>
      <c r="J115" s="60"/>
      <c r="K115" s="60"/>
      <c r="L115" s="60"/>
      <c r="M115" s="60">
        <f>N115+P115</f>
        <v>0</v>
      </c>
      <c r="N115" s="60"/>
      <c r="O115" s="60"/>
      <c r="P115" s="60"/>
      <c r="Q115" s="45"/>
    </row>
    <row r="116" spans="1:17" s="35" customFormat="1" ht="12.75" hidden="1">
      <c r="A116" s="803"/>
      <c r="B116" s="795"/>
      <c r="C116" s="38" t="s">
        <v>15</v>
      </c>
      <c r="D116" s="59">
        <f>D114+D115</f>
        <v>4422054</v>
      </c>
      <c r="E116" s="60">
        <f aca="true" t="shared" si="46" ref="E116:P116">E114+E115</f>
        <v>4422054</v>
      </c>
      <c r="F116" s="60">
        <f t="shared" si="46"/>
        <v>4419754</v>
      </c>
      <c r="G116" s="60">
        <f t="shared" si="46"/>
        <v>3825200</v>
      </c>
      <c r="H116" s="60">
        <f t="shared" si="46"/>
        <v>594554</v>
      </c>
      <c r="I116" s="60">
        <f t="shared" si="46"/>
        <v>0</v>
      </c>
      <c r="J116" s="60">
        <f t="shared" si="46"/>
        <v>2300</v>
      </c>
      <c r="K116" s="60">
        <f t="shared" si="46"/>
        <v>0</v>
      </c>
      <c r="L116" s="60">
        <f t="shared" si="46"/>
        <v>0</v>
      </c>
      <c r="M116" s="60">
        <f t="shared" si="46"/>
        <v>0</v>
      </c>
      <c r="N116" s="60">
        <f t="shared" si="46"/>
        <v>0</v>
      </c>
      <c r="O116" s="60">
        <f t="shared" si="46"/>
        <v>0</v>
      </c>
      <c r="P116" s="60">
        <f t="shared" si="46"/>
        <v>0</v>
      </c>
      <c r="Q116" s="45"/>
    </row>
    <row r="117" spans="1:17" s="35" customFormat="1" ht="12.75">
      <c r="A117" s="803" t="s">
        <v>130</v>
      </c>
      <c r="B117" s="795" t="s">
        <v>131</v>
      </c>
      <c r="C117" s="38" t="s">
        <v>13</v>
      </c>
      <c r="D117" s="59">
        <f>E117+M117</f>
        <v>23000</v>
      </c>
      <c r="E117" s="60">
        <f>F117+I117+J117+K117+L117</f>
        <v>23000</v>
      </c>
      <c r="F117" s="60">
        <f>G117+H117</f>
        <v>23000</v>
      </c>
      <c r="G117" s="60">
        <v>5600</v>
      </c>
      <c r="H117" s="60">
        <f>14900+2500</f>
        <v>17400</v>
      </c>
      <c r="I117" s="60">
        <v>0</v>
      </c>
      <c r="J117" s="60">
        <v>0</v>
      </c>
      <c r="K117" s="60">
        <v>0</v>
      </c>
      <c r="L117" s="60">
        <v>0</v>
      </c>
      <c r="M117" s="60">
        <f>N117+P117</f>
        <v>0</v>
      </c>
      <c r="N117" s="60">
        <v>0</v>
      </c>
      <c r="O117" s="60">
        <v>0</v>
      </c>
      <c r="P117" s="60">
        <v>0</v>
      </c>
      <c r="Q117" s="45"/>
    </row>
    <row r="118" spans="1:17" s="35" customFormat="1" ht="12.75">
      <c r="A118" s="803"/>
      <c r="B118" s="795"/>
      <c r="C118" s="38" t="s">
        <v>14</v>
      </c>
      <c r="D118" s="59">
        <f>E118+M118</f>
        <v>40000</v>
      </c>
      <c r="E118" s="60">
        <f>F118+I118+J118+K118+L118</f>
        <v>40000</v>
      </c>
      <c r="F118" s="60">
        <f>G118+H118</f>
        <v>40000</v>
      </c>
      <c r="G118" s="60">
        <v>40000</v>
      </c>
      <c r="H118" s="60"/>
      <c r="I118" s="60"/>
      <c r="J118" s="60"/>
      <c r="K118" s="60"/>
      <c r="L118" s="60"/>
      <c r="M118" s="60">
        <f>N118+P118</f>
        <v>0</v>
      </c>
      <c r="N118" s="60"/>
      <c r="O118" s="60"/>
      <c r="P118" s="60"/>
      <c r="Q118" s="45"/>
    </row>
    <row r="119" spans="1:17" s="35" customFormat="1" ht="12.75">
      <c r="A119" s="803"/>
      <c r="B119" s="795"/>
      <c r="C119" s="38" t="s">
        <v>15</v>
      </c>
      <c r="D119" s="59">
        <f>D117+D118</f>
        <v>63000</v>
      </c>
      <c r="E119" s="60">
        <f aca="true" t="shared" si="47" ref="E119:P119">E117+E118</f>
        <v>63000</v>
      </c>
      <c r="F119" s="60">
        <f t="shared" si="47"/>
        <v>63000</v>
      </c>
      <c r="G119" s="60">
        <f t="shared" si="47"/>
        <v>45600</v>
      </c>
      <c r="H119" s="60">
        <f t="shared" si="47"/>
        <v>17400</v>
      </c>
      <c r="I119" s="60">
        <f t="shared" si="47"/>
        <v>0</v>
      </c>
      <c r="J119" s="60">
        <f t="shared" si="47"/>
        <v>0</v>
      </c>
      <c r="K119" s="60">
        <f t="shared" si="47"/>
        <v>0</v>
      </c>
      <c r="L119" s="60">
        <f t="shared" si="47"/>
        <v>0</v>
      </c>
      <c r="M119" s="60">
        <f t="shared" si="47"/>
        <v>0</v>
      </c>
      <c r="N119" s="60">
        <f t="shared" si="47"/>
        <v>0</v>
      </c>
      <c r="O119" s="60">
        <f t="shared" si="47"/>
        <v>0</v>
      </c>
      <c r="P119" s="60">
        <f t="shared" si="47"/>
        <v>0</v>
      </c>
      <c r="Q119" s="45"/>
    </row>
    <row r="120" spans="1:17" s="35" customFormat="1" ht="12.75" hidden="1">
      <c r="A120" s="803" t="s">
        <v>53</v>
      </c>
      <c r="B120" s="795" t="s">
        <v>54</v>
      </c>
      <c r="C120" s="38" t="s">
        <v>13</v>
      </c>
      <c r="D120" s="59">
        <f>E120+M120</f>
        <v>244000</v>
      </c>
      <c r="E120" s="60">
        <f>F120+I120+J120+K120+L120</f>
        <v>244000</v>
      </c>
      <c r="F120" s="60">
        <f>G120+H120</f>
        <v>244000</v>
      </c>
      <c r="G120" s="60">
        <v>214000</v>
      </c>
      <c r="H120" s="60">
        <f>1000+29000</f>
        <v>30000</v>
      </c>
      <c r="I120" s="60">
        <v>0</v>
      </c>
      <c r="J120" s="60">
        <v>0</v>
      </c>
      <c r="K120" s="60">
        <v>0</v>
      </c>
      <c r="L120" s="60">
        <v>0</v>
      </c>
      <c r="M120" s="60">
        <f>N120+P120</f>
        <v>0</v>
      </c>
      <c r="N120" s="60">
        <v>0</v>
      </c>
      <c r="O120" s="60">
        <v>0</v>
      </c>
      <c r="P120" s="60">
        <v>0</v>
      </c>
      <c r="Q120" s="45"/>
    </row>
    <row r="121" spans="1:17" s="35" customFormat="1" ht="12.75" hidden="1">
      <c r="A121" s="803"/>
      <c r="B121" s="795"/>
      <c r="C121" s="38" t="s">
        <v>14</v>
      </c>
      <c r="D121" s="59">
        <f>E121+M121</f>
        <v>0</v>
      </c>
      <c r="E121" s="60">
        <f>F121+I121+J121+K121+L121</f>
        <v>0</v>
      </c>
      <c r="F121" s="60">
        <f>G121+H121</f>
        <v>0</v>
      </c>
      <c r="G121" s="60"/>
      <c r="H121" s="60"/>
      <c r="I121" s="60"/>
      <c r="J121" s="60"/>
      <c r="K121" s="60"/>
      <c r="L121" s="60"/>
      <c r="M121" s="60">
        <f>N121+P121</f>
        <v>0</v>
      </c>
      <c r="N121" s="60"/>
      <c r="O121" s="60"/>
      <c r="P121" s="60"/>
      <c r="Q121" s="45"/>
    </row>
    <row r="122" spans="1:17" s="35" customFormat="1" ht="12.75" hidden="1">
      <c r="A122" s="803"/>
      <c r="B122" s="795"/>
      <c r="C122" s="38" t="s">
        <v>15</v>
      </c>
      <c r="D122" s="59">
        <f>D120+D121</f>
        <v>244000</v>
      </c>
      <c r="E122" s="60">
        <f aca="true" t="shared" si="48" ref="E122:P122">E120+E121</f>
        <v>244000</v>
      </c>
      <c r="F122" s="60">
        <f t="shared" si="48"/>
        <v>244000</v>
      </c>
      <c r="G122" s="60">
        <f t="shared" si="48"/>
        <v>214000</v>
      </c>
      <c r="H122" s="60">
        <f t="shared" si="48"/>
        <v>30000</v>
      </c>
      <c r="I122" s="60">
        <f t="shared" si="48"/>
        <v>0</v>
      </c>
      <c r="J122" s="60">
        <f t="shared" si="48"/>
        <v>0</v>
      </c>
      <c r="K122" s="60">
        <f t="shared" si="48"/>
        <v>0</v>
      </c>
      <c r="L122" s="60">
        <f t="shared" si="48"/>
        <v>0</v>
      </c>
      <c r="M122" s="60">
        <f t="shared" si="48"/>
        <v>0</v>
      </c>
      <c r="N122" s="60">
        <f t="shared" si="48"/>
        <v>0</v>
      </c>
      <c r="O122" s="60">
        <f t="shared" si="48"/>
        <v>0</v>
      </c>
      <c r="P122" s="60">
        <f t="shared" si="48"/>
        <v>0</v>
      </c>
      <c r="Q122" s="45"/>
    </row>
    <row r="123" spans="1:17" s="35" customFormat="1" ht="12.75">
      <c r="A123" s="803" t="s">
        <v>44</v>
      </c>
      <c r="B123" s="795" t="s">
        <v>84</v>
      </c>
      <c r="C123" s="38" t="s">
        <v>13</v>
      </c>
      <c r="D123" s="59">
        <f>E123+M123</f>
        <v>172000</v>
      </c>
      <c r="E123" s="60">
        <f>F123+I123+J123+K123+L123</f>
        <v>158000</v>
      </c>
      <c r="F123" s="60">
        <f>G123+H123</f>
        <v>158000</v>
      </c>
      <c r="G123" s="60">
        <v>0</v>
      </c>
      <c r="H123" s="60">
        <f>4000+134000+500+7000+12500</f>
        <v>158000</v>
      </c>
      <c r="I123" s="60">
        <v>0</v>
      </c>
      <c r="J123" s="60">
        <v>0</v>
      </c>
      <c r="K123" s="60">
        <v>0</v>
      </c>
      <c r="L123" s="60">
        <v>0</v>
      </c>
      <c r="M123" s="60">
        <f>N123+P123</f>
        <v>14000</v>
      </c>
      <c r="N123" s="60">
        <v>14000</v>
      </c>
      <c r="O123" s="60">
        <v>0</v>
      </c>
      <c r="P123" s="60">
        <v>0</v>
      </c>
      <c r="Q123" s="45"/>
    </row>
    <row r="124" spans="1:17" s="35" customFormat="1" ht="12.75">
      <c r="A124" s="803"/>
      <c r="B124" s="795"/>
      <c r="C124" s="38" t="s">
        <v>14</v>
      </c>
      <c r="D124" s="59">
        <f>E124+M124</f>
        <v>0</v>
      </c>
      <c r="E124" s="60">
        <f>F124+I124+J124+K124+L124</f>
        <v>14000</v>
      </c>
      <c r="F124" s="60">
        <f>G124+H124</f>
        <v>14000</v>
      </c>
      <c r="G124" s="60"/>
      <c r="H124" s="60">
        <v>14000</v>
      </c>
      <c r="I124" s="60"/>
      <c r="J124" s="60"/>
      <c r="K124" s="60"/>
      <c r="L124" s="60"/>
      <c r="M124" s="60">
        <f>N124+P124</f>
        <v>-14000</v>
      </c>
      <c r="N124" s="60">
        <v>-14000</v>
      </c>
      <c r="O124" s="60"/>
      <c r="P124" s="60"/>
      <c r="Q124" s="45"/>
    </row>
    <row r="125" spans="1:17" s="35" customFormat="1" ht="12.75">
      <c r="A125" s="803"/>
      <c r="B125" s="795"/>
      <c r="C125" s="38" t="s">
        <v>15</v>
      </c>
      <c r="D125" s="59">
        <f>D123+D124</f>
        <v>172000</v>
      </c>
      <c r="E125" s="60">
        <f aca="true" t="shared" si="49" ref="E125:P125">E123+E124</f>
        <v>172000</v>
      </c>
      <c r="F125" s="60">
        <f t="shared" si="49"/>
        <v>172000</v>
      </c>
      <c r="G125" s="60">
        <f t="shared" si="49"/>
        <v>0</v>
      </c>
      <c r="H125" s="60">
        <f t="shared" si="49"/>
        <v>172000</v>
      </c>
      <c r="I125" s="60">
        <f t="shared" si="49"/>
        <v>0</v>
      </c>
      <c r="J125" s="60">
        <f t="shared" si="49"/>
        <v>0</v>
      </c>
      <c r="K125" s="60">
        <f t="shared" si="49"/>
        <v>0</v>
      </c>
      <c r="L125" s="60">
        <f t="shared" si="49"/>
        <v>0</v>
      </c>
      <c r="M125" s="60">
        <f t="shared" si="49"/>
        <v>0</v>
      </c>
      <c r="N125" s="60">
        <f t="shared" si="49"/>
        <v>0</v>
      </c>
      <c r="O125" s="60">
        <f t="shared" si="49"/>
        <v>0</v>
      </c>
      <c r="P125" s="60">
        <f t="shared" si="49"/>
        <v>0</v>
      </c>
      <c r="Q125" s="45"/>
    </row>
    <row r="126" spans="1:17" s="40" customFormat="1" ht="14.25">
      <c r="A126" s="802" t="s">
        <v>71</v>
      </c>
      <c r="B126" s="801" t="s">
        <v>72</v>
      </c>
      <c r="C126" s="37" t="s">
        <v>13</v>
      </c>
      <c r="D126" s="66">
        <f aca="true" t="shared" si="50" ref="D126:P127">D129</f>
        <v>75878487</v>
      </c>
      <c r="E126" s="67">
        <f t="shared" si="50"/>
        <v>6594919</v>
      </c>
      <c r="F126" s="67">
        <f t="shared" si="50"/>
        <v>2620543</v>
      </c>
      <c r="G126" s="67">
        <f t="shared" si="50"/>
        <v>0</v>
      </c>
      <c r="H126" s="67">
        <f t="shared" si="50"/>
        <v>2620543</v>
      </c>
      <c r="I126" s="67">
        <f t="shared" si="50"/>
        <v>0</v>
      </c>
      <c r="J126" s="67">
        <f t="shared" si="50"/>
        <v>0</v>
      </c>
      <c r="K126" s="67">
        <f t="shared" si="50"/>
        <v>3974376</v>
      </c>
      <c r="L126" s="67">
        <f t="shared" si="50"/>
        <v>0</v>
      </c>
      <c r="M126" s="67">
        <f t="shared" si="50"/>
        <v>69283568</v>
      </c>
      <c r="N126" s="67">
        <f t="shared" si="50"/>
        <v>67063837</v>
      </c>
      <c r="O126" s="67">
        <f>O129</f>
        <v>67063837</v>
      </c>
      <c r="P126" s="67">
        <f t="shared" si="50"/>
        <v>2219731</v>
      </c>
      <c r="Q126" s="47"/>
    </row>
    <row r="127" spans="1:17" s="40" customFormat="1" ht="14.25">
      <c r="A127" s="802"/>
      <c r="B127" s="801"/>
      <c r="C127" s="37" t="s">
        <v>14</v>
      </c>
      <c r="D127" s="66">
        <f t="shared" si="50"/>
        <v>11199422</v>
      </c>
      <c r="E127" s="67">
        <f t="shared" si="50"/>
        <v>640206</v>
      </c>
      <c r="F127" s="67">
        <f t="shared" si="50"/>
        <v>519909</v>
      </c>
      <c r="G127" s="67">
        <f t="shared" si="50"/>
        <v>0</v>
      </c>
      <c r="H127" s="67">
        <f t="shared" si="50"/>
        <v>519909</v>
      </c>
      <c r="I127" s="67">
        <f t="shared" si="50"/>
        <v>0</v>
      </c>
      <c r="J127" s="67">
        <f t="shared" si="50"/>
        <v>0</v>
      </c>
      <c r="K127" s="67">
        <f t="shared" si="50"/>
        <v>120297</v>
      </c>
      <c r="L127" s="67">
        <f t="shared" si="50"/>
        <v>0</v>
      </c>
      <c r="M127" s="67">
        <f t="shared" si="50"/>
        <v>10559216</v>
      </c>
      <c r="N127" s="67">
        <f t="shared" si="50"/>
        <v>10559216</v>
      </c>
      <c r="O127" s="67">
        <f>O130</f>
        <v>10559216</v>
      </c>
      <c r="P127" s="67">
        <f t="shared" si="50"/>
        <v>0</v>
      </c>
      <c r="Q127" s="47"/>
    </row>
    <row r="128" spans="1:17" s="40" customFormat="1" ht="14.25">
      <c r="A128" s="802"/>
      <c r="B128" s="801"/>
      <c r="C128" s="37" t="s">
        <v>15</v>
      </c>
      <c r="D128" s="66">
        <f>D126+D127</f>
        <v>87077909</v>
      </c>
      <c r="E128" s="67">
        <f aca="true" t="shared" si="51" ref="E128:P128">E126+E127</f>
        <v>7235125</v>
      </c>
      <c r="F128" s="67">
        <f t="shared" si="51"/>
        <v>3140452</v>
      </c>
      <c r="G128" s="67">
        <f t="shared" si="51"/>
        <v>0</v>
      </c>
      <c r="H128" s="67">
        <f t="shared" si="51"/>
        <v>3140452</v>
      </c>
      <c r="I128" s="67">
        <f t="shared" si="51"/>
        <v>0</v>
      </c>
      <c r="J128" s="67">
        <f t="shared" si="51"/>
        <v>0</v>
      </c>
      <c r="K128" s="67">
        <f t="shared" si="51"/>
        <v>4094673</v>
      </c>
      <c r="L128" s="67">
        <f t="shared" si="51"/>
        <v>0</v>
      </c>
      <c r="M128" s="67">
        <f t="shared" si="51"/>
        <v>79842784</v>
      </c>
      <c r="N128" s="67">
        <f t="shared" si="51"/>
        <v>77623053</v>
      </c>
      <c r="O128" s="67">
        <f t="shared" si="51"/>
        <v>77623053</v>
      </c>
      <c r="P128" s="67">
        <f t="shared" si="51"/>
        <v>2219731</v>
      </c>
      <c r="Q128" s="47"/>
    </row>
    <row r="129" spans="1:17" s="65" customFormat="1" ht="12.75">
      <c r="A129" s="803" t="s">
        <v>73</v>
      </c>
      <c r="B129" s="795" t="s">
        <v>52</v>
      </c>
      <c r="C129" s="38" t="s">
        <v>13</v>
      </c>
      <c r="D129" s="59">
        <f>E129+M129</f>
        <v>75878487</v>
      </c>
      <c r="E129" s="60">
        <f>F129+I129+J129+K129+L129</f>
        <v>6594919</v>
      </c>
      <c r="F129" s="60">
        <f>G129+H129</f>
        <v>2620543</v>
      </c>
      <c r="G129" s="60">
        <v>0</v>
      </c>
      <c r="H129" s="60">
        <f>13350+854673+1337970+33890+256900+123760</f>
        <v>2620543</v>
      </c>
      <c r="I129" s="60">
        <v>0</v>
      </c>
      <c r="J129" s="60">
        <v>0</v>
      </c>
      <c r="K129" s="60">
        <f>1268858+223917+135940+23990+293260+51752+41796+7375+481870+85036+126737+22366+15592+2752+50095+8840+697000+123000+11050+1950+85000+15000+171020+30180</f>
        <v>3974376</v>
      </c>
      <c r="L129" s="60">
        <v>0</v>
      </c>
      <c r="M129" s="60">
        <f>N129+P129</f>
        <v>69283568</v>
      </c>
      <c r="N129" s="60">
        <f>69283568-2219731</f>
        <v>67063837</v>
      </c>
      <c r="O129" s="60">
        <v>67063837</v>
      </c>
      <c r="P129" s="60">
        <v>2219731</v>
      </c>
      <c r="Q129" s="64"/>
    </row>
    <row r="130" spans="1:17" s="65" customFormat="1" ht="12.75">
      <c r="A130" s="803"/>
      <c r="B130" s="795"/>
      <c r="C130" s="38" t="s">
        <v>14</v>
      </c>
      <c r="D130" s="59">
        <f>E130+M130</f>
        <v>11199422</v>
      </c>
      <c r="E130" s="60">
        <f>F130+I130+J130+K130+L130</f>
        <v>640206</v>
      </c>
      <c r="F130" s="60">
        <f>G130+H130</f>
        <v>519909</v>
      </c>
      <c r="G130" s="60"/>
      <c r="H130" s="60">
        <f>519909</f>
        <v>519909</v>
      </c>
      <c r="I130" s="60"/>
      <c r="J130" s="60"/>
      <c r="K130" s="60">
        <f>-15733-2776-193333-34117-48537-8566-5950-1050-25500-4500+340000+60000+4250+750-22270-3930+17000+3000+17850+3150+34475+6084</f>
        <v>120297</v>
      </c>
      <c r="L130" s="60"/>
      <c r="M130" s="60">
        <f>N130+P130</f>
        <v>10559216</v>
      </c>
      <c r="N130" s="60">
        <f>53+4568593+806223+10033963+117200-4966816</f>
        <v>10559216</v>
      </c>
      <c r="O130" s="60">
        <v>10559216</v>
      </c>
      <c r="P130" s="60"/>
      <c r="Q130" s="64"/>
    </row>
    <row r="131" spans="1:17" s="65" customFormat="1" ht="12.75">
      <c r="A131" s="803"/>
      <c r="B131" s="795"/>
      <c r="C131" s="38" t="s">
        <v>15</v>
      </c>
      <c r="D131" s="59">
        <f>D129+D130</f>
        <v>87077909</v>
      </c>
      <c r="E131" s="60">
        <f aca="true" t="shared" si="52" ref="E131:P131">E129+E130</f>
        <v>7235125</v>
      </c>
      <c r="F131" s="60">
        <f t="shared" si="52"/>
        <v>3140452</v>
      </c>
      <c r="G131" s="60">
        <f t="shared" si="52"/>
        <v>0</v>
      </c>
      <c r="H131" s="60">
        <f t="shared" si="52"/>
        <v>3140452</v>
      </c>
      <c r="I131" s="60">
        <f t="shared" si="52"/>
        <v>0</v>
      </c>
      <c r="J131" s="60">
        <f t="shared" si="52"/>
        <v>0</v>
      </c>
      <c r="K131" s="60">
        <f t="shared" si="52"/>
        <v>4094673</v>
      </c>
      <c r="L131" s="60">
        <f t="shared" si="52"/>
        <v>0</v>
      </c>
      <c r="M131" s="60">
        <f t="shared" si="52"/>
        <v>79842784</v>
      </c>
      <c r="N131" s="60">
        <f t="shared" si="52"/>
        <v>77623053</v>
      </c>
      <c r="O131" s="60">
        <f t="shared" si="52"/>
        <v>77623053</v>
      </c>
      <c r="P131" s="60">
        <f t="shared" si="52"/>
        <v>2219731</v>
      </c>
      <c r="Q131" s="64"/>
    </row>
    <row r="132" spans="1:17" s="40" customFormat="1" ht="14.25" hidden="1">
      <c r="A132" s="802" t="s">
        <v>333</v>
      </c>
      <c r="B132" s="801" t="s">
        <v>334</v>
      </c>
      <c r="C132" s="37" t="s">
        <v>13</v>
      </c>
      <c r="D132" s="66">
        <f aca="true" t="shared" si="53" ref="D132:N133">D135</f>
        <v>2100000</v>
      </c>
      <c r="E132" s="67">
        <f t="shared" si="53"/>
        <v>0</v>
      </c>
      <c r="F132" s="67">
        <f t="shared" si="53"/>
        <v>0</v>
      </c>
      <c r="G132" s="67">
        <f t="shared" si="53"/>
        <v>0</v>
      </c>
      <c r="H132" s="67">
        <f t="shared" si="53"/>
        <v>0</v>
      </c>
      <c r="I132" s="67">
        <f t="shared" si="53"/>
        <v>0</v>
      </c>
      <c r="J132" s="67">
        <f t="shared" si="53"/>
        <v>0</v>
      </c>
      <c r="K132" s="67">
        <f t="shared" si="53"/>
        <v>0</v>
      </c>
      <c r="L132" s="67">
        <f t="shared" si="53"/>
        <v>0</v>
      </c>
      <c r="M132" s="67">
        <f t="shared" si="53"/>
        <v>2100000</v>
      </c>
      <c r="N132" s="67">
        <f t="shared" si="53"/>
        <v>2100000</v>
      </c>
      <c r="O132" s="67">
        <f>O135</f>
        <v>0</v>
      </c>
      <c r="P132" s="67">
        <f>P135</f>
        <v>0</v>
      </c>
      <c r="Q132" s="47"/>
    </row>
    <row r="133" spans="1:17" s="40" customFormat="1" ht="14.25" hidden="1">
      <c r="A133" s="802"/>
      <c r="B133" s="801"/>
      <c r="C133" s="37" t="s">
        <v>14</v>
      </c>
      <c r="D133" s="66">
        <f t="shared" si="53"/>
        <v>0</v>
      </c>
      <c r="E133" s="67">
        <f t="shared" si="53"/>
        <v>0</v>
      </c>
      <c r="F133" s="67">
        <f t="shared" si="53"/>
        <v>0</v>
      </c>
      <c r="G133" s="67">
        <f t="shared" si="53"/>
        <v>0</v>
      </c>
      <c r="H133" s="67">
        <f t="shared" si="53"/>
        <v>0</v>
      </c>
      <c r="I133" s="67">
        <f t="shared" si="53"/>
        <v>0</v>
      </c>
      <c r="J133" s="67">
        <f t="shared" si="53"/>
        <v>0</v>
      </c>
      <c r="K133" s="67">
        <f t="shared" si="53"/>
        <v>0</v>
      </c>
      <c r="L133" s="67">
        <f t="shared" si="53"/>
        <v>0</v>
      </c>
      <c r="M133" s="67">
        <f t="shared" si="53"/>
        <v>0</v>
      </c>
      <c r="N133" s="67">
        <f t="shared" si="53"/>
        <v>0</v>
      </c>
      <c r="O133" s="67">
        <f>O136</f>
        <v>0</v>
      </c>
      <c r="P133" s="67">
        <f>P136</f>
        <v>0</v>
      </c>
      <c r="Q133" s="47"/>
    </row>
    <row r="134" spans="1:17" s="40" customFormat="1" ht="14.25" hidden="1">
      <c r="A134" s="802"/>
      <c r="B134" s="801"/>
      <c r="C134" s="37" t="s">
        <v>15</v>
      </c>
      <c r="D134" s="66">
        <f>D132+D133</f>
        <v>2100000</v>
      </c>
      <c r="E134" s="67">
        <f aca="true" t="shared" si="54" ref="E134:P134">E132+E133</f>
        <v>0</v>
      </c>
      <c r="F134" s="67">
        <f t="shared" si="54"/>
        <v>0</v>
      </c>
      <c r="G134" s="67">
        <f t="shared" si="54"/>
        <v>0</v>
      </c>
      <c r="H134" s="67">
        <f t="shared" si="54"/>
        <v>0</v>
      </c>
      <c r="I134" s="67">
        <f t="shared" si="54"/>
        <v>0</v>
      </c>
      <c r="J134" s="67">
        <f t="shared" si="54"/>
        <v>0</v>
      </c>
      <c r="K134" s="67">
        <f t="shared" si="54"/>
        <v>0</v>
      </c>
      <c r="L134" s="67">
        <f t="shared" si="54"/>
        <v>0</v>
      </c>
      <c r="M134" s="67">
        <f t="shared" si="54"/>
        <v>2100000</v>
      </c>
      <c r="N134" s="67">
        <f t="shared" si="54"/>
        <v>2100000</v>
      </c>
      <c r="O134" s="67">
        <f t="shared" si="54"/>
        <v>0</v>
      </c>
      <c r="P134" s="67">
        <f t="shared" si="54"/>
        <v>0</v>
      </c>
      <c r="Q134" s="47"/>
    </row>
    <row r="135" spans="1:17" s="65" customFormat="1" ht="12.75" hidden="1">
      <c r="A135" s="803" t="s">
        <v>335</v>
      </c>
      <c r="B135" s="795" t="s">
        <v>52</v>
      </c>
      <c r="C135" s="38" t="s">
        <v>13</v>
      </c>
      <c r="D135" s="59">
        <f>E135+M135</f>
        <v>2100000</v>
      </c>
      <c r="E135" s="60">
        <f>F135+I135+J135+K135+L135</f>
        <v>0</v>
      </c>
      <c r="F135" s="60">
        <f>G135+H135</f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f>N135+P135</f>
        <v>2100000</v>
      </c>
      <c r="N135" s="60">
        <v>2100000</v>
      </c>
      <c r="O135" s="60">
        <v>0</v>
      </c>
      <c r="P135" s="60">
        <v>0</v>
      </c>
      <c r="Q135" s="64"/>
    </row>
    <row r="136" spans="1:17" s="65" customFormat="1" ht="12.75" hidden="1">
      <c r="A136" s="803"/>
      <c r="B136" s="795"/>
      <c r="C136" s="38" t="s">
        <v>14</v>
      </c>
      <c r="D136" s="59">
        <f>E136+M136</f>
        <v>0</v>
      </c>
      <c r="E136" s="60">
        <f>F136+I136+J136+K136+L136</f>
        <v>0</v>
      </c>
      <c r="F136" s="60">
        <f>G136+H136</f>
        <v>0</v>
      </c>
      <c r="G136" s="60"/>
      <c r="H136" s="60"/>
      <c r="I136" s="60"/>
      <c r="J136" s="60"/>
      <c r="K136" s="60"/>
      <c r="L136" s="60"/>
      <c r="M136" s="60">
        <f>N136+P136</f>
        <v>0</v>
      </c>
      <c r="N136" s="60"/>
      <c r="O136" s="60"/>
      <c r="P136" s="60"/>
      <c r="Q136" s="64"/>
    </row>
    <row r="137" spans="1:17" s="65" customFormat="1" ht="12.75" hidden="1">
      <c r="A137" s="803"/>
      <c r="B137" s="795"/>
      <c r="C137" s="38" t="s">
        <v>15</v>
      </c>
      <c r="D137" s="59">
        <f>D135+D136</f>
        <v>2100000</v>
      </c>
      <c r="E137" s="60">
        <f aca="true" t="shared" si="55" ref="E137:P137">E135+E136</f>
        <v>0</v>
      </c>
      <c r="F137" s="60">
        <f t="shared" si="55"/>
        <v>0</v>
      </c>
      <c r="G137" s="60">
        <f t="shared" si="55"/>
        <v>0</v>
      </c>
      <c r="H137" s="60">
        <f t="shared" si="55"/>
        <v>0</v>
      </c>
      <c r="I137" s="60">
        <f t="shared" si="55"/>
        <v>0</v>
      </c>
      <c r="J137" s="60">
        <f t="shared" si="55"/>
        <v>0</v>
      </c>
      <c r="K137" s="60">
        <f t="shared" si="55"/>
        <v>0</v>
      </c>
      <c r="L137" s="60">
        <f t="shared" si="55"/>
        <v>0</v>
      </c>
      <c r="M137" s="60">
        <f t="shared" si="55"/>
        <v>2100000</v>
      </c>
      <c r="N137" s="60">
        <f t="shared" si="55"/>
        <v>2100000</v>
      </c>
      <c r="O137" s="60">
        <f t="shared" si="55"/>
        <v>0</v>
      </c>
      <c r="P137" s="60">
        <f t="shared" si="55"/>
        <v>0</v>
      </c>
      <c r="Q137" s="64"/>
    </row>
    <row r="138" spans="1:17" s="40" customFormat="1" ht="14.25">
      <c r="A138" s="802" t="s">
        <v>28</v>
      </c>
      <c r="B138" s="801" t="s">
        <v>29</v>
      </c>
      <c r="C138" s="37" t="s">
        <v>13</v>
      </c>
      <c r="D138" s="57">
        <f aca="true" t="shared" si="56" ref="D138:P139">D141+D144+D147+D150+D156+D153</f>
        <v>109835609</v>
      </c>
      <c r="E138" s="58">
        <f t="shared" si="56"/>
        <v>109224609</v>
      </c>
      <c r="F138" s="58">
        <f t="shared" si="56"/>
        <v>49632992</v>
      </c>
      <c r="G138" s="58">
        <f t="shared" si="56"/>
        <v>32786000</v>
      </c>
      <c r="H138" s="58">
        <f t="shared" si="56"/>
        <v>16846992</v>
      </c>
      <c r="I138" s="58">
        <f t="shared" si="56"/>
        <v>135000</v>
      </c>
      <c r="J138" s="58">
        <f t="shared" si="56"/>
        <v>1342000</v>
      </c>
      <c r="K138" s="58">
        <f t="shared" si="56"/>
        <v>58114617</v>
      </c>
      <c r="L138" s="58">
        <f t="shared" si="56"/>
        <v>0</v>
      </c>
      <c r="M138" s="58">
        <f t="shared" si="56"/>
        <v>611000</v>
      </c>
      <c r="N138" s="58">
        <f t="shared" si="56"/>
        <v>611000</v>
      </c>
      <c r="O138" s="58">
        <f t="shared" si="56"/>
        <v>11000</v>
      </c>
      <c r="P138" s="58">
        <f t="shared" si="56"/>
        <v>0</v>
      </c>
      <c r="Q138" s="47"/>
    </row>
    <row r="139" spans="1:17" s="40" customFormat="1" ht="14.25">
      <c r="A139" s="802"/>
      <c r="B139" s="801"/>
      <c r="C139" s="37" t="s">
        <v>14</v>
      </c>
      <c r="D139" s="57">
        <f t="shared" si="56"/>
        <v>3039408</v>
      </c>
      <c r="E139" s="58">
        <f t="shared" si="56"/>
        <v>2366890</v>
      </c>
      <c r="F139" s="58">
        <f t="shared" si="56"/>
        <v>750000</v>
      </c>
      <c r="G139" s="58">
        <f t="shared" si="56"/>
        <v>0</v>
      </c>
      <c r="H139" s="58">
        <f t="shared" si="56"/>
        <v>750000</v>
      </c>
      <c r="I139" s="58">
        <f t="shared" si="56"/>
        <v>0</v>
      </c>
      <c r="J139" s="58">
        <f t="shared" si="56"/>
        <v>0</v>
      </c>
      <c r="K139" s="58">
        <f t="shared" si="56"/>
        <v>1616890</v>
      </c>
      <c r="L139" s="58">
        <f t="shared" si="56"/>
        <v>0</v>
      </c>
      <c r="M139" s="58">
        <f t="shared" si="56"/>
        <v>672518</v>
      </c>
      <c r="N139" s="58">
        <f t="shared" si="56"/>
        <v>672518</v>
      </c>
      <c r="O139" s="58">
        <f t="shared" si="56"/>
        <v>0</v>
      </c>
      <c r="P139" s="58">
        <f t="shared" si="56"/>
        <v>0</v>
      </c>
      <c r="Q139" s="47"/>
    </row>
    <row r="140" spans="1:17" s="40" customFormat="1" ht="14.25">
      <c r="A140" s="802"/>
      <c r="B140" s="801"/>
      <c r="C140" s="37" t="s">
        <v>15</v>
      </c>
      <c r="D140" s="70">
        <f>D138+D139</f>
        <v>112875017</v>
      </c>
      <c r="E140" s="58">
        <f aca="true" t="shared" si="57" ref="E140:P140">E138+E139</f>
        <v>111591499</v>
      </c>
      <c r="F140" s="58">
        <f t="shared" si="57"/>
        <v>50382992</v>
      </c>
      <c r="G140" s="58">
        <f t="shared" si="57"/>
        <v>32786000</v>
      </c>
      <c r="H140" s="58">
        <f t="shared" si="57"/>
        <v>17596992</v>
      </c>
      <c r="I140" s="58">
        <f t="shared" si="57"/>
        <v>135000</v>
      </c>
      <c r="J140" s="58">
        <f t="shared" si="57"/>
        <v>1342000</v>
      </c>
      <c r="K140" s="58">
        <f t="shared" si="57"/>
        <v>59731507</v>
      </c>
      <c r="L140" s="58">
        <f t="shared" si="57"/>
        <v>0</v>
      </c>
      <c r="M140" s="58">
        <f t="shared" si="57"/>
        <v>1283518</v>
      </c>
      <c r="N140" s="58">
        <f t="shared" si="57"/>
        <v>1283518</v>
      </c>
      <c r="O140" s="58">
        <f t="shared" si="57"/>
        <v>11000</v>
      </c>
      <c r="P140" s="58">
        <f t="shared" si="57"/>
        <v>0</v>
      </c>
      <c r="Q140" s="47"/>
    </row>
    <row r="141" spans="1:17" s="65" customFormat="1" ht="12.75" hidden="1">
      <c r="A141" s="803" t="s">
        <v>132</v>
      </c>
      <c r="B141" s="795" t="s">
        <v>133</v>
      </c>
      <c r="C141" s="38" t="s">
        <v>13</v>
      </c>
      <c r="D141" s="59">
        <f>E141+M141</f>
        <v>1438180</v>
      </c>
      <c r="E141" s="60">
        <f>F141+I141+J141+K141+L141</f>
        <v>1438180</v>
      </c>
      <c r="F141" s="60">
        <f>G141+H141</f>
        <v>338180</v>
      </c>
      <c r="G141" s="60">
        <v>50000</v>
      </c>
      <c r="H141" s="60">
        <v>288180</v>
      </c>
      <c r="I141" s="60">
        <v>0</v>
      </c>
      <c r="J141" s="60">
        <v>1100000</v>
      </c>
      <c r="K141" s="60">
        <v>0</v>
      </c>
      <c r="L141" s="60">
        <v>0</v>
      </c>
      <c r="M141" s="60">
        <f aca="true" t="shared" si="58" ref="M141:M157">N141+P141</f>
        <v>0</v>
      </c>
      <c r="N141" s="60">
        <v>0</v>
      </c>
      <c r="O141" s="60">
        <v>0</v>
      </c>
      <c r="P141" s="60">
        <v>0</v>
      </c>
      <c r="Q141" s="64"/>
    </row>
    <row r="142" spans="1:17" s="65" customFormat="1" ht="12.75" hidden="1">
      <c r="A142" s="803"/>
      <c r="B142" s="795"/>
      <c r="C142" s="38" t="s">
        <v>14</v>
      </c>
      <c r="D142" s="59">
        <f>E142+M142</f>
        <v>0</v>
      </c>
      <c r="E142" s="60">
        <f>F142+I142+J142+K142+L142</f>
        <v>0</v>
      </c>
      <c r="F142" s="60">
        <f>G142+H142</f>
        <v>0</v>
      </c>
      <c r="G142" s="60"/>
      <c r="H142" s="60"/>
      <c r="I142" s="60"/>
      <c r="J142" s="60"/>
      <c r="K142" s="60"/>
      <c r="L142" s="60"/>
      <c r="M142" s="60">
        <f t="shared" si="58"/>
        <v>0</v>
      </c>
      <c r="N142" s="60"/>
      <c r="O142" s="60"/>
      <c r="P142" s="60"/>
      <c r="Q142" s="64"/>
    </row>
    <row r="143" spans="1:17" s="65" customFormat="1" ht="12.75" hidden="1">
      <c r="A143" s="803"/>
      <c r="B143" s="795"/>
      <c r="C143" s="38" t="s">
        <v>15</v>
      </c>
      <c r="D143" s="59">
        <f>D141+D142</f>
        <v>1438180</v>
      </c>
      <c r="E143" s="60">
        <f aca="true" t="shared" si="59" ref="E143:P143">E141+E142</f>
        <v>1438180</v>
      </c>
      <c r="F143" s="60">
        <f t="shared" si="59"/>
        <v>338180</v>
      </c>
      <c r="G143" s="60">
        <f t="shared" si="59"/>
        <v>50000</v>
      </c>
      <c r="H143" s="60">
        <f t="shared" si="59"/>
        <v>288180</v>
      </c>
      <c r="I143" s="60">
        <f t="shared" si="59"/>
        <v>0</v>
      </c>
      <c r="J143" s="60">
        <f t="shared" si="59"/>
        <v>1100000</v>
      </c>
      <c r="K143" s="60">
        <f t="shared" si="59"/>
        <v>0</v>
      </c>
      <c r="L143" s="60">
        <f t="shared" si="59"/>
        <v>0</v>
      </c>
      <c r="M143" s="60">
        <f t="shared" si="59"/>
        <v>0</v>
      </c>
      <c r="N143" s="60">
        <f t="shared" si="59"/>
        <v>0</v>
      </c>
      <c r="O143" s="60">
        <f t="shared" si="59"/>
        <v>0</v>
      </c>
      <c r="P143" s="60">
        <f t="shared" si="59"/>
        <v>0</v>
      </c>
      <c r="Q143" s="64"/>
    </row>
    <row r="144" spans="1:17" s="65" customFormat="1" ht="12.75">
      <c r="A144" s="803" t="s">
        <v>30</v>
      </c>
      <c r="B144" s="795" t="s">
        <v>134</v>
      </c>
      <c r="C144" s="38" t="s">
        <v>13</v>
      </c>
      <c r="D144" s="59">
        <f>E144+M144</f>
        <v>77946432</v>
      </c>
      <c r="E144" s="60">
        <f>F144+I144+J144+K144+L144</f>
        <v>77335432</v>
      </c>
      <c r="F144" s="60">
        <f>G144+H144</f>
        <v>40324962</v>
      </c>
      <c r="G144" s="60">
        <v>32472000</v>
      </c>
      <c r="H144" s="60">
        <f>370000+1606745+60000+750000+250000+22000+1940255+300000+2000+20000+600000+140000+190000+90000+1385962+4000+1000+26000+30000+65000</f>
        <v>7852962</v>
      </c>
      <c r="I144" s="60">
        <v>0</v>
      </c>
      <c r="J144" s="60">
        <v>35000</v>
      </c>
      <c r="K144" s="60">
        <f>8500+1500+17000+3000+18667250+3294220+1559750+275250+3145000+555000+476000+84000+703273+124107+29750+5250+862580+152220+21250+3750+581400+102600+8500+1500+8500+1500+2885495+509205+168045+29655+11050+1950+990250+174750+676600+119400+36635+6465+148750+26250+30600+5400+223550+39450+169422+29898</f>
        <v>36975470</v>
      </c>
      <c r="L144" s="60">
        <v>0</v>
      </c>
      <c r="M144" s="60">
        <f t="shared" si="58"/>
        <v>611000</v>
      </c>
      <c r="N144" s="60">
        <v>611000</v>
      </c>
      <c r="O144" s="60">
        <f>9350+1650</f>
        <v>11000</v>
      </c>
      <c r="P144" s="60">
        <v>0</v>
      </c>
      <c r="Q144" s="64"/>
    </row>
    <row r="145" spans="1:17" s="65" customFormat="1" ht="12.75">
      <c r="A145" s="803"/>
      <c r="B145" s="795"/>
      <c r="C145" s="38" t="s">
        <v>14</v>
      </c>
      <c r="D145" s="59">
        <f>E145+M145</f>
        <v>1535886</v>
      </c>
      <c r="E145" s="60">
        <f>F145+I145+J145+K145+L145</f>
        <v>863368</v>
      </c>
      <c r="F145" s="60">
        <f>G145+H145</f>
        <v>0</v>
      </c>
      <c r="G145" s="60"/>
      <c r="H145" s="60"/>
      <c r="I145" s="60"/>
      <c r="J145" s="60"/>
      <c r="K145" s="60">
        <f>967979-104611</f>
        <v>863368</v>
      </c>
      <c r="L145" s="60"/>
      <c r="M145" s="60">
        <f t="shared" si="58"/>
        <v>672518</v>
      </c>
      <c r="N145" s="60">
        <f>672518</f>
        <v>672518</v>
      </c>
      <c r="O145" s="60"/>
      <c r="P145" s="60"/>
      <c r="Q145" s="64"/>
    </row>
    <row r="146" spans="1:17" s="65" customFormat="1" ht="12.75">
      <c r="A146" s="803"/>
      <c r="B146" s="795"/>
      <c r="C146" s="38" t="s">
        <v>15</v>
      </c>
      <c r="D146" s="59">
        <f>D144+D145</f>
        <v>79482318</v>
      </c>
      <c r="E146" s="60">
        <f aca="true" t="shared" si="60" ref="E146:P146">E144+E145</f>
        <v>78198800</v>
      </c>
      <c r="F146" s="60">
        <f t="shared" si="60"/>
        <v>40324962</v>
      </c>
      <c r="G146" s="60">
        <f t="shared" si="60"/>
        <v>32472000</v>
      </c>
      <c r="H146" s="60">
        <f t="shared" si="60"/>
        <v>7852962</v>
      </c>
      <c r="I146" s="60">
        <f t="shared" si="60"/>
        <v>0</v>
      </c>
      <c r="J146" s="60">
        <f t="shared" si="60"/>
        <v>35000</v>
      </c>
      <c r="K146" s="60">
        <f t="shared" si="60"/>
        <v>37838838</v>
      </c>
      <c r="L146" s="60">
        <f t="shared" si="60"/>
        <v>0</v>
      </c>
      <c r="M146" s="60">
        <f t="shared" si="60"/>
        <v>1283518</v>
      </c>
      <c r="N146" s="60">
        <f t="shared" si="60"/>
        <v>1283518</v>
      </c>
      <c r="O146" s="60">
        <f t="shared" si="60"/>
        <v>11000</v>
      </c>
      <c r="P146" s="60">
        <f t="shared" si="60"/>
        <v>0</v>
      </c>
      <c r="Q146" s="64"/>
    </row>
    <row r="147" spans="1:17" s="35" customFormat="1" ht="12.75" hidden="1">
      <c r="A147" s="803" t="s">
        <v>135</v>
      </c>
      <c r="B147" s="795" t="s">
        <v>136</v>
      </c>
      <c r="C147" s="38" t="s">
        <v>13</v>
      </c>
      <c r="D147" s="59">
        <f>E147+M147</f>
        <v>450000</v>
      </c>
      <c r="E147" s="60">
        <f>F147+I147+J147+K147+L147</f>
        <v>450000</v>
      </c>
      <c r="F147" s="60">
        <f>G147+H147</f>
        <v>450000</v>
      </c>
      <c r="G147" s="60">
        <v>3000</v>
      </c>
      <c r="H147" s="60">
        <f>8000+3300+14100+20000+29000+17500+800+133300+5000+213000+2500+500</f>
        <v>447000</v>
      </c>
      <c r="I147" s="60">
        <v>0</v>
      </c>
      <c r="J147" s="60">
        <v>0</v>
      </c>
      <c r="K147" s="60">
        <v>0</v>
      </c>
      <c r="L147" s="60">
        <v>0</v>
      </c>
      <c r="M147" s="60">
        <f t="shared" si="58"/>
        <v>0</v>
      </c>
      <c r="N147" s="60">
        <v>0</v>
      </c>
      <c r="O147" s="60">
        <v>0</v>
      </c>
      <c r="P147" s="60">
        <v>0</v>
      </c>
      <c r="Q147" s="45"/>
    </row>
    <row r="148" spans="1:17" s="35" customFormat="1" ht="12.75" hidden="1">
      <c r="A148" s="803"/>
      <c r="B148" s="795"/>
      <c r="C148" s="38" t="s">
        <v>14</v>
      </c>
      <c r="D148" s="59">
        <f>E148+M148</f>
        <v>0</v>
      </c>
      <c r="E148" s="60">
        <f>F148+I148+J148+K148+L148</f>
        <v>0</v>
      </c>
      <c r="F148" s="60">
        <f>G148+H148</f>
        <v>0</v>
      </c>
      <c r="G148" s="60"/>
      <c r="H148" s="60"/>
      <c r="I148" s="60"/>
      <c r="J148" s="60"/>
      <c r="K148" s="60"/>
      <c r="L148" s="60"/>
      <c r="M148" s="60">
        <f t="shared" si="58"/>
        <v>0</v>
      </c>
      <c r="N148" s="60"/>
      <c r="O148" s="60"/>
      <c r="P148" s="60"/>
      <c r="Q148" s="45"/>
    </row>
    <row r="149" spans="1:17" s="35" customFormat="1" ht="12.75" hidden="1">
      <c r="A149" s="803"/>
      <c r="B149" s="795"/>
      <c r="C149" s="38" t="s">
        <v>15</v>
      </c>
      <c r="D149" s="59">
        <f>D147+D148</f>
        <v>450000</v>
      </c>
      <c r="E149" s="60">
        <f aca="true" t="shared" si="61" ref="E149:P149">E147+E148</f>
        <v>450000</v>
      </c>
      <c r="F149" s="60">
        <f t="shared" si="61"/>
        <v>450000</v>
      </c>
      <c r="G149" s="60">
        <f t="shared" si="61"/>
        <v>3000</v>
      </c>
      <c r="H149" s="60">
        <f t="shared" si="61"/>
        <v>447000</v>
      </c>
      <c r="I149" s="60">
        <f t="shared" si="61"/>
        <v>0</v>
      </c>
      <c r="J149" s="60">
        <f t="shared" si="61"/>
        <v>0</v>
      </c>
      <c r="K149" s="60">
        <f t="shared" si="61"/>
        <v>0</v>
      </c>
      <c r="L149" s="60">
        <f t="shared" si="61"/>
        <v>0</v>
      </c>
      <c r="M149" s="60">
        <f t="shared" si="61"/>
        <v>0</v>
      </c>
      <c r="N149" s="60">
        <f t="shared" si="61"/>
        <v>0</v>
      </c>
      <c r="O149" s="60">
        <f t="shared" si="61"/>
        <v>0</v>
      </c>
      <c r="P149" s="60">
        <f t="shared" si="61"/>
        <v>0</v>
      </c>
      <c r="Q149" s="45"/>
    </row>
    <row r="150" spans="1:17" s="65" customFormat="1" ht="12.75">
      <c r="A150" s="803" t="s">
        <v>137</v>
      </c>
      <c r="B150" s="795" t="s">
        <v>138</v>
      </c>
      <c r="C150" s="38" t="s">
        <v>13</v>
      </c>
      <c r="D150" s="59">
        <f>E150+M150</f>
        <v>26739147</v>
      </c>
      <c r="E150" s="60">
        <f>F150+I150+J150+K150+L150</f>
        <v>26739147</v>
      </c>
      <c r="F150" s="60">
        <f>G150+H150</f>
        <v>7095000</v>
      </c>
      <c r="G150" s="60">
        <v>125000</v>
      </c>
      <c r="H150" s="60">
        <v>6970000</v>
      </c>
      <c r="I150" s="60">
        <v>0</v>
      </c>
      <c r="J150" s="60">
        <v>5000</v>
      </c>
      <c r="K150" s="60">
        <f>3248020+84500+747172+131855+23745+4190+132986+23469+18954+3348+3444+608+51365+9065+14450+2447+1921+339+12137841+2725247+1921+339+19380+3420+5100+900+121350+33650+850+150+67678+11943+6375+1125</f>
        <v>19639147</v>
      </c>
      <c r="L150" s="60">
        <v>0</v>
      </c>
      <c r="M150" s="60">
        <f t="shared" si="58"/>
        <v>0</v>
      </c>
      <c r="N150" s="60">
        <v>0</v>
      </c>
      <c r="O150" s="60">
        <v>0</v>
      </c>
      <c r="P150" s="60">
        <v>0</v>
      </c>
      <c r="Q150" s="64"/>
    </row>
    <row r="151" spans="1:17" s="65" customFormat="1" ht="12.75">
      <c r="A151" s="803"/>
      <c r="B151" s="795"/>
      <c r="C151" s="38" t="s">
        <v>14</v>
      </c>
      <c r="D151" s="59">
        <f>E151+M151</f>
        <v>1103522</v>
      </c>
      <c r="E151" s="60">
        <f>F151+I151+J151+K151+L151</f>
        <v>1103522</v>
      </c>
      <c r="F151" s="60">
        <f>G151+H151</f>
        <v>350000</v>
      </c>
      <c r="G151" s="60"/>
      <c r="H151" s="60">
        <v>350000</v>
      </c>
      <c r="I151" s="60"/>
      <c r="J151" s="60"/>
      <c r="K151" s="60">
        <f>753522</f>
        <v>753522</v>
      </c>
      <c r="L151" s="60"/>
      <c r="M151" s="60">
        <f t="shared" si="58"/>
        <v>0</v>
      </c>
      <c r="N151" s="60"/>
      <c r="O151" s="60"/>
      <c r="P151" s="60"/>
      <c r="Q151" s="64"/>
    </row>
    <row r="152" spans="1:17" s="65" customFormat="1" ht="12.75">
      <c r="A152" s="803"/>
      <c r="B152" s="795"/>
      <c r="C152" s="38" t="s">
        <v>15</v>
      </c>
      <c r="D152" s="59">
        <f>D150+D151</f>
        <v>27842669</v>
      </c>
      <c r="E152" s="60">
        <f aca="true" t="shared" si="62" ref="E152:P152">E150+E151</f>
        <v>27842669</v>
      </c>
      <c r="F152" s="60">
        <f t="shared" si="62"/>
        <v>7445000</v>
      </c>
      <c r="G152" s="60">
        <f t="shared" si="62"/>
        <v>125000</v>
      </c>
      <c r="H152" s="60">
        <f t="shared" si="62"/>
        <v>7320000</v>
      </c>
      <c r="I152" s="60">
        <f t="shared" si="62"/>
        <v>0</v>
      </c>
      <c r="J152" s="60">
        <f t="shared" si="62"/>
        <v>5000</v>
      </c>
      <c r="K152" s="60">
        <f t="shared" si="62"/>
        <v>20392669</v>
      </c>
      <c r="L152" s="60">
        <f t="shared" si="62"/>
        <v>0</v>
      </c>
      <c r="M152" s="60">
        <f t="shared" si="62"/>
        <v>0</v>
      </c>
      <c r="N152" s="60">
        <f t="shared" si="62"/>
        <v>0</v>
      </c>
      <c r="O152" s="60">
        <f t="shared" si="62"/>
        <v>0</v>
      </c>
      <c r="P152" s="60">
        <f t="shared" si="62"/>
        <v>0</v>
      </c>
      <c r="Q152" s="64"/>
    </row>
    <row r="153" spans="1:17" s="35" customFormat="1" ht="12.75" hidden="1">
      <c r="A153" s="803" t="s">
        <v>55</v>
      </c>
      <c r="B153" s="795" t="s">
        <v>56</v>
      </c>
      <c r="C153" s="38" t="s">
        <v>13</v>
      </c>
      <c r="D153" s="59">
        <f>E153+M153</f>
        <v>201000</v>
      </c>
      <c r="E153" s="60">
        <f>F153+I153+J153+K153+L153</f>
        <v>201000</v>
      </c>
      <c r="F153" s="60">
        <f>G153+H153</f>
        <v>151000</v>
      </c>
      <c r="G153" s="60">
        <v>70000</v>
      </c>
      <c r="H153" s="60">
        <f>5000+5000+50500+20000+500</f>
        <v>81000</v>
      </c>
      <c r="I153" s="60">
        <v>0</v>
      </c>
      <c r="J153" s="60">
        <v>50000</v>
      </c>
      <c r="K153" s="60">
        <v>0</v>
      </c>
      <c r="L153" s="60">
        <v>0</v>
      </c>
      <c r="M153" s="60">
        <f t="shared" si="58"/>
        <v>0</v>
      </c>
      <c r="N153" s="60">
        <v>0</v>
      </c>
      <c r="O153" s="60">
        <v>0</v>
      </c>
      <c r="P153" s="60">
        <v>0</v>
      </c>
      <c r="Q153" s="45"/>
    </row>
    <row r="154" spans="1:17" s="35" customFormat="1" ht="12.75" hidden="1">
      <c r="A154" s="803"/>
      <c r="B154" s="795"/>
      <c r="C154" s="38" t="s">
        <v>14</v>
      </c>
      <c r="D154" s="59">
        <f>E154+M154</f>
        <v>0</v>
      </c>
      <c r="E154" s="60">
        <f>F154+I154+J154+K154+L154</f>
        <v>0</v>
      </c>
      <c r="F154" s="60">
        <f>G154+H154</f>
        <v>0</v>
      </c>
      <c r="G154" s="60"/>
      <c r="H154" s="60"/>
      <c r="I154" s="60"/>
      <c r="J154" s="60"/>
      <c r="K154" s="60"/>
      <c r="L154" s="60"/>
      <c r="M154" s="60">
        <f t="shared" si="58"/>
        <v>0</v>
      </c>
      <c r="N154" s="60"/>
      <c r="O154" s="60"/>
      <c r="P154" s="60"/>
      <c r="Q154" s="45"/>
    </row>
    <row r="155" spans="1:17" s="35" customFormat="1" ht="12.75" hidden="1">
      <c r="A155" s="803"/>
      <c r="B155" s="795"/>
      <c r="C155" s="38" t="s">
        <v>15</v>
      </c>
      <c r="D155" s="59">
        <f>D153+D154</f>
        <v>201000</v>
      </c>
      <c r="E155" s="60">
        <f aca="true" t="shared" si="63" ref="E155:P155">E153+E154</f>
        <v>201000</v>
      </c>
      <c r="F155" s="60">
        <f t="shared" si="63"/>
        <v>151000</v>
      </c>
      <c r="G155" s="60">
        <f t="shared" si="63"/>
        <v>70000</v>
      </c>
      <c r="H155" s="60">
        <f t="shared" si="63"/>
        <v>81000</v>
      </c>
      <c r="I155" s="60">
        <f t="shared" si="63"/>
        <v>0</v>
      </c>
      <c r="J155" s="60">
        <f t="shared" si="63"/>
        <v>50000</v>
      </c>
      <c r="K155" s="60">
        <f t="shared" si="63"/>
        <v>0</v>
      </c>
      <c r="L155" s="60">
        <f t="shared" si="63"/>
        <v>0</v>
      </c>
      <c r="M155" s="60">
        <f t="shared" si="63"/>
        <v>0</v>
      </c>
      <c r="N155" s="60">
        <f t="shared" si="63"/>
        <v>0</v>
      </c>
      <c r="O155" s="60">
        <f t="shared" si="63"/>
        <v>0</v>
      </c>
      <c r="P155" s="60">
        <f t="shared" si="63"/>
        <v>0</v>
      </c>
      <c r="Q155" s="45"/>
    </row>
    <row r="156" spans="1:17" s="65" customFormat="1" ht="12.75">
      <c r="A156" s="803" t="s">
        <v>139</v>
      </c>
      <c r="B156" s="795" t="s">
        <v>52</v>
      </c>
      <c r="C156" s="38" t="s">
        <v>13</v>
      </c>
      <c r="D156" s="59">
        <f>E156+M156</f>
        <v>3060850</v>
      </c>
      <c r="E156" s="60">
        <f>F156+I156+J156+K156+L156</f>
        <v>3060850</v>
      </c>
      <c r="F156" s="60">
        <f>G156+H156</f>
        <v>1273850</v>
      </c>
      <c r="G156" s="60">
        <v>66000</v>
      </c>
      <c r="H156" s="60">
        <v>1207850</v>
      </c>
      <c r="I156" s="60">
        <v>135000</v>
      </c>
      <c r="J156" s="60">
        <v>152000</v>
      </c>
      <c r="K156" s="60">
        <f>425+75+875075+154425+85000+15000+160225+28275+16150+2850+8500+1500+3400+600+23800+4200+425+75+38250+6750+7650+1350+850+150+42500+7500+6800+1200+5950+1050</f>
        <v>1500000</v>
      </c>
      <c r="L156" s="60">
        <v>0</v>
      </c>
      <c r="M156" s="60">
        <f t="shared" si="58"/>
        <v>0</v>
      </c>
      <c r="N156" s="60">
        <v>0</v>
      </c>
      <c r="O156" s="60">
        <v>0</v>
      </c>
      <c r="P156" s="60">
        <v>0</v>
      </c>
      <c r="Q156" s="64"/>
    </row>
    <row r="157" spans="1:17" s="65" customFormat="1" ht="12.75">
      <c r="A157" s="803"/>
      <c r="B157" s="795"/>
      <c r="C157" s="38" t="s">
        <v>14</v>
      </c>
      <c r="D157" s="59">
        <f>E157+M157</f>
        <v>400000</v>
      </c>
      <c r="E157" s="60">
        <f>F157+I157+J157+K157+L157</f>
        <v>400000</v>
      </c>
      <c r="F157" s="60">
        <f>G157+H157</f>
        <v>400000</v>
      </c>
      <c r="G157" s="60"/>
      <c r="H157" s="60">
        <v>400000</v>
      </c>
      <c r="I157" s="60"/>
      <c r="J157" s="60"/>
      <c r="K157" s="60"/>
      <c r="L157" s="60"/>
      <c r="M157" s="60">
        <f t="shared" si="58"/>
        <v>0</v>
      </c>
      <c r="N157" s="60"/>
      <c r="O157" s="60"/>
      <c r="P157" s="60"/>
      <c r="Q157" s="64"/>
    </row>
    <row r="158" spans="1:17" s="65" customFormat="1" ht="12.75">
      <c r="A158" s="803"/>
      <c r="B158" s="795"/>
      <c r="C158" s="38" t="s">
        <v>15</v>
      </c>
      <c r="D158" s="59">
        <f>D156+D157</f>
        <v>3460850</v>
      </c>
      <c r="E158" s="60">
        <f aca="true" t="shared" si="64" ref="E158:P158">E156+E157</f>
        <v>3460850</v>
      </c>
      <c r="F158" s="60">
        <f t="shared" si="64"/>
        <v>1673850</v>
      </c>
      <c r="G158" s="60">
        <f t="shared" si="64"/>
        <v>66000</v>
      </c>
      <c r="H158" s="60">
        <f t="shared" si="64"/>
        <v>1607850</v>
      </c>
      <c r="I158" s="60">
        <f t="shared" si="64"/>
        <v>135000</v>
      </c>
      <c r="J158" s="60">
        <f t="shared" si="64"/>
        <v>152000</v>
      </c>
      <c r="K158" s="60">
        <f t="shared" si="64"/>
        <v>1500000</v>
      </c>
      <c r="L158" s="60">
        <f t="shared" si="64"/>
        <v>0</v>
      </c>
      <c r="M158" s="60">
        <f t="shared" si="64"/>
        <v>0</v>
      </c>
      <c r="N158" s="60">
        <f t="shared" si="64"/>
        <v>0</v>
      </c>
      <c r="O158" s="60">
        <f t="shared" si="64"/>
        <v>0</v>
      </c>
      <c r="P158" s="60">
        <f t="shared" si="64"/>
        <v>0</v>
      </c>
      <c r="Q158" s="64"/>
    </row>
    <row r="159" spans="1:17" s="40" customFormat="1" ht="14.25" hidden="1">
      <c r="A159" s="802" t="s">
        <v>57</v>
      </c>
      <c r="B159" s="801" t="s">
        <v>58</v>
      </c>
      <c r="C159" s="37" t="s">
        <v>13</v>
      </c>
      <c r="D159" s="57">
        <f aca="true" t="shared" si="65" ref="D159:P160">D162</f>
        <v>5000</v>
      </c>
      <c r="E159" s="58">
        <f t="shared" si="65"/>
        <v>5000</v>
      </c>
      <c r="F159" s="58">
        <f t="shared" si="65"/>
        <v>5000</v>
      </c>
      <c r="G159" s="58">
        <f t="shared" si="65"/>
        <v>0</v>
      </c>
      <c r="H159" s="58">
        <f t="shared" si="65"/>
        <v>5000</v>
      </c>
      <c r="I159" s="58">
        <f t="shared" si="65"/>
        <v>0</v>
      </c>
      <c r="J159" s="58">
        <f t="shared" si="65"/>
        <v>0</v>
      </c>
      <c r="K159" s="58">
        <f t="shared" si="65"/>
        <v>0</v>
      </c>
      <c r="L159" s="58">
        <f t="shared" si="65"/>
        <v>0</v>
      </c>
      <c r="M159" s="58">
        <f t="shared" si="65"/>
        <v>0</v>
      </c>
      <c r="N159" s="58">
        <f t="shared" si="65"/>
        <v>0</v>
      </c>
      <c r="O159" s="58">
        <f>O162</f>
        <v>0</v>
      </c>
      <c r="P159" s="58">
        <f t="shared" si="65"/>
        <v>0</v>
      </c>
      <c r="Q159" s="47"/>
    </row>
    <row r="160" spans="1:17" s="40" customFormat="1" ht="14.25" hidden="1">
      <c r="A160" s="802"/>
      <c r="B160" s="801"/>
      <c r="C160" s="37" t="s">
        <v>14</v>
      </c>
      <c r="D160" s="57">
        <f t="shared" si="65"/>
        <v>0</v>
      </c>
      <c r="E160" s="58">
        <f t="shared" si="65"/>
        <v>0</v>
      </c>
      <c r="F160" s="58">
        <f t="shared" si="65"/>
        <v>0</v>
      </c>
      <c r="G160" s="58">
        <f t="shared" si="65"/>
        <v>0</v>
      </c>
      <c r="H160" s="58">
        <f t="shared" si="65"/>
        <v>0</v>
      </c>
      <c r="I160" s="58">
        <f t="shared" si="65"/>
        <v>0</v>
      </c>
      <c r="J160" s="58">
        <f t="shared" si="65"/>
        <v>0</v>
      </c>
      <c r="K160" s="58">
        <f t="shared" si="65"/>
        <v>0</v>
      </c>
      <c r="L160" s="58">
        <f t="shared" si="65"/>
        <v>0</v>
      </c>
      <c r="M160" s="58">
        <f t="shared" si="65"/>
        <v>0</v>
      </c>
      <c r="N160" s="58">
        <f t="shared" si="65"/>
        <v>0</v>
      </c>
      <c r="O160" s="58">
        <f>O163</f>
        <v>0</v>
      </c>
      <c r="P160" s="58">
        <f t="shared" si="65"/>
        <v>0</v>
      </c>
      <c r="Q160" s="47"/>
    </row>
    <row r="161" spans="1:17" s="40" customFormat="1" ht="14.25" hidden="1">
      <c r="A161" s="802"/>
      <c r="B161" s="801"/>
      <c r="C161" s="37" t="s">
        <v>15</v>
      </c>
      <c r="D161" s="70">
        <f>D159+D160</f>
        <v>5000</v>
      </c>
      <c r="E161" s="58">
        <f aca="true" t="shared" si="66" ref="E161:P161">E159+E160</f>
        <v>5000</v>
      </c>
      <c r="F161" s="58">
        <f t="shared" si="66"/>
        <v>5000</v>
      </c>
      <c r="G161" s="58">
        <f t="shared" si="66"/>
        <v>0</v>
      </c>
      <c r="H161" s="58">
        <f t="shared" si="66"/>
        <v>5000</v>
      </c>
      <c r="I161" s="58">
        <f t="shared" si="66"/>
        <v>0</v>
      </c>
      <c r="J161" s="58">
        <f t="shared" si="66"/>
        <v>0</v>
      </c>
      <c r="K161" s="58">
        <f t="shared" si="66"/>
        <v>0</v>
      </c>
      <c r="L161" s="58">
        <f t="shared" si="66"/>
        <v>0</v>
      </c>
      <c r="M161" s="58">
        <f t="shared" si="66"/>
        <v>0</v>
      </c>
      <c r="N161" s="58">
        <f t="shared" si="66"/>
        <v>0</v>
      </c>
      <c r="O161" s="58">
        <f t="shared" si="66"/>
        <v>0</v>
      </c>
      <c r="P161" s="58">
        <f t="shared" si="66"/>
        <v>0</v>
      </c>
      <c r="Q161" s="47"/>
    </row>
    <row r="162" spans="1:17" s="65" customFormat="1" ht="12.75" hidden="1">
      <c r="A162" s="803" t="s">
        <v>59</v>
      </c>
      <c r="B162" s="795" t="s">
        <v>60</v>
      </c>
      <c r="C162" s="38" t="s">
        <v>13</v>
      </c>
      <c r="D162" s="59">
        <f>E162+M162</f>
        <v>5000</v>
      </c>
      <c r="E162" s="60">
        <f>F162+I162+J162+K162+L162</f>
        <v>5000</v>
      </c>
      <c r="F162" s="60">
        <f>G162+H162</f>
        <v>5000</v>
      </c>
      <c r="G162" s="60">
        <v>0</v>
      </c>
      <c r="H162" s="60">
        <v>5000</v>
      </c>
      <c r="I162" s="60">
        <v>0</v>
      </c>
      <c r="J162" s="60">
        <v>0</v>
      </c>
      <c r="K162" s="60">
        <v>0</v>
      </c>
      <c r="L162" s="60">
        <v>0</v>
      </c>
      <c r="M162" s="60">
        <f>N162+P162</f>
        <v>0</v>
      </c>
      <c r="N162" s="60">
        <v>0</v>
      </c>
      <c r="O162" s="60">
        <v>0</v>
      </c>
      <c r="P162" s="60">
        <v>0</v>
      </c>
      <c r="Q162" s="64"/>
    </row>
    <row r="163" spans="1:17" s="65" customFormat="1" ht="12.75" hidden="1">
      <c r="A163" s="803"/>
      <c r="B163" s="795"/>
      <c r="C163" s="38" t="s">
        <v>14</v>
      </c>
      <c r="D163" s="59">
        <f>E163+M163</f>
        <v>0</v>
      </c>
      <c r="E163" s="60">
        <f>F163+I163+J163+K163+L163</f>
        <v>0</v>
      </c>
      <c r="F163" s="60">
        <f>G163+H163</f>
        <v>0</v>
      </c>
      <c r="G163" s="60"/>
      <c r="H163" s="60"/>
      <c r="I163" s="60"/>
      <c r="J163" s="60"/>
      <c r="K163" s="60"/>
      <c r="L163" s="60"/>
      <c r="M163" s="60">
        <f>N163+P163</f>
        <v>0</v>
      </c>
      <c r="N163" s="60"/>
      <c r="O163" s="60"/>
      <c r="P163" s="60"/>
      <c r="Q163" s="64"/>
    </row>
    <row r="164" spans="1:17" s="65" customFormat="1" ht="12.75" hidden="1">
      <c r="A164" s="803"/>
      <c r="B164" s="795"/>
      <c r="C164" s="38" t="s">
        <v>15</v>
      </c>
      <c r="D164" s="59">
        <f>D162+D163</f>
        <v>5000</v>
      </c>
      <c r="E164" s="60">
        <f aca="true" t="shared" si="67" ref="E164:P164">E162+E163</f>
        <v>5000</v>
      </c>
      <c r="F164" s="60">
        <f t="shared" si="67"/>
        <v>5000</v>
      </c>
      <c r="G164" s="60">
        <f t="shared" si="67"/>
        <v>0</v>
      </c>
      <c r="H164" s="60">
        <f t="shared" si="67"/>
        <v>5000</v>
      </c>
      <c r="I164" s="60">
        <f t="shared" si="67"/>
        <v>0</v>
      </c>
      <c r="J164" s="60">
        <f t="shared" si="67"/>
        <v>0</v>
      </c>
      <c r="K164" s="60">
        <f t="shared" si="67"/>
        <v>0</v>
      </c>
      <c r="L164" s="60">
        <f t="shared" si="67"/>
        <v>0</v>
      </c>
      <c r="M164" s="60">
        <f t="shared" si="67"/>
        <v>0</v>
      </c>
      <c r="N164" s="60">
        <f t="shared" si="67"/>
        <v>0</v>
      </c>
      <c r="O164" s="60">
        <f t="shared" si="67"/>
        <v>0</v>
      </c>
      <c r="P164" s="60">
        <f t="shared" si="67"/>
        <v>0</v>
      </c>
      <c r="Q164" s="64"/>
    </row>
    <row r="165" spans="1:17" s="40" customFormat="1" ht="14.25" hidden="1">
      <c r="A165" s="802" t="s">
        <v>140</v>
      </c>
      <c r="B165" s="801" t="s">
        <v>141</v>
      </c>
      <c r="C165" s="37" t="s">
        <v>13</v>
      </c>
      <c r="D165" s="57">
        <f aca="true" t="shared" si="68" ref="D165:P166">D168</f>
        <v>160000</v>
      </c>
      <c r="E165" s="58">
        <f t="shared" si="68"/>
        <v>160000</v>
      </c>
      <c r="F165" s="58">
        <f t="shared" si="68"/>
        <v>160000</v>
      </c>
      <c r="G165" s="58">
        <f t="shared" si="68"/>
        <v>0</v>
      </c>
      <c r="H165" s="58">
        <f t="shared" si="68"/>
        <v>160000</v>
      </c>
      <c r="I165" s="58">
        <f t="shared" si="68"/>
        <v>0</v>
      </c>
      <c r="J165" s="58">
        <f t="shared" si="68"/>
        <v>0</v>
      </c>
      <c r="K165" s="58">
        <f t="shared" si="68"/>
        <v>0</v>
      </c>
      <c r="L165" s="58">
        <f t="shared" si="68"/>
        <v>0</v>
      </c>
      <c r="M165" s="58">
        <f t="shared" si="68"/>
        <v>0</v>
      </c>
      <c r="N165" s="58">
        <f t="shared" si="68"/>
        <v>0</v>
      </c>
      <c r="O165" s="58">
        <f>O168</f>
        <v>0</v>
      </c>
      <c r="P165" s="58">
        <f t="shared" si="68"/>
        <v>0</v>
      </c>
      <c r="Q165" s="47"/>
    </row>
    <row r="166" spans="1:17" s="40" customFormat="1" ht="14.25" hidden="1">
      <c r="A166" s="802"/>
      <c r="B166" s="801"/>
      <c r="C166" s="37" t="s">
        <v>14</v>
      </c>
      <c r="D166" s="57">
        <f t="shared" si="68"/>
        <v>0</v>
      </c>
      <c r="E166" s="58">
        <f t="shared" si="68"/>
        <v>0</v>
      </c>
      <c r="F166" s="58">
        <f t="shared" si="68"/>
        <v>0</v>
      </c>
      <c r="G166" s="58">
        <f t="shared" si="68"/>
        <v>0</v>
      </c>
      <c r="H166" s="58">
        <f t="shared" si="68"/>
        <v>0</v>
      </c>
      <c r="I166" s="58">
        <f t="shared" si="68"/>
        <v>0</v>
      </c>
      <c r="J166" s="58">
        <f t="shared" si="68"/>
        <v>0</v>
      </c>
      <c r="K166" s="58">
        <f t="shared" si="68"/>
        <v>0</v>
      </c>
      <c r="L166" s="58">
        <f t="shared" si="68"/>
        <v>0</v>
      </c>
      <c r="M166" s="58">
        <f t="shared" si="68"/>
        <v>0</v>
      </c>
      <c r="N166" s="58">
        <f t="shared" si="68"/>
        <v>0</v>
      </c>
      <c r="O166" s="58">
        <f>O169</f>
        <v>0</v>
      </c>
      <c r="P166" s="58">
        <f t="shared" si="68"/>
        <v>0</v>
      </c>
      <c r="Q166" s="47"/>
    </row>
    <row r="167" spans="1:17" s="40" customFormat="1" ht="14.25" hidden="1">
      <c r="A167" s="802"/>
      <c r="B167" s="801"/>
      <c r="C167" s="37" t="s">
        <v>15</v>
      </c>
      <c r="D167" s="70">
        <f>D165+D166</f>
        <v>160000</v>
      </c>
      <c r="E167" s="58">
        <f aca="true" t="shared" si="69" ref="E167:P167">E165+E166</f>
        <v>160000</v>
      </c>
      <c r="F167" s="58">
        <f t="shared" si="69"/>
        <v>160000</v>
      </c>
      <c r="G167" s="58">
        <f t="shared" si="69"/>
        <v>0</v>
      </c>
      <c r="H167" s="58">
        <f t="shared" si="69"/>
        <v>160000</v>
      </c>
      <c r="I167" s="58">
        <f t="shared" si="69"/>
        <v>0</v>
      </c>
      <c r="J167" s="58">
        <f t="shared" si="69"/>
        <v>0</v>
      </c>
      <c r="K167" s="58">
        <f t="shared" si="69"/>
        <v>0</v>
      </c>
      <c r="L167" s="58">
        <f t="shared" si="69"/>
        <v>0</v>
      </c>
      <c r="M167" s="58">
        <f t="shared" si="69"/>
        <v>0</v>
      </c>
      <c r="N167" s="58">
        <f t="shared" si="69"/>
        <v>0</v>
      </c>
      <c r="O167" s="58">
        <f t="shared" si="69"/>
        <v>0</v>
      </c>
      <c r="P167" s="58">
        <f t="shared" si="69"/>
        <v>0</v>
      </c>
      <c r="Q167" s="47"/>
    </row>
    <row r="168" spans="1:17" s="65" customFormat="1" ht="12.75" hidden="1">
      <c r="A168" s="803" t="s">
        <v>142</v>
      </c>
      <c r="B168" s="795" t="s">
        <v>52</v>
      </c>
      <c r="C168" s="38" t="s">
        <v>13</v>
      </c>
      <c r="D168" s="59">
        <f>E168+M168</f>
        <v>160000</v>
      </c>
      <c r="E168" s="60">
        <f>F168+I168+J168+K168+L168</f>
        <v>160000</v>
      </c>
      <c r="F168" s="60">
        <f>G168+H168</f>
        <v>160000</v>
      </c>
      <c r="G168" s="60">
        <v>0</v>
      </c>
      <c r="H168" s="60">
        <v>160000</v>
      </c>
      <c r="I168" s="60">
        <v>0</v>
      </c>
      <c r="J168" s="60">
        <v>0</v>
      </c>
      <c r="K168" s="60">
        <v>0</v>
      </c>
      <c r="L168" s="60">
        <v>0</v>
      </c>
      <c r="M168" s="60">
        <f>N168+P168</f>
        <v>0</v>
      </c>
      <c r="N168" s="60">
        <v>0</v>
      </c>
      <c r="O168" s="60">
        <v>0</v>
      </c>
      <c r="P168" s="60">
        <v>0</v>
      </c>
      <c r="Q168" s="64"/>
    </row>
    <row r="169" spans="1:17" s="65" customFormat="1" ht="12.75" hidden="1">
      <c r="A169" s="803"/>
      <c r="B169" s="795"/>
      <c r="C169" s="38" t="s">
        <v>14</v>
      </c>
      <c r="D169" s="59">
        <f>E169+M169</f>
        <v>0</v>
      </c>
      <c r="E169" s="60">
        <f>F169+I169+J169+K169+L169</f>
        <v>0</v>
      </c>
      <c r="F169" s="60">
        <f>G169+H169</f>
        <v>0</v>
      </c>
      <c r="G169" s="60"/>
      <c r="H169" s="60"/>
      <c r="I169" s="60"/>
      <c r="J169" s="60"/>
      <c r="K169" s="60"/>
      <c r="L169" s="60"/>
      <c r="M169" s="60">
        <f>N169+P169</f>
        <v>0</v>
      </c>
      <c r="N169" s="60"/>
      <c r="O169" s="60"/>
      <c r="P169" s="60"/>
      <c r="Q169" s="64"/>
    </row>
    <row r="170" spans="1:17" s="65" customFormat="1" ht="12.75" hidden="1">
      <c r="A170" s="803"/>
      <c r="B170" s="795"/>
      <c r="C170" s="38" t="s">
        <v>15</v>
      </c>
      <c r="D170" s="59">
        <f>D168+D169</f>
        <v>160000</v>
      </c>
      <c r="E170" s="60">
        <f aca="true" t="shared" si="70" ref="E170:P170">E168+E169</f>
        <v>160000</v>
      </c>
      <c r="F170" s="60">
        <f t="shared" si="70"/>
        <v>160000</v>
      </c>
      <c r="G170" s="60">
        <f t="shared" si="70"/>
        <v>0</v>
      </c>
      <c r="H170" s="60">
        <f t="shared" si="70"/>
        <v>160000</v>
      </c>
      <c r="I170" s="60">
        <f t="shared" si="70"/>
        <v>0</v>
      </c>
      <c r="J170" s="60">
        <f t="shared" si="70"/>
        <v>0</v>
      </c>
      <c r="K170" s="60">
        <f t="shared" si="70"/>
        <v>0</v>
      </c>
      <c r="L170" s="60">
        <f t="shared" si="70"/>
        <v>0</v>
      </c>
      <c r="M170" s="60">
        <f t="shared" si="70"/>
        <v>0</v>
      </c>
      <c r="N170" s="60">
        <f t="shared" si="70"/>
        <v>0</v>
      </c>
      <c r="O170" s="60">
        <f t="shared" si="70"/>
        <v>0</v>
      </c>
      <c r="P170" s="60">
        <f t="shared" si="70"/>
        <v>0</v>
      </c>
      <c r="Q170" s="64"/>
    </row>
    <row r="171" spans="1:17" s="40" customFormat="1" ht="14.25">
      <c r="A171" s="802" t="s">
        <v>143</v>
      </c>
      <c r="B171" s="801" t="s">
        <v>144</v>
      </c>
      <c r="C171" s="37" t="s">
        <v>13</v>
      </c>
      <c r="D171" s="57">
        <f aca="true" t="shared" si="71" ref="D171:P172">D174+D177</f>
        <v>41521051</v>
      </c>
      <c r="E171" s="58">
        <f t="shared" si="71"/>
        <v>41521051</v>
      </c>
      <c r="F171" s="58">
        <f t="shared" si="71"/>
        <v>0</v>
      </c>
      <c r="G171" s="58">
        <f t="shared" si="71"/>
        <v>0</v>
      </c>
      <c r="H171" s="58">
        <f t="shared" si="71"/>
        <v>0</v>
      </c>
      <c r="I171" s="58">
        <f t="shared" si="71"/>
        <v>0</v>
      </c>
      <c r="J171" s="58">
        <f t="shared" si="71"/>
        <v>0</v>
      </c>
      <c r="K171" s="58">
        <f t="shared" si="71"/>
        <v>0</v>
      </c>
      <c r="L171" s="58">
        <f t="shared" si="71"/>
        <v>41521051</v>
      </c>
      <c r="M171" s="58">
        <f t="shared" si="71"/>
        <v>0</v>
      </c>
      <c r="N171" s="58">
        <f t="shared" si="71"/>
        <v>0</v>
      </c>
      <c r="O171" s="58">
        <f t="shared" si="71"/>
        <v>0</v>
      </c>
      <c r="P171" s="58">
        <f t="shared" si="71"/>
        <v>0</v>
      </c>
      <c r="Q171" s="47"/>
    </row>
    <row r="172" spans="1:17" s="40" customFormat="1" ht="14.25">
      <c r="A172" s="802"/>
      <c r="B172" s="801"/>
      <c r="C172" s="37" t="s">
        <v>14</v>
      </c>
      <c r="D172" s="57">
        <f t="shared" si="71"/>
        <v>-4323830</v>
      </c>
      <c r="E172" s="58">
        <f t="shared" si="71"/>
        <v>-4323830</v>
      </c>
      <c r="F172" s="58">
        <f t="shared" si="71"/>
        <v>0</v>
      </c>
      <c r="G172" s="58">
        <f t="shared" si="71"/>
        <v>0</v>
      </c>
      <c r="H172" s="58">
        <f t="shared" si="71"/>
        <v>0</v>
      </c>
      <c r="I172" s="58">
        <f t="shared" si="71"/>
        <v>0</v>
      </c>
      <c r="J172" s="58">
        <f t="shared" si="71"/>
        <v>0</v>
      </c>
      <c r="K172" s="58">
        <f t="shared" si="71"/>
        <v>0</v>
      </c>
      <c r="L172" s="58">
        <f t="shared" si="71"/>
        <v>-4323830</v>
      </c>
      <c r="M172" s="58">
        <f t="shared" si="71"/>
        <v>0</v>
      </c>
      <c r="N172" s="58">
        <f t="shared" si="71"/>
        <v>0</v>
      </c>
      <c r="O172" s="58">
        <f t="shared" si="71"/>
        <v>0</v>
      </c>
      <c r="P172" s="58">
        <f t="shared" si="71"/>
        <v>0</v>
      </c>
      <c r="Q172" s="47"/>
    </row>
    <row r="173" spans="1:17" s="40" customFormat="1" ht="14.25">
      <c r="A173" s="802"/>
      <c r="B173" s="801"/>
      <c r="C173" s="37" t="s">
        <v>15</v>
      </c>
      <c r="D173" s="70">
        <f>D171+D172</f>
        <v>37197221</v>
      </c>
      <c r="E173" s="58">
        <f aca="true" t="shared" si="72" ref="E173:P173">E171+E172</f>
        <v>37197221</v>
      </c>
      <c r="F173" s="58">
        <f t="shared" si="72"/>
        <v>0</v>
      </c>
      <c r="G173" s="58">
        <f t="shared" si="72"/>
        <v>0</v>
      </c>
      <c r="H173" s="58">
        <f t="shared" si="72"/>
        <v>0</v>
      </c>
      <c r="I173" s="58">
        <f t="shared" si="72"/>
        <v>0</v>
      </c>
      <c r="J173" s="58">
        <f t="shared" si="72"/>
        <v>0</v>
      </c>
      <c r="K173" s="58">
        <f t="shared" si="72"/>
        <v>0</v>
      </c>
      <c r="L173" s="58">
        <f t="shared" si="72"/>
        <v>37197221</v>
      </c>
      <c r="M173" s="58">
        <f t="shared" si="72"/>
        <v>0</v>
      </c>
      <c r="N173" s="58">
        <f t="shared" si="72"/>
        <v>0</v>
      </c>
      <c r="O173" s="58">
        <f t="shared" si="72"/>
        <v>0</v>
      </c>
      <c r="P173" s="58">
        <f t="shared" si="72"/>
        <v>0</v>
      </c>
      <c r="Q173" s="47"/>
    </row>
    <row r="174" spans="1:17" s="35" customFormat="1" ht="12.75" hidden="1">
      <c r="A174" s="803" t="s">
        <v>145</v>
      </c>
      <c r="B174" s="795" t="s">
        <v>146</v>
      </c>
      <c r="C174" s="38" t="s">
        <v>13</v>
      </c>
      <c r="D174" s="59">
        <f>E174+M174</f>
        <v>7438376</v>
      </c>
      <c r="E174" s="60">
        <f>F174+I174+J174+K174+L174</f>
        <v>7438376</v>
      </c>
      <c r="F174" s="60">
        <f>G174+H174</f>
        <v>0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0">
        <v>7438376</v>
      </c>
      <c r="M174" s="60">
        <f>N174+P174</f>
        <v>0</v>
      </c>
      <c r="N174" s="60">
        <v>0</v>
      </c>
      <c r="O174" s="60">
        <v>0</v>
      </c>
      <c r="P174" s="60">
        <v>0</v>
      </c>
      <c r="Q174" s="45"/>
    </row>
    <row r="175" spans="1:17" s="35" customFormat="1" ht="12.75" hidden="1">
      <c r="A175" s="803"/>
      <c r="B175" s="795"/>
      <c r="C175" s="38" t="s">
        <v>14</v>
      </c>
      <c r="D175" s="59">
        <f>E175+M175</f>
        <v>0</v>
      </c>
      <c r="E175" s="60">
        <f>F175+I175+J175+K175+L175</f>
        <v>0</v>
      </c>
      <c r="F175" s="60">
        <f>G175+H175</f>
        <v>0</v>
      </c>
      <c r="G175" s="60"/>
      <c r="H175" s="60"/>
      <c r="I175" s="60"/>
      <c r="J175" s="60"/>
      <c r="K175" s="60"/>
      <c r="L175" s="60"/>
      <c r="M175" s="60">
        <f>N175+P175</f>
        <v>0</v>
      </c>
      <c r="N175" s="60"/>
      <c r="O175" s="60"/>
      <c r="P175" s="60"/>
      <c r="Q175" s="45"/>
    </row>
    <row r="176" spans="1:17" s="35" customFormat="1" ht="12.75" hidden="1">
      <c r="A176" s="803"/>
      <c r="B176" s="795"/>
      <c r="C176" s="38" t="s">
        <v>15</v>
      </c>
      <c r="D176" s="59">
        <f>D174+D175</f>
        <v>7438376</v>
      </c>
      <c r="E176" s="60">
        <f aca="true" t="shared" si="73" ref="E176:P176">E174+E175</f>
        <v>7438376</v>
      </c>
      <c r="F176" s="60">
        <f t="shared" si="73"/>
        <v>0</v>
      </c>
      <c r="G176" s="60">
        <f t="shared" si="73"/>
        <v>0</v>
      </c>
      <c r="H176" s="60">
        <f t="shared" si="73"/>
        <v>0</v>
      </c>
      <c r="I176" s="60">
        <f t="shared" si="73"/>
        <v>0</v>
      </c>
      <c r="J176" s="60">
        <f t="shared" si="73"/>
        <v>0</v>
      </c>
      <c r="K176" s="60">
        <f t="shared" si="73"/>
        <v>0</v>
      </c>
      <c r="L176" s="60">
        <f t="shared" si="73"/>
        <v>7438376</v>
      </c>
      <c r="M176" s="60">
        <f t="shared" si="73"/>
        <v>0</v>
      </c>
      <c r="N176" s="60">
        <f t="shared" si="73"/>
        <v>0</v>
      </c>
      <c r="O176" s="60">
        <f t="shared" si="73"/>
        <v>0</v>
      </c>
      <c r="P176" s="60">
        <f t="shared" si="73"/>
        <v>0</v>
      </c>
      <c r="Q176" s="45"/>
    </row>
    <row r="177" spans="1:17" s="35" customFormat="1" ht="14.25" customHeight="1">
      <c r="A177" s="803" t="s">
        <v>147</v>
      </c>
      <c r="B177" s="795" t="s">
        <v>148</v>
      </c>
      <c r="C177" s="38" t="s">
        <v>13</v>
      </c>
      <c r="D177" s="59">
        <f>E177+M177</f>
        <v>34082675</v>
      </c>
      <c r="E177" s="60">
        <f>F177+I177+J177+K177+L177</f>
        <v>34082675</v>
      </c>
      <c r="F177" s="60">
        <f>G177+H177</f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60">
        <v>34082675</v>
      </c>
      <c r="M177" s="60">
        <f>N177+P177</f>
        <v>0</v>
      </c>
      <c r="N177" s="60">
        <v>0</v>
      </c>
      <c r="O177" s="60">
        <v>0</v>
      </c>
      <c r="P177" s="60">
        <v>0</v>
      </c>
      <c r="Q177" s="45"/>
    </row>
    <row r="178" spans="1:17" s="35" customFormat="1" ht="14.25" customHeight="1">
      <c r="A178" s="803"/>
      <c r="B178" s="795"/>
      <c r="C178" s="38" t="s">
        <v>14</v>
      </c>
      <c r="D178" s="59">
        <f>E178+M178</f>
        <v>-4323830</v>
      </c>
      <c r="E178" s="60">
        <f>F178+I178+J178+K178+L178</f>
        <v>-4323830</v>
      </c>
      <c r="F178" s="60">
        <f>G178+H178</f>
        <v>0</v>
      </c>
      <c r="G178" s="60"/>
      <c r="H178" s="60"/>
      <c r="I178" s="60"/>
      <c r="J178" s="60"/>
      <c r="K178" s="60"/>
      <c r="L178" s="60">
        <v>-4323830</v>
      </c>
      <c r="M178" s="60">
        <f>N178+P178</f>
        <v>0</v>
      </c>
      <c r="N178" s="60"/>
      <c r="O178" s="60"/>
      <c r="P178" s="60"/>
      <c r="Q178" s="45"/>
    </row>
    <row r="179" spans="1:17" s="35" customFormat="1" ht="14.25" customHeight="1">
      <c r="A179" s="803"/>
      <c r="B179" s="795"/>
      <c r="C179" s="38" t="s">
        <v>15</v>
      </c>
      <c r="D179" s="59">
        <f>D177+D178</f>
        <v>29758845</v>
      </c>
      <c r="E179" s="60">
        <f aca="true" t="shared" si="74" ref="E179:P179">E177+E178</f>
        <v>29758845</v>
      </c>
      <c r="F179" s="60">
        <f t="shared" si="74"/>
        <v>0</v>
      </c>
      <c r="G179" s="60">
        <f t="shared" si="74"/>
        <v>0</v>
      </c>
      <c r="H179" s="60">
        <f t="shared" si="74"/>
        <v>0</v>
      </c>
      <c r="I179" s="60">
        <f t="shared" si="74"/>
        <v>0</v>
      </c>
      <c r="J179" s="60">
        <f t="shared" si="74"/>
        <v>0</v>
      </c>
      <c r="K179" s="60">
        <f t="shared" si="74"/>
        <v>0</v>
      </c>
      <c r="L179" s="60">
        <f t="shared" si="74"/>
        <v>29758845</v>
      </c>
      <c r="M179" s="60">
        <f t="shared" si="74"/>
        <v>0</v>
      </c>
      <c r="N179" s="60">
        <f t="shared" si="74"/>
        <v>0</v>
      </c>
      <c r="O179" s="60">
        <f t="shared" si="74"/>
        <v>0</v>
      </c>
      <c r="P179" s="60">
        <f t="shared" si="74"/>
        <v>0</v>
      </c>
      <c r="Q179" s="45"/>
    </row>
    <row r="180" spans="1:17" s="40" customFormat="1" ht="17.25" customHeight="1">
      <c r="A180" s="802" t="s">
        <v>149</v>
      </c>
      <c r="B180" s="801" t="s">
        <v>150</v>
      </c>
      <c r="C180" s="37" t="s">
        <v>13</v>
      </c>
      <c r="D180" s="57">
        <f>D186+D183</f>
        <v>13538944</v>
      </c>
      <c r="E180" s="58">
        <f aca="true" t="shared" si="75" ref="E180:P180">E186+E183</f>
        <v>7189497</v>
      </c>
      <c r="F180" s="58">
        <f t="shared" si="75"/>
        <v>7189497</v>
      </c>
      <c r="G180" s="58">
        <f t="shared" si="75"/>
        <v>0</v>
      </c>
      <c r="H180" s="58">
        <f t="shared" si="75"/>
        <v>7189497</v>
      </c>
      <c r="I180" s="58">
        <f t="shared" si="75"/>
        <v>0</v>
      </c>
      <c r="J180" s="58">
        <f t="shared" si="75"/>
        <v>0</v>
      </c>
      <c r="K180" s="58">
        <f t="shared" si="75"/>
        <v>0</v>
      </c>
      <c r="L180" s="58">
        <f t="shared" si="75"/>
        <v>0</v>
      </c>
      <c r="M180" s="58">
        <f t="shared" si="75"/>
        <v>6349447</v>
      </c>
      <c r="N180" s="58">
        <f t="shared" si="75"/>
        <v>6349447</v>
      </c>
      <c r="O180" s="58">
        <f t="shared" si="75"/>
        <v>0</v>
      </c>
      <c r="P180" s="58">
        <f t="shared" si="75"/>
        <v>0</v>
      </c>
      <c r="Q180" s="47"/>
    </row>
    <row r="181" spans="1:17" s="40" customFormat="1" ht="17.25" customHeight="1">
      <c r="A181" s="802"/>
      <c r="B181" s="801"/>
      <c r="C181" s="37" t="s">
        <v>14</v>
      </c>
      <c r="D181" s="57">
        <f>D187+D184</f>
        <v>-4301948</v>
      </c>
      <c r="E181" s="58">
        <f aca="true" t="shared" si="76" ref="E181:P181">E187+E184</f>
        <v>798052</v>
      </c>
      <c r="F181" s="58">
        <f t="shared" si="76"/>
        <v>0</v>
      </c>
      <c r="G181" s="58">
        <f t="shared" si="76"/>
        <v>0</v>
      </c>
      <c r="H181" s="58">
        <f t="shared" si="76"/>
        <v>0</v>
      </c>
      <c r="I181" s="58">
        <f t="shared" si="76"/>
        <v>798052</v>
      </c>
      <c r="J181" s="58">
        <f t="shared" si="76"/>
        <v>0</v>
      </c>
      <c r="K181" s="58">
        <f t="shared" si="76"/>
        <v>0</v>
      </c>
      <c r="L181" s="58">
        <f t="shared" si="76"/>
        <v>0</v>
      </c>
      <c r="M181" s="58">
        <f t="shared" si="76"/>
        <v>-5100000</v>
      </c>
      <c r="N181" s="58">
        <f t="shared" si="76"/>
        <v>-5100000</v>
      </c>
      <c r="O181" s="58">
        <f t="shared" si="76"/>
        <v>0</v>
      </c>
      <c r="P181" s="58">
        <f t="shared" si="76"/>
        <v>0</v>
      </c>
      <c r="Q181" s="47"/>
    </row>
    <row r="182" spans="1:17" s="40" customFormat="1" ht="17.25" customHeight="1">
      <c r="A182" s="802"/>
      <c r="B182" s="801"/>
      <c r="C182" s="37" t="s">
        <v>15</v>
      </c>
      <c r="D182" s="70">
        <f>D180+D181</f>
        <v>9236996</v>
      </c>
      <c r="E182" s="58">
        <f aca="true" t="shared" si="77" ref="E182:P182">E180+E181</f>
        <v>7987549</v>
      </c>
      <c r="F182" s="58">
        <f t="shared" si="77"/>
        <v>7189497</v>
      </c>
      <c r="G182" s="58">
        <f t="shared" si="77"/>
        <v>0</v>
      </c>
      <c r="H182" s="58">
        <f t="shared" si="77"/>
        <v>7189497</v>
      </c>
      <c r="I182" s="58">
        <f t="shared" si="77"/>
        <v>798052</v>
      </c>
      <c r="J182" s="58">
        <f t="shared" si="77"/>
        <v>0</v>
      </c>
      <c r="K182" s="58">
        <f t="shared" si="77"/>
        <v>0</v>
      </c>
      <c r="L182" s="58">
        <f t="shared" si="77"/>
        <v>0</v>
      </c>
      <c r="M182" s="58">
        <f t="shared" si="77"/>
        <v>1249447</v>
      </c>
      <c r="N182" s="58">
        <f t="shared" si="77"/>
        <v>1249447</v>
      </c>
      <c r="O182" s="58">
        <f t="shared" si="77"/>
        <v>0</v>
      </c>
      <c r="P182" s="58">
        <f t="shared" si="77"/>
        <v>0</v>
      </c>
      <c r="Q182" s="47"/>
    </row>
    <row r="183" spans="1:17" s="65" customFormat="1" ht="12.75">
      <c r="A183" s="803" t="s">
        <v>360</v>
      </c>
      <c r="B183" s="795" t="s">
        <v>361</v>
      </c>
      <c r="C183" s="38" t="s">
        <v>13</v>
      </c>
      <c r="D183" s="59">
        <f>E183+M183</f>
        <v>0</v>
      </c>
      <c r="E183" s="60">
        <f>F183+I183+J183+K183+L183</f>
        <v>0</v>
      </c>
      <c r="F183" s="60">
        <f>G183+H183</f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f>N183+P183</f>
        <v>0</v>
      </c>
      <c r="N183" s="60">
        <v>0</v>
      </c>
      <c r="O183" s="60">
        <v>0</v>
      </c>
      <c r="P183" s="60">
        <v>0</v>
      </c>
      <c r="Q183" s="64"/>
    </row>
    <row r="184" spans="1:17" s="65" customFormat="1" ht="12.75">
      <c r="A184" s="803"/>
      <c r="B184" s="795"/>
      <c r="C184" s="38" t="s">
        <v>14</v>
      </c>
      <c r="D184" s="59">
        <f>E184+M184</f>
        <v>798052</v>
      </c>
      <c r="E184" s="60">
        <f>F184+I184+J184+K184+L184</f>
        <v>798052</v>
      </c>
      <c r="F184" s="60">
        <f>G184+H184</f>
        <v>0</v>
      </c>
      <c r="G184" s="60"/>
      <c r="H184" s="60"/>
      <c r="I184" s="60">
        <v>798052</v>
      </c>
      <c r="J184" s="60"/>
      <c r="K184" s="60"/>
      <c r="L184" s="60"/>
      <c r="M184" s="60">
        <f>N184+P184</f>
        <v>0</v>
      </c>
      <c r="N184" s="60"/>
      <c r="O184" s="60"/>
      <c r="P184" s="60"/>
      <c r="Q184" s="64"/>
    </row>
    <row r="185" spans="1:17" s="65" customFormat="1" ht="12.75">
      <c r="A185" s="803"/>
      <c r="B185" s="795"/>
      <c r="C185" s="38" t="s">
        <v>15</v>
      </c>
      <c r="D185" s="59">
        <f>D183+D184</f>
        <v>798052</v>
      </c>
      <c r="E185" s="60">
        <f aca="true" t="shared" si="78" ref="E185:P185">E183+E184</f>
        <v>798052</v>
      </c>
      <c r="F185" s="60">
        <f t="shared" si="78"/>
        <v>0</v>
      </c>
      <c r="G185" s="60">
        <f t="shared" si="78"/>
        <v>0</v>
      </c>
      <c r="H185" s="60">
        <f t="shared" si="78"/>
        <v>0</v>
      </c>
      <c r="I185" s="60">
        <f t="shared" si="78"/>
        <v>798052</v>
      </c>
      <c r="J185" s="60">
        <f t="shared" si="78"/>
        <v>0</v>
      </c>
      <c r="K185" s="60">
        <f t="shared" si="78"/>
        <v>0</v>
      </c>
      <c r="L185" s="60">
        <f t="shared" si="78"/>
        <v>0</v>
      </c>
      <c r="M185" s="60">
        <f t="shared" si="78"/>
        <v>0</v>
      </c>
      <c r="N185" s="60">
        <f t="shared" si="78"/>
        <v>0</v>
      </c>
      <c r="O185" s="60">
        <f t="shared" si="78"/>
        <v>0</v>
      </c>
      <c r="P185" s="60">
        <f t="shared" si="78"/>
        <v>0</v>
      </c>
      <c r="Q185" s="64"/>
    </row>
    <row r="186" spans="1:17" s="65" customFormat="1" ht="12.75">
      <c r="A186" s="803" t="s">
        <v>151</v>
      </c>
      <c r="B186" s="795" t="s">
        <v>152</v>
      </c>
      <c r="C186" s="38" t="s">
        <v>13</v>
      </c>
      <c r="D186" s="59">
        <f>E186+M186</f>
        <v>13538944</v>
      </c>
      <c r="E186" s="60">
        <f>F186+I186+J186+K186+L186</f>
        <v>7189497</v>
      </c>
      <c r="F186" s="60">
        <f>G186+H186</f>
        <v>7189497</v>
      </c>
      <c r="G186" s="60">
        <v>0</v>
      </c>
      <c r="H186" s="60">
        <v>7189497</v>
      </c>
      <c r="I186" s="60">
        <v>0</v>
      </c>
      <c r="J186" s="60">
        <v>0</v>
      </c>
      <c r="K186" s="60">
        <v>0</v>
      </c>
      <c r="L186" s="60">
        <v>0</v>
      </c>
      <c r="M186" s="60">
        <f>N186+P186</f>
        <v>6349447</v>
      </c>
      <c r="N186" s="60">
        <v>6349447</v>
      </c>
      <c r="O186" s="60">
        <v>0</v>
      </c>
      <c r="P186" s="60">
        <v>0</v>
      </c>
      <c r="Q186" s="64"/>
    </row>
    <row r="187" spans="1:17" s="65" customFormat="1" ht="12.75">
      <c r="A187" s="803"/>
      <c r="B187" s="795"/>
      <c r="C187" s="38" t="s">
        <v>14</v>
      </c>
      <c r="D187" s="59">
        <f>E187+M187</f>
        <v>-5100000</v>
      </c>
      <c r="E187" s="60">
        <f>F187+I187+J187+K187+L187</f>
        <v>0</v>
      </c>
      <c r="F187" s="60">
        <f>G187+H187</f>
        <v>0</v>
      </c>
      <c r="G187" s="60"/>
      <c r="H187" s="60"/>
      <c r="I187" s="60"/>
      <c r="J187" s="60"/>
      <c r="K187" s="60"/>
      <c r="L187" s="60"/>
      <c r="M187" s="60">
        <f>N187+P187</f>
        <v>-5100000</v>
      </c>
      <c r="N187" s="60">
        <v>-5100000</v>
      </c>
      <c r="O187" s="60"/>
      <c r="P187" s="60"/>
      <c r="Q187" s="64"/>
    </row>
    <row r="188" spans="1:17" s="65" customFormat="1" ht="12.75">
      <c r="A188" s="803"/>
      <c r="B188" s="795"/>
      <c r="C188" s="38" t="s">
        <v>15</v>
      </c>
      <c r="D188" s="59">
        <f>D186+D187</f>
        <v>8438944</v>
      </c>
      <c r="E188" s="60">
        <f aca="true" t="shared" si="79" ref="E188:P188">E186+E187</f>
        <v>7189497</v>
      </c>
      <c r="F188" s="60">
        <f t="shared" si="79"/>
        <v>7189497</v>
      </c>
      <c r="G188" s="60">
        <f t="shared" si="79"/>
        <v>0</v>
      </c>
      <c r="H188" s="60">
        <f t="shared" si="79"/>
        <v>7189497</v>
      </c>
      <c r="I188" s="60">
        <f t="shared" si="79"/>
        <v>0</v>
      </c>
      <c r="J188" s="60">
        <f t="shared" si="79"/>
        <v>0</v>
      </c>
      <c r="K188" s="60">
        <f t="shared" si="79"/>
        <v>0</v>
      </c>
      <c r="L188" s="60">
        <f t="shared" si="79"/>
        <v>0</v>
      </c>
      <c r="M188" s="60">
        <f t="shared" si="79"/>
        <v>1249447</v>
      </c>
      <c r="N188" s="60">
        <f t="shared" si="79"/>
        <v>1249447</v>
      </c>
      <c r="O188" s="60">
        <f t="shared" si="79"/>
        <v>0</v>
      </c>
      <c r="P188" s="60">
        <f t="shared" si="79"/>
        <v>0</v>
      </c>
      <c r="Q188" s="64"/>
    </row>
    <row r="189" spans="1:17" s="40" customFormat="1" ht="15" customHeight="1">
      <c r="A189" s="802" t="s">
        <v>31</v>
      </c>
      <c r="B189" s="801" t="s">
        <v>32</v>
      </c>
      <c r="C189" s="37" t="s">
        <v>13</v>
      </c>
      <c r="D189" s="57">
        <f>D192+D195+D198+D201+D204+D207+D210+D213+D216+D219+D222+D225+D231+D228</f>
        <v>78639221</v>
      </c>
      <c r="E189" s="58">
        <f aca="true" t="shared" si="80" ref="E189:P190">E192+E195+E198+E201+E204+E207+E210+E213+E216+E219+E222+E225+E231+E228</f>
        <v>71543221</v>
      </c>
      <c r="F189" s="58">
        <f t="shared" si="80"/>
        <v>58640312</v>
      </c>
      <c r="G189" s="58">
        <f t="shared" si="80"/>
        <v>51753047</v>
      </c>
      <c r="H189" s="58">
        <f t="shared" si="80"/>
        <v>6887265</v>
      </c>
      <c r="I189" s="58">
        <f t="shared" si="80"/>
        <v>0</v>
      </c>
      <c r="J189" s="58">
        <f t="shared" si="80"/>
        <v>163024</v>
      </c>
      <c r="K189" s="58">
        <f t="shared" si="80"/>
        <v>12739885</v>
      </c>
      <c r="L189" s="58">
        <f t="shared" si="80"/>
        <v>0</v>
      </c>
      <c r="M189" s="58">
        <f t="shared" si="80"/>
        <v>7096000</v>
      </c>
      <c r="N189" s="58">
        <f t="shared" si="80"/>
        <v>7096000</v>
      </c>
      <c r="O189" s="58">
        <f t="shared" si="80"/>
        <v>5975439</v>
      </c>
      <c r="P189" s="58">
        <f t="shared" si="80"/>
        <v>0</v>
      </c>
      <c r="Q189" s="47"/>
    </row>
    <row r="190" spans="1:17" s="40" customFormat="1" ht="15" customHeight="1">
      <c r="A190" s="802"/>
      <c r="B190" s="801"/>
      <c r="C190" s="37" t="s">
        <v>14</v>
      </c>
      <c r="D190" s="57">
        <f>D193+D196+D199+D202+D205+D208+D211+D214+D217+D220+D223+D226+D232+D229</f>
        <v>-7240646</v>
      </c>
      <c r="E190" s="58">
        <f t="shared" si="80"/>
        <v>-1872646</v>
      </c>
      <c r="F190" s="58">
        <f t="shared" si="80"/>
        <v>-73428</v>
      </c>
      <c r="G190" s="58">
        <f t="shared" si="80"/>
        <v>0</v>
      </c>
      <c r="H190" s="58">
        <f t="shared" si="80"/>
        <v>-73428</v>
      </c>
      <c r="I190" s="58">
        <f t="shared" si="80"/>
        <v>0</v>
      </c>
      <c r="J190" s="58">
        <f t="shared" si="80"/>
        <v>0</v>
      </c>
      <c r="K190" s="58">
        <f t="shared" si="80"/>
        <v>-1799218</v>
      </c>
      <c r="L190" s="58">
        <f t="shared" si="80"/>
        <v>0</v>
      </c>
      <c r="M190" s="58">
        <f t="shared" si="80"/>
        <v>-5368000</v>
      </c>
      <c r="N190" s="58">
        <f t="shared" si="80"/>
        <v>-5368000</v>
      </c>
      <c r="O190" s="58">
        <f t="shared" si="80"/>
        <v>-5010439</v>
      </c>
      <c r="P190" s="58">
        <f t="shared" si="80"/>
        <v>0</v>
      </c>
      <c r="Q190" s="47"/>
    </row>
    <row r="191" spans="1:17" s="40" customFormat="1" ht="15" customHeight="1">
      <c r="A191" s="802"/>
      <c r="B191" s="801"/>
      <c r="C191" s="37" t="s">
        <v>15</v>
      </c>
      <c r="D191" s="70">
        <f>D189+D190</f>
        <v>71398575</v>
      </c>
      <c r="E191" s="58">
        <f aca="true" t="shared" si="81" ref="E191:P191">E189+E190</f>
        <v>69670575</v>
      </c>
      <c r="F191" s="58">
        <f t="shared" si="81"/>
        <v>58566884</v>
      </c>
      <c r="G191" s="58">
        <f t="shared" si="81"/>
        <v>51753047</v>
      </c>
      <c r="H191" s="58">
        <f t="shared" si="81"/>
        <v>6813837</v>
      </c>
      <c r="I191" s="58">
        <f t="shared" si="81"/>
        <v>0</v>
      </c>
      <c r="J191" s="58">
        <f t="shared" si="81"/>
        <v>163024</v>
      </c>
      <c r="K191" s="58">
        <f t="shared" si="81"/>
        <v>10940667</v>
      </c>
      <c r="L191" s="58">
        <f t="shared" si="81"/>
        <v>0</v>
      </c>
      <c r="M191" s="58">
        <f t="shared" si="81"/>
        <v>1728000</v>
      </c>
      <c r="N191" s="58">
        <f t="shared" si="81"/>
        <v>1728000</v>
      </c>
      <c r="O191" s="58">
        <f t="shared" si="81"/>
        <v>965000</v>
      </c>
      <c r="P191" s="58">
        <f t="shared" si="81"/>
        <v>0</v>
      </c>
      <c r="Q191" s="47"/>
    </row>
    <row r="192" spans="1:17" s="65" customFormat="1" ht="12.75" hidden="1">
      <c r="A192" s="803" t="s">
        <v>153</v>
      </c>
      <c r="B192" s="795" t="s">
        <v>154</v>
      </c>
      <c r="C192" s="38" t="s">
        <v>13</v>
      </c>
      <c r="D192" s="59">
        <f>E192+M192</f>
        <v>16890940</v>
      </c>
      <c r="E192" s="60">
        <f>F192+I192+J192+K192+L192</f>
        <v>16890940</v>
      </c>
      <c r="F192" s="60">
        <f>G192+H192</f>
        <v>16873077</v>
      </c>
      <c r="G192" s="60">
        <v>15600608</v>
      </c>
      <c r="H192" s="60">
        <v>1272469</v>
      </c>
      <c r="I192" s="60">
        <v>0</v>
      </c>
      <c r="J192" s="60">
        <v>17863</v>
      </c>
      <c r="K192" s="60">
        <v>0</v>
      </c>
      <c r="L192" s="60">
        <v>0</v>
      </c>
      <c r="M192" s="60">
        <f aca="true" t="shared" si="82" ref="M192:M232">N192+P192</f>
        <v>0</v>
      </c>
      <c r="N192" s="60">
        <v>0</v>
      </c>
      <c r="O192" s="60">
        <v>0</v>
      </c>
      <c r="P192" s="60">
        <v>0</v>
      </c>
      <c r="Q192" s="64"/>
    </row>
    <row r="193" spans="1:17" s="65" customFormat="1" ht="12.75" hidden="1">
      <c r="A193" s="803"/>
      <c r="B193" s="795"/>
      <c r="C193" s="38" t="s">
        <v>14</v>
      </c>
      <c r="D193" s="59">
        <f>E193+M193</f>
        <v>0</v>
      </c>
      <c r="E193" s="60">
        <f>F193+I193+J193+K193+L193</f>
        <v>0</v>
      </c>
      <c r="F193" s="60">
        <f>G193+H193</f>
        <v>0</v>
      </c>
      <c r="G193" s="60"/>
      <c r="H193" s="60"/>
      <c r="I193" s="60"/>
      <c r="J193" s="60"/>
      <c r="K193" s="60"/>
      <c r="L193" s="60"/>
      <c r="M193" s="60">
        <f t="shared" si="82"/>
        <v>0</v>
      </c>
      <c r="N193" s="60"/>
      <c r="O193" s="60"/>
      <c r="P193" s="60"/>
      <c r="Q193" s="64"/>
    </row>
    <row r="194" spans="1:17" s="65" customFormat="1" ht="12.75" hidden="1">
      <c r="A194" s="803"/>
      <c r="B194" s="795"/>
      <c r="C194" s="38" t="s">
        <v>15</v>
      </c>
      <c r="D194" s="59">
        <f>D192+D193</f>
        <v>16890940</v>
      </c>
      <c r="E194" s="60">
        <f aca="true" t="shared" si="83" ref="E194:P194">E192+E193</f>
        <v>16890940</v>
      </c>
      <c r="F194" s="60">
        <f t="shared" si="83"/>
        <v>16873077</v>
      </c>
      <c r="G194" s="60">
        <f t="shared" si="83"/>
        <v>15600608</v>
      </c>
      <c r="H194" s="60">
        <f t="shared" si="83"/>
        <v>1272469</v>
      </c>
      <c r="I194" s="60">
        <f t="shared" si="83"/>
        <v>0</v>
      </c>
      <c r="J194" s="60">
        <f t="shared" si="83"/>
        <v>17863</v>
      </c>
      <c r="K194" s="60">
        <f t="shared" si="83"/>
        <v>0</v>
      </c>
      <c r="L194" s="60">
        <f t="shared" si="83"/>
        <v>0</v>
      </c>
      <c r="M194" s="60">
        <f t="shared" si="83"/>
        <v>0</v>
      </c>
      <c r="N194" s="60">
        <f t="shared" si="83"/>
        <v>0</v>
      </c>
      <c r="O194" s="60">
        <f t="shared" si="83"/>
        <v>0</v>
      </c>
      <c r="P194" s="60">
        <f t="shared" si="83"/>
        <v>0</v>
      </c>
      <c r="Q194" s="64"/>
    </row>
    <row r="195" spans="1:17" s="65" customFormat="1" ht="12.75" hidden="1">
      <c r="A195" s="803" t="s">
        <v>155</v>
      </c>
      <c r="B195" s="795" t="s">
        <v>156</v>
      </c>
      <c r="C195" s="38" t="s">
        <v>13</v>
      </c>
      <c r="D195" s="59">
        <f>E195+M195</f>
        <v>1071781</v>
      </c>
      <c r="E195" s="60">
        <f>F195+I195+J195+K195+L195</f>
        <v>1071781</v>
      </c>
      <c r="F195" s="60">
        <f>G195+H195</f>
        <v>283202</v>
      </c>
      <c r="G195" s="60">
        <v>269629</v>
      </c>
      <c r="H195" s="60">
        <f>2046+700+738+214+449+352+105+8969</f>
        <v>13573</v>
      </c>
      <c r="I195" s="60">
        <v>0</v>
      </c>
      <c r="J195" s="60">
        <v>1099</v>
      </c>
      <c r="K195" s="60">
        <f>477075+84190+78547+13861+11182+1973+31372+5536+4080+720+3400+600+55202+9742+8500+1500</f>
        <v>787480</v>
      </c>
      <c r="L195" s="60">
        <v>0</v>
      </c>
      <c r="M195" s="60">
        <f t="shared" si="82"/>
        <v>0</v>
      </c>
      <c r="N195" s="60">
        <v>0</v>
      </c>
      <c r="O195" s="60">
        <v>0</v>
      </c>
      <c r="P195" s="60">
        <v>0</v>
      </c>
      <c r="Q195" s="64"/>
    </row>
    <row r="196" spans="1:17" s="65" customFormat="1" ht="12.75" hidden="1">
      <c r="A196" s="803"/>
      <c r="B196" s="795"/>
      <c r="C196" s="38" t="s">
        <v>14</v>
      </c>
      <c r="D196" s="59">
        <f>E196+M196</f>
        <v>0</v>
      </c>
      <c r="E196" s="60">
        <f>F196+I196+J196+K196+L196</f>
        <v>0</v>
      </c>
      <c r="F196" s="60">
        <f>G196+H196</f>
        <v>0</v>
      </c>
      <c r="G196" s="60"/>
      <c r="H196" s="60"/>
      <c r="I196" s="60"/>
      <c r="J196" s="60"/>
      <c r="K196" s="60"/>
      <c r="L196" s="60"/>
      <c r="M196" s="60">
        <f t="shared" si="82"/>
        <v>0</v>
      </c>
      <c r="N196" s="60"/>
      <c r="O196" s="60"/>
      <c r="P196" s="60"/>
      <c r="Q196" s="64"/>
    </row>
    <row r="197" spans="1:17" s="65" customFormat="1" ht="12.75" hidden="1">
      <c r="A197" s="803"/>
      <c r="B197" s="795"/>
      <c r="C197" s="38" t="s">
        <v>15</v>
      </c>
      <c r="D197" s="59">
        <f>D195+D196</f>
        <v>1071781</v>
      </c>
      <c r="E197" s="60">
        <f aca="true" t="shared" si="84" ref="E197:P197">E195+E196</f>
        <v>1071781</v>
      </c>
      <c r="F197" s="60">
        <f t="shared" si="84"/>
        <v>283202</v>
      </c>
      <c r="G197" s="60">
        <f t="shared" si="84"/>
        <v>269629</v>
      </c>
      <c r="H197" s="60">
        <f t="shared" si="84"/>
        <v>13573</v>
      </c>
      <c r="I197" s="60">
        <f t="shared" si="84"/>
        <v>0</v>
      </c>
      <c r="J197" s="60">
        <f t="shared" si="84"/>
        <v>1099</v>
      </c>
      <c r="K197" s="60">
        <f t="shared" si="84"/>
        <v>787480</v>
      </c>
      <c r="L197" s="60">
        <f t="shared" si="84"/>
        <v>0</v>
      </c>
      <c r="M197" s="60">
        <f t="shared" si="84"/>
        <v>0</v>
      </c>
      <c r="N197" s="60">
        <f t="shared" si="84"/>
        <v>0</v>
      </c>
      <c r="O197" s="60">
        <f t="shared" si="84"/>
        <v>0</v>
      </c>
      <c r="P197" s="60">
        <f t="shared" si="84"/>
        <v>0</v>
      </c>
      <c r="Q197" s="64"/>
    </row>
    <row r="198" spans="1:17" s="65" customFormat="1" ht="12.75" hidden="1">
      <c r="A198" s="803" t="s">
        <v>157</v>
      </c>
      <c r="B198" s="795" t="s">
        <v>158</v>
      </c>
      <c r="C198" s="38" t="s">
        <v>13</v>
      </c>
      <c r="D198" s="59">
        <f>E198+M198</f>
        <v>2029792</v>
      </c>
      <c r="E198" s="60">
        <f>F198+I198+J198+K198+L198</f>
        <v>2029792</v>
      </c>
      <c r="F198" s="60">
        <f>G198+H198</f>
        <v>2024245</v>
      </c>
      <c r="G198" s="60">
        <v>1891899</v>
      </c>
      <c r="H198" s="60">
        <v>132346</v>
      </c>
      <c r="I198" s="60">
        <v>0</v>
      </c>
      <c r="J198" s="60">
        <v>5547</v>
      </c>
      <c r="K198" s="60">
        <v>0</v>
      </c>
      <c r="L198" s="60">
        <v>0</v>
      </c>
      <c r="M198" s="60">
        <f t="shared" si="82"/>
        <v>0</v>
      </c>
      <c r="N198" s="60">
        <v>0</v>
      </c>
      <c r="O198" s="60">
        <v>0</v>
      </c>
      <c r="P198" s="60">
        <v>0</v>
      </c>
      <c r="Q198" s="64"/>
    </row>
    <row r="199" spans="1:17" s="65" customFormat="1" ht="12.75" hidden="1">
      <c r="A199" s="803"/>
      <c r="B199" s="795"/>
      <c r="C199" s="38" t="s">
        <v>14</v>
      </c>
      <c r="D199" s="59">
        <f>E199+M199</f>
        <v>0</v>
      </c>
      <c r="E199" s="60">
        <f>F199+I199+J199+K199+L199</f>
        <v>0</v>
      </c>
      <c r="F199" s="60">
        <f>G199+H199</f>
        <v>0</v>
      </c>
      <c r="G199" s="60"/>
      <c r="H199" s="60"/>
      <c r="I199" s="60"/>
      <c r="J199" s="60"/>
      <c r="K199" s="60"/>
      <c r="L199" s="60"/>
      <c r="M199" s="60">
        <f t="shared" si="82"/>
        <v>0</v>
      </c>
      <c r="N199" s="60"/>
      <c r="O199" s="60"/>
      <c r="P199" s="60"/>
      <c r="Q199" s="64"/>
    </row>
    <row r="200" spans="1:17" s="65" customFormat="1" ht="12.75" hidden="1">
      <c r="A200" s="803"/>
      <c r="B200" s="795"/>
      <c r="C200" s="38" t="s">
        <v>15</v>
      </c>
      <c r="D200" s="59">
        <f>D198+D199</f>
        <v>2029792</v>
      </c>
      <c r="E200" s="60">
        <f aca="true" t="shared" si="85" ref="E200:P200">E198+E199</f>
        <v>2029792</v>
      </c>
      <c r="F200" s="60">
        <f t="shared" si="85"/>
        <v>2024245</v>
      </c>
      <c r="G200" s="60">
        <f t="shared" si="85"/>
        <v>1891899</v>
      </c>
      <c r="H200" s="60">
        <f t="shared" si="85"/>
        <v>132346</v>
      </c>
      <c r="I200" s="60">
        <f t="shared" si="85"/>
        <v>0</v>
      </c>
      <c r="J200" s="60">
        <f t="shared" si="85"/>
        <v>5547</v>
      </c>
      <c r="K200" s="60">
        <f t="shared" si="85"/>
        <v>0</v>
      </c>
      <c r="L200" s="60">
        <f t="shared" si="85"/>
        <v>0</v>
      </c>
      <c r="M200" s="60">
        <f t="shared" si="85"/>
        <v>0</v>
      </c>
      <c r="N200" s="60">
        <f t="shared" si="85"/>
        <v>0</v>
      </c>
      <c r="O200" s="60">
        <f t="shared" si="85"/>
        <v>0</v>
      </c>
      <c r="P200" s="60">
        <f t="shared" si="85"/>
        <v>0</v>
      </c>
      <c r="Q200" s="64"/>
    </row>
    <row r="201" spans="1:17" s="65" customFormat="1" ht="12.75" hidden="1">
      <c r="A201" s="803" t="s">
        <v>159</v>
      </c>
      <c r="B201" s="795" t="s">
        <v>160</v>
      </c>
      <c r="C201" s="38" t="s">
        <v>13</v>
      </c>
      <c r="D201" s="59">
        <f>E201+M201</f>
        <v>16500</v>
      </c>
      <c r="E201" s="60">
        <f>F201+I201+J201+K201+L201</f>
        <v>16500</v>
      </c>
      <c r="F201" s="60">
        <f>G201+H201</f>
        <v>16500</v>
      </c>
      <c r="G201" s="60">
        <v>0</v>
      </c>
      <c r="H201" s="60">
        <v>16500</v>
      </c>
      <c r="I201" s="60">
        <v>0</v>
      </c>
      <c r="J201" s="60">
        <v>0</v>
      </c>
      <c r="K201" s="60">
        <v>0</v>
      </c>
      <c r="L201" s="60">
        <v>0</v>
      </c>
      <c r="M201" s="60">
        <f t="shared" si="82"/>
        <v>0</v>
      </c>
      <c r="N201" s="60">
        <v>0</v>
      </c>
      <c r="O201" s="60">
        <v>0</v>
      </c>
      <c r="P201" s="60">
        <v>0</v>
      </c>
      <c r="Q201" s="64"/>
    </row>
    <row r="202" spans="1:17" s="65" customFormat="1" ht="12.75" hidden="1">
      <c r="A202" s="803"/>
      <c r="B202" s="795"/>
      <c r="C202" s="38" t="s">
        <v>14</v>
      </c>
      <c r="D202" s="59">
        <f>E202+M202</f>
        <v>0</v>
      </c>
      <c r="E202" s="60">
        <f>F202+I202+J202+K202+L202</f>
        <v>0</v>
      </c>
      <c r="F202" s="60">
        <f>G202+H202</f>
        <v>0</v>
      </c>
      <c r="G202" s="60"/>
      <c r="H202" s="60"/>
      <c r="I202" s="60"/>
      <c r="J202" s="60"/>
      <c r="K202" s="60"/>
      <c r="L202" s="60"/>
      <c r="M202" s="60">
        <f t="shared" si="82"/>
        <v>0</v>
      </c>
      <c r="N202" s="60"/>
      <c r="O202" s="60"/>
      <c r="P202" s="60"/>
      <c r="Q202" s="64"/>
    </row>
    <row r="203" spans="1:17" s="65" customFormat="1" ht="12.75" hidden="1">
      <c r="A203" s="803"/>
      <c r="B203" s="795"/>
      <c r="C203" s="38" t="s">
        <v>15</v>
      </c>
      <c r="D203" s="59">
        <f>D201+D202</f>
        <v>16500</v>
      </c>
      <c r="E203" s="60">
        <f aca="true" t="shared" si="86" ref="E203:P203">E201+E202</f>
        <v>16500</v>
      </c>
      <c r="F203" s="60">
        <f t="shared" si="86"/>
        <v>16500</v>
      </c>
      <c r="G203" s="60">
        <f t="shared" si="86"/>
        <v>0</v>
      </c>
      <c r="H203" s="60">
        <f t="shared" si="86"/>
        <v>16500</v>
      </c>
      <c r="I203" s="60">
        <f t="shared" si="86"/>
        <v>0</v>
      </c>
      <c r="J203" s="60">
        <f t="shared" si="86"/>
        <v>0</v>
      </c>
      <c r="K203" s="60">
        <f t="shared" si="86"/>
        <v>0</v>
      </c>
      <c r="L203" s="60">
        <f t="shared" si="86"/>
        <v>0</v>
      </c>
      <c r="M203" s="60">
        <f t="shared" si="86"/>
        <v>0</v>
      </c>
      <c r="N203" s="60">
        <f t="shared" si="86"/>
        <v>0</v>
      </c>
      <c r="O203" s="60">
        <f t="shared" si="86"/>
        <v>0</v>
      </c>
      <c r="P203" s="60">
        <f t="shared" si="86"/>
        <v>0</v>
      </c>
      <c r="Q203" s="64"/>
    </row>
    <row r="204" spans="1:17" s="65" customFormat="1" ht="12.75">
      <c r="A204" s="803" t="s">
        <v>161</v>
      </c>
      <c r="B204" s="795" t="s">
        <v>162</v>
      </c>
      <c r="C204" s="38" t="s">
        <v>13</v>
      </c>
      <c r="D204" s="59">
        <f>E204+M204</f>
        <v>10651816</v>
      </c>
      <c r="E204" s="60">
        <f>F204+I204+J204+K204+L204</f>
        <v>5567816</v>
      </c>
      <c r="F204" s="60">
        <f>G204+H204</f>
        <v>5322481</v>
      </c>
      <c r="G204" s="60">
        <v>4498803</v>
      </c>
      <c r="H204" s="60">
        <v>823678</v>
      </c>
      <c r="I204" s="60">
        <v>0</v>
      </c>
      <c r="J204" s="60">
        <v>10200</v>
      </c>
      <c r="K204" s="60">
        <f>111687+19709+11133+1964+19199+3388+2737+483+14308+2525+9323+1646+31478+5555</f>
        <v>235135</v>
      </c>
      <c r="L204" s="60">
        <v>0</v>
      </c>
      <c r="M204" s="60">
        <f t="shared" si="82"/>
        <v>5084000</v>
      </c>
      <c r="N204" s="60">
        <v>5084000</v>
      </c>
      <c r="O204" s="60">
        <f>4307800+760200</f>
        <v>5068000</v>
      </c>
      <c r="P204" s="60">
        <v>0</v>
      </c>
      <c r="Q204" s="64"/>
    </row>
    <row r="205" spans="1:17" s="65" customFormat="1" ht="12.75">
      <c r="A205" s="803"/>
      <c r="B205" s="795"/>
      <c r="C205" s="38" t="s">
        <v>14</v>
      </c>
      <c r="D205" s="59">
        <f>E205+M205</f>
        <v>-4737042</v>
      </c>
      <c r="E205" s="60">
        <f>F205+I205+J205+K205+L205</f>
        <v>-189042</v>
      </c>
      <c r="F205" s="60">
        <f>G205+H205</f>
        <v>0</v>
      </c>
      <c r="G205" s="60"/>
      <c r="H205" s="60"/>
      <c r="I205" s="60"/>
      <c r="J205" s="60"/>
      <c r="K205" s="60">
        <f>-189042</f>
        <v>-189042</v>
      </c>
      <c r="L205" s="60"/>
      <c r="M205" s="60">
        <f t="shared" si="82"/>
        <v>-4548000</v>
      </c>
      <c r="N205" s="60">
        <f>120000-3967800-700200</f>
        <v>-4548000</v>
      </c>
      <c r="O205" s="60">
        <v>-4668000</v>
      </c>
      <c r="P205" s="60"/>
      <c r="Q205" s="64"/>
    </row>
    <row r="206" spans="1:17" s="65" customFormat="1" ht="12.75">
      <c r="A206" s="803"/>
      <c r="B206" s="795"/>
      <c r="C206" s="38" t="s">
        <v>15</v>
      </c>
      <c r="D206" s="59">
        <f>D204+D205</f>
        <v>5914774</v>
      </c>
      <c r="E206" s="60">
        <f aca="true" t="shared" si="87" ref="E206:P206">E204+E205</f>
        <v>5378774</v>
      </c>
      <c r="F206" s="60">
        <f t="shared" si="87"/>
        <v>5322481</v>
      </c>
      <c r="G206" s="60">
        <f t="shared" si="87"/>
        <v>4498803</v>
      </c>
      <c r="H206" s="60">
        <f t="shared" si="87"/>
        <v>823678</v>
      </c>
      <c r="I206" s="60">
        <f t="shared" si="87"/>
        <v>0</v>
      </c>
      <c r="J206" s="60">
        <f t="shared" si="87"/>
        <v>10200</v>
      </c>
      <c r="K206" s="60">
        <f t="shared" si="87"/>
        <v>46093</v>
      </c>
      <c r="L206" s="60">
        <f t="shared" si="87"/>
        <v>0</v>
      </c>
      <c r="M206" s="60">
        <f t="shared" si="87"/>
        <v>536000</v>
      </c>
      <c r="N206" s="60">
        <f t="shared" si="87"/>
        <v>536000</v>
      </c>
      <c r="O206" s="60">
        <f t="shared" si="87"/>
        <v>400000</v>
      </c>
      <c r="P206" s="60">
        <f t="shared" si="87"/>
        <v>0</v>
      </c>
      <c r="Q206" s="64"/>
    </row>
    <row r="207" spans="1:17" s="65" customFormat="1" ht="12.75" hidden="1">
      <c r="A207" s="803" t="s">
        <v>163</v>
      </c>
      <c r="B207" s="804" t="s">
        <v>164</v>
      </c>
      <c r="C207" s="38" t="s">
        <v>13</v>
      </c>
      <c r="D207" s="59">
        <f>E207+M207</f>
        <v>2418611</v>
      </c>
      <c r="E207" s="60">
        <f>F207+I207+J207+K207+L207</f>
        <v>2418611</v>
      </c>
      <c r="F207" s="60">
        <f>G207+H207</f>
        <v>2413436</v>
      </c>
      <c r="G207" s="60">
        <v>2237283</v>
      </c>
      <c r="H207" s="60">
        <v>176153</v>
      </c>
      <c r="I207" s="60">
        <v>0</v>
      </c>
      <c r="J207" s="60">
        <v>5175</v>
      </c>
      <c r="K207" s="60">
        <v>0</v>
      </c>
      <c r="L207" s="60">
        <v>0</v>
      </c>
      <c r="M207" s="60">
        <f t="shared" si="82"/>
        <v>0</v>
      </c>
      <c r="N207" s="60">
        <v>0</v>
      </c>
      <c r="O207" s="60">
        <v>0</v>
      </c>
      <c r="P207" s="60">
        <v>0</v>
      </c>
      <c r="Q207" s="64"/>
    </row>
    <row r="208" spans="1:17" s="65" customFormat="1" ht="12.75" hidden="1">
      <c r="A208" s="803"/>
      <c r="B208" s="804"/>
      <c r="C208" s="38" t="s">
        <v>14</v>
      </c>
      <c r="D208" s="59">
        <f>E208+M208</f>
        <v>0</v>
      </c>
      <c r="E208" s="60">
        <f>F208+I208+J208+K208+L208</f>
        <v>0</v>
      </c>
      <c r="F208" s="60">
        <f>G208+H208</f>
        <v>0</v>
      </c>
      <c r="G208" s="60"/>
      <c r="H208" s="60"/>
      <c r="I208" s="60"/>
      <c r="J208" s="60"/>
      <c r="K208" s="60"/>
      <c r="L208" s="60"/>
      <c r="M208" s="60">
        <f t="shared" si="82"/>
        <v>0</v>
      </c>
      <c r="N208" s="60"/>
      <c r="O208" s="60"/>
      <c r="P208" s="60"/>
      <c r="Q208" s="64"/>
    </row>
    <row r="209" spans="1:17" s="65" customFormat="1" ht="12.75" hidden="1">
      <c r="A209" s="803"/>
      <c r="B209" s="804"/>
      <c r="C209" s="38" t="s">
        <v>15</v>
      </c>
      <c r="D209" s="59">
        <f>D207+D208</f>
        <v>2418611</v>
      </c>
      <c r="E209" s="60">
        <f aca="true" t="shared" si="88" ref="E209:P209">E207+E208</f>
        <v>2418611</v>
      </c>
      <c r="F209" s="60">
        <f t="shared" si="88"/>
        <v>2413436</v>
      </c>
      <c r="G209" s="60">
        <f t="shared" si="88"/>
        <v>2237283</v>
      </c>
      <c r="H209" s="60">
        <f t="shared" si="88"/>
        <v>176153</v>
      </c>
      <c r="I209" s="60">
        <f t="shared" si="88"/>
        <v>0</v>
      </c>
      <c r="J209" s="60">
        <f t="shared" si="88"/>
        <v>5175</v>
      </c>
      <c r="K209" s="60">
        <f t="shared" si="88"/>
        <v>0</v>
      </c>
      <c r="L209" s="60">
        <f t="shared" si="88"/>
        <v>0</v>
      </c>
      <c r="M209" s="60">
        <f t="shared" si="88"/>
        <v>0</v>
      </c>
      <c r="N209" s="60">
        <f t="shared" si="88"/>
        <v>0</v>
      </c>
      <c r="O209" s="60">
        <f t="shared" si="88"/>
        <v>0</v>
      </c>
      <c r="P209" s="60">
        <f t="shared" si="88"/>
        <v>0</v>
      </c>
      <c r="Q209" s="64"/>
    </row>
    <row r="210" spans="1:17" s="65" customFormat="1" ht="12.75" hidden="1">
      <c r="A210" s="803" t="s">
        <v>165</v>
      </c>
      <c r="B210" s="795" t="s">
        <v>166</v>
      </c>
      <c r="C210" s="38" t="s">
        <v>13</v>
      </c>
      <c r="D210" s="59">
        <f>E210+M210</f>
        <v>12607546</v>
      </c>
      <c r="E210" s="60">
        <f>F210+I210+J210+K210+L210</f>
        <v>12607546</v>
      </c>
      <c r="F210" s="60">
        <f>G210+H210</f>
        <v>12599446</v>
      </c>
      <c r="G210" s="60">
        <v>11485221</v>
      </c>
      <c r="H210" s="60">
        <v>1114225</v>
      </c>
      <c r="I210" s="60">
        <v>0</v>
      </c>
      <c r="J210" s="60">
        <v>8100</v>
      </c>
      <c r="K210" s="60">
        <v>0</v>
      </c>
      <c r="L210" s="60">
        <v>0</v>
      </c>
      <c r="M210" s="60">
        <f t="shared" si="82"/>
        <v>0</v>
      </c>
      <c r="N210" s="60">
        <v>0</v>
      </c>
      <c r="O210" s="60">
        <v>0</v>
      </c>
      <c r="P210" s="60">
        <v>0</v>
      </c>
      <c r="Q210" s="64"/>
    </row>
    <row r="211" spans="1:17" s="65" customFormat="1" ht="12.75" hidden="1">
      <c r="A211" s="803"/>
      <c r="B211" s="795"/>
      <c r="C211" s="38" t="s">
        <v>14</v>
      </c>
      <c r="D211" s="59">
        <f>E211+M211</f>
        <v>0</v>
      </c>
      <c r="E211" s="60">
        <f>F211+I211+J211+K211+L211</f>
        <v>0</v>
      </c>
      <c r="F211" s="60">
        <f>G211+H211</f>
        <v>0</v>
      </c>
      <c r="G211" s="60"/>
      <c r="H211" s="60"/>
      <c r="I211" s="60"/>
      <c r="J211" s="60"/>
      <c r="K211" s="60"/>
      <c r="L211" s="60"/>
      <c r="M211" s="60">
        <f t="shared" si="82"/>
        <v>0</v>
      </c>
      <c r="N211" s="60"/>
      <c r="O211" s="60"/>
      <c r="P211" s="60"/>
      <c r="Q211" s="64"/>
    </row>
    <row r="212" spans="1:17" s="65" customFormat="1" ht="12.75" hidden="1">
      <c r="A212" s="803"/>
      <c r="B212" s="795"/>
      <c r="C212" s="38" t="s">
        <v>15</v>
      </c>
      <c r="D212" s="59">
        <f>D210+D211</f>
        <v>12607546</v>
      </c>
      <c r="E212" s="60">
        <f aca="true" t="shared" si="89" ref="E212:P212">E210+E211</f>
        <v>12607546</v>
      </c>
      <c r="F212" s="60">
        <f t="shared" si="89"/>
        <v>12599446</v>
      </c>
      <c r="G212" s="60">
        <f t="shared" si="89"/>
        <v>11485221</v>
      </c>
      <c r="H212" s="60">
        <f t="shared" si="89"/>
        <v>1114225</v>
      </c>
      <c r="I212" s="60">
        <f t="shared" si="89"/>
        <v>0</v>
      </c>
      <c r="J212" s="60">
        <f t="shared" si="89"/>
        <v>8100</v>
      </c>
      <c r="K212" s="60">
        <f t="shared" si="89"/>
        <v>0</v>
      </c>
      <c r="L212" s="60">
        <f t="shared" si="89"/>
        <v>0</v>
      </c>
      <c r="M212" s="60">
        <f t="shared" si="89"/>
        <v>0</v>
      </c>
      <c r="N212" s="60">
        <f t="shared" si="89"/>
        <v>0</v>
      </c>
      <c r="O212" s="60">
        <f t="shared" si="89"/>
        <v>0</v>
      </c>
      <c r="P212" s="60">
        <f t="shared" si="89"/>
        <v>0</v>
      </c>
      <c r="Q212" s="64"/>
    </row>
    <row r="213" spans="1:17" s="35" customFormat="1" ht="14.25" customHeight="1">
      <c r="A213" s="803" t="s">
        <v>167</v>
      </c>
      <c r="B213" s="795" t="s">
        <v>213</v>
      </c>
      <c r="C213" s="38" t="s">
        <v>13</v>
      </c>
      <c r="D213" s="59">
        <f>E213+M213</f>
        <v>4340039</v>
      </c>
      <c r="E213" s="60">
        <f>F213+I213+J213+K213+L213</f>
        <v>2840039</v>
      </c>
      <c r="F213" s="60">
        <f>G213+H213</f>
        <v>2336580</v>
      </c>
      <c r="G213" s="60">
        <v>2060720</v>
      </c>
      <c r="H213" s="60">
        <f>70000+3000+24000+3000+3640+46000+4000+34680+10000+2500+72440+1400+1200</f>
        <v>275860</v>
      </c>
      <c r="I213" s="60">
        <v>0</v>
      </c>
      <c r="J213" s="60">
        <v>1500</v>
      </c>
      <c r="K213" s="60">
        <f>338862+59799+58251+10280+8302+1465+21250+3750</f>
        <v>501959</v>
      </c>
      <c r="L213" s="60">
        <v>0</v>
      </c>
      <c r="M213" s="60">
        <f t="shared" si="82"/>
        <v>1500000</v>
      </c>
      <c r="N213" s="60">
        <v>1500000</v>
      </c>
      <c r="O213" s="60">
        <f>544434+96077+102789+18139</f>
        <v>761439</v>
      </c>
      <c r="P213" s="60">
        <v>0</v>
      </c>
      <c r="Q213" s="45"/>
    </row>
    <row r="214" spans="1:17" s="35" customFormat="1" ht="14.25" customHeight="1">
      <c r="A214" s="803"/>
      <c r="B214" s="795"/>
      <c r="C214" s="38" t="s">
        <v>14</v>
      </c>
      <c r="D214" s="59">
        <f>E214+M214</f>
        <v>-1177373</v>
      </c>
      <c r="E214" s="60">
        <f>F214+I214+J214+K214+L214</f>
        <v>-438373</v>
      </c>
      <c r="F214" s="60">
        <f>G214+H214</f>
        <v>0</v>
      </c>
      <c r="G214" s="60"/>
      <c r="H214" s="60"/>
      <c r="I214" s="60"/>
      <c r="J214" s="60"/>
      <c r="K214" s="60">
        <f>-299168-52794-51427-9076-7329-1293-14693-2593</f>
        <v>-438373</v>
      </c>
      <c r="L214" s="60"/>
      <c r="M214" s="60">
        <f t="shared" si="82"/>
        <v>-739000</v>
      </c>
      <c r="N214" s="60">
        <f>-474255-119434-21077-3306-102789-18139</f>
        <v>-739000</v>
      </c>
      <c r="O214" s="60">
        <f>-119434-21077-102789-18139</f>
        <v>-261439</v>
      </c>
      <c r="P214" s="60"/>
      <c r="Q214" s="45"/>
    </row>
    <row r="215" spans="1:17" s="35" customFormat="1" ht="14.25" customHeight="1">
      <c r="A215" s="803"/>
      <c r="B215" s="795"/>
      <c r="C215" s="38" t="s">
        <v>15</v>
      </c>
      <c r="D215" s="59">
        <f>D213+D214</f>
        <v>3162666</v>
      </c>
      <c r="E215" s="60">
        <f aca="true" t="shared" si="90" ref="E215:P215">E213+E214</f>
        <v>2401666</v>
      </c>
      <c r="F215" s="60">
        <f t="shared" si="90"/>
        <v>2336580</v>
      </c>
      <c r="G215" s="60">
        <f t="shared" si="90"/>
        <v>2060720</v>
      </c>
      <c r="H215" s="60">
        <f t="shared" si="90"/>
        <v>275860</v>
      </c>
      <c r="I215" s="60">
        <f t="shared" si="90"/>
        <v>0</v>
      </c>
      <c r="J215" s="60">
        <f t="shared" si="90"/>
        <v>1500</v>
      </c>
      <c r="K215" s="60">
        <f t="shared" si="90"/>
        <v>63586</v>
      </c>
      <c r="L215" s="60">
        <f t="shared" si="90"/>
        <v>0</v>
      </c>
      <c r="M215" s="60">
        <f t="shared" si="90"/>
        <v>761000</v>
      </c>
      <c r="N215" s="60">
        <f t="shared" si="90"/>
        <v>761000</v>
      </c>
      <c r="O215" s="60">
        <f t="shared" si="90"/>
        <v>500000</v>
      </c>
      <c r="P215" s="60">
        <f t="shared" si="90"/>
        <v>0</v>
      </c>
      <c r="Q215" s="45"/>
    </row>
    <row r="216" spans="1:17" s="65" customFormat="1" ht="12.75">
      <c r="A216" s="803" t="s">
        <v>74</v>
      </c>
      <c r="B216" s="795" t="s">
        <v>168</v>
      </c>
      <c r="C216" s="38" t="s">
        <v>13</v>
      </c>
      <c r="D216" s="59">
        <f>E216+M216</f>
        <v>7807698</v>
      </c>
      <c r="E216" s="60">
        <f>F216+I216+J216+K216+L216</f>
        <v>7441698</v>
      </c>
      <c r="F216" s="60">
        <f>G216+H216</f>
        <v>7433443</v>
      </c>
      <c r="G216" s="60">
        <v>6462284</v>
      </c>
      <c r="H216" s="60">
        <v>971159</v>
      </c>
      <c r="I216" s="60">
        <v>0</v>
      </c>
      <c r="J216" s="60">
        <v>8255</v>
      </c>
      <c r="K216" s="60">
        <v>0</v>
      </c>
      <c r="L216" s="60">
        <v>0</v>
      </c>
      <c r="M216" s="60">
        <f t="shared" si="82"/>
        <v>366000</v>
      </c>
      <c r="N216" s="60">
        <v>366000</v>
      </c>
      <c r="O216" s="60">
        <v>0</v>
      </c>
      <c r="P216" s="60">
        <v>0</v>
      </c>
      <c r="Q216" s="64"/>
    </row>
    <row r="217" spans="1:17" s="65" customFormat="1" ht="12.75">
      <c r="A217" s="803"/>
      <c r="B217" s="795"/>
      <c r="C217" s="38" t="s">
        <v>14</v>
      </c>
      <c r="D217" s="59">
        <f>E217+M217</f>
        <v>-73428</v>
      </c>
      <c r="E217" s="60">
        <f>F217+I217+J217+K217+L217</f>
        <v>-73428</v>
      </c>
      <c r="F217" s="60">
        <f>G217+H217</f>
        <v>-73428</v>
      </c>
      <c r="G217" s="60"/>
      <c r="H217" s="60">
        <v>-73428</v>
      </c>
      <c r="I217" s="60"/>
      <c r="J217" s="60"/>
      <c r="K217" s="60"/>
      <c r="L217" s="60"/>
      <c r="M217" s="60">
        <f t="shared" si="82"/>
        <v>0</v>
      </c>
      <c r="N217" s="60"/>
      <c r="O217" s="60"/>
      <c r="P217" s="60"/>
      <c r="Q217" s="64"/>
    </row>
    <row r="218" spans="1:17" s="65" customFormat="1" ht="12.75">
      <c r="A218" s="803"/>
      <c r="B218" s="795"/>
      <c r="C218" s="38" t="s">
        <v>15</v>
      </c>
      <c r="D218" s="59">
        <f>D216+D217</f>
        <v>7734270</v>
      </c>
      <c r="E218" s="60">
        <f aca="true" t="shared" si="91" ref="E218:P218">E216+E217</f>
        <v>7368270</v>
      </c>
      <c r="F218" s="60">
        <f t="shared" si="91"/>
        <v>7360015</v>
      </c>
      <c r="G218" s="60">
        <f t="shared" si="91"/>
        <v>6462284</v>
      </c>
      <c r="H218" s="60">
        <f t="shared" si="91"/>
        <v>897731</v>
      </c>
      <c r="I218" s="60">
        <f t="shared" si="91"/>
        <v>0</v>
      </c>
      <c r="J218" s="60">
        <f t="shared" si="91"/>
        <v>8255</v>
      </c>
      <c r="K218" s="60">
        <f t="shared" si="91"/>
        <v>0</v>
      </c>
      <c r="L218" s="60">
        <f t="shared" si="91"/>
        <v>0</v>
      </c>
      <c r="M218" s="60">
        <f t="shared" si="91"/>
        <v>366000</v>
      </c>
      <c r="N218" s="60">
        <f t="shared" si="91"/>
        <v>366000</v>
      </c>
      <c r="O218" s="60">
        <f t="shared" si="91"/>
        <v>0</v>
      </c>
      <c r="P218" s="60">
        <f t="shared" si="91"/>
        <v>0</v>
      </c>
      <c r="Q218" s="64"/>
    </row>
    <row r="219" spans="1:17" s="65" customFormat="1" ht="12.75" hidden="1">
      <c r="A219" s="803" t="s">
        <v>33</v>
      </c>
      <c r="B219" s="795" t="s">
        <v>169</v>
      </c>
      <c r="C219" s="38" t="s">
        <v>13</v>
      </c>
      <c r="D219" s="59">
        <f>E219+M219</f>
        <v>6905757</v>
      </c>
      <c r="E219" s="60">
        <f>F219+I219+J219+K219+L219</f>
        <v>6905757</v>
      </c>
      <c r="F219" s="60">
        <f>G219+H219</f>
        <v>6900472</v>
      </c>
      <c r="G219" s="60">
        <v>5839944</v>
      </c>
      <c r="H219" s="60">
        <v>1060528</v>
      </c>
      <c r="I219" s="60">
        <v>0</v>
      </c>
      <c r="J219" s="60">
        <v>5285</v>
      </c>
      <c r="K219" s="60">
        <v>0</v>
      </c>
      <c r="L219" s="60">
        <v>0</v>
      </c>
      <c r="M219" s="60">
        <f t="shared" si="82"/>
        <v>0</v>
      </c>
      <c r="N219" s="60">
        <v>0</v>
      </c>
      <c r="O219" s="60">
        <v>0</v>
      </c>
      <c r="P219" s="60">
        <v>0</v>
      </c>
      <c r="Q219" s="64"/>
    </row>
    <row r="220" spans="1:17" s="65" customFormat="1" ht="12.75" hidden="1">
      <c r="A220" s="803"/>
      <c r="B220" s="795"/>
      <c r="C220" s="38" t="s">
        <v>14</v>
      </c>
      <c r="D220" s="59">
        <f>E220+M220</f>
        <v>0</v>
      </c>
      <c r="E220" s="60">
        <f>F220+I220+J220+K220+L220</f>
        <v>0</v>
      </c>
      <c r="F220" s="60">
        <f>G220+H220</f>
        <v>0</v>
      </c>
      <c r="G220" s="60"/>
      <c r="H220" s="60"/>
      <c r="I220" s="60"/>
      <c r="J220" s="60"/>
      <c r="K220" s="60"/>
      <c r="L220" s="60"/>
      <c r="M220" s="60">
        <f t="shared" si="82"/>
        <v>0</v>
      </c>
      <c r="N220" s="60"/>
      <c r="O220" s="60"/>
      <c r="P220" s="60"/>
      <c r="Q220" s="64"/>
    </row>
    <row r="221" spans="1:17" s="65" customFormat="1" ht="12.75" hidden="1">
      <c r="A221" s="803"/>
      <c r="B221" s="795"/>
      <c r="C221" s="38" t="s">
        <v>15</v>
      </c>
      <c r="D221" s="59">
        <f>D219+D220</f>
        <v>6905757</v>
      </c>
      <c r="E221" s="60">
        <f aca="true" t="shared" si="92" ref="E221:P221">E219+E220</f>
        <v>6905757</v>
      </c>
      <c r="F221" s="60">
        <f t="shared" si="92"/>
        <v>6900472</v>
      </c>
      <c r="G221" s="60">
        <f t="shared" si="92"/>
        <v>5839944</v>
      </c>
      <c r="H221" s="60">
        <f t="shared" si="92"/>
        <v>1060528</v>
      </c>
      <c r="I221" s="60">
        <f t="shared" si="92"/>
        <v>0</v>
      </c>
      <c r="J221" s="60">
        <f t="shared" si="92"/>
        <v>5285</v>
      </c>
      <c r="K221" s="60">
        <f t="shared" si="92"/>
        <v>0</v>
      </c>
      <c r="L221" s="60">
        <f t="shared" si="92"/>
        <v>0</v>
      </c>
      <c r="M221" s="60">
        <f t="shared" si="92"/>
        <v>0</v>
      </c>
      <c r="N221" s="60">
        <f t="shared" si="92"/>
        <v>0</v>
      </c>
      <c r="O221" s="60">
        <f t="shared" si="92"/>
        <v>0</v>
      </c>
      <c r="P221" s="60">
        <f t="shared" si="92"/>
        <v>0</v>
      </c>
      <c r="Q221" s="64"/>
    </row>
    <row r="222" spans="1:17" s="35" customFormat="1" ht="26.25" customHeight="1" hidden="1">
      <c r="A222" s="803" t="s">
        <v>210</v>
      </c>
      <c r="B222" s="795" t="s">
        <v>211</v>
      </c>
      <c r="C222" s="38" t="s">
        <v>13</v>
      </c>
      <c r="D222" s="59">
        <f>E222+M222</f>
        <v>1252587</v>
      </c>
      <c r="E222" s="60">
        <f>F222+I222+J222+K222+L222</f>
        <v>1252587</v>
      </c>
      <c r="F222" s="60">
        <f>G222+H222</f>
        <v>1252587</v>
      </c>
      <c r="G222" s="60">
        <v>1199363</v>
      </c>
      <c r="H222" s="60">
        <v>53224</v>
      </c>
      <c r="I222" s="60">
        <v>0</v>
      </c>
      <c r="J222" s="60">
        <v>0</v>
      </c>
      <c r="K222" s="60">
        <v>0</v>
      </c>
      <c r="L222" s="60">
        <v>0</v>
      </c>
      <c r="M222" s="60">
        <f t="shared" si="82"/>
        <v>0</v>
      </c>
      <c r="N222" s="60">
        <v>0</v>
      </c>
      <c r="O222" s="60">
        <v>0</v>
      </c>
      <c r="P222" s="60">
        <v>0</v>
      </c>
      <c r="Q222" s="45"/>
    </row>
    <row r="223" spans="1:17" s="35" customFormat="1" ht="26.25" customHeight="1" hidden="1">
      <c r="A223" s="803"/>
      <c r="B223" s="795"/>
      <c r="C223" s="38" t="s">
        <v>14</v>
      </c>
      <c r="D223" s="59">
        <f>E223+M223</f>
        <v>0</v>
      </c>
      <c r="E223" s="60">
        <f>F223+I223+J223+K223+L223</f>
        <v>0</v>
      </c>
      <c r="F223" s="60">
        <f>G223+H223</f>
        <v>0</v>
      </c>
      <c r="G223" s="60"/>
      <c r="H223" s="60"/>
      <c r="I223" s="60"/>
      <c r="J223" s="60"/>
      <c r="K223" s="60"/>
      <c r="L223" s="60"/>
      <c r="M223" s="60">
        <f t="shared" si="82"/>
        <v>0</v>
      </c>
      <c r="N223" s="60"/>
      <c r="O223" s="60"/>
      <c r="P223" s="60"/>
      <c r="Q223" s="45"/>
    </row>
    <row r="224" spans="1:17" s="35" customFormat="1" ht="26.25" customHeight="1" hidden="1">
      <c r="A224" s="803"/>
      <c r="B224" s="795"/>
      <c r="C224" s="38" t="s">
        <v>15</v>
      </c>
      <c r="D224" s="59">
        <f>D222+D223</f>
        <v>1252587</v>
      </c>
      <c r="E224" s="60">
        <f aca="true" t="shared" si="93" ref="E224:P224">E222+E223</f>
        <v>1252587</v>
      </c>
      <c r="F224" s="60">
        <f t="shared" si="93"/>
        <v>1252587</v>
      </c>
      <c r="G224" s="60">
        <f t="shared" si="93"/>
        <v>1199363</v>
      </c>
      <c r="H224" s="60">
        <f t="shared" si="93"/>
        <v>53224</v>
      </c>
      <c r="I224" s="60">
        <f t="shared" si="93"/>
        <v>0</v>
      </c>
      <c r="J224" s="60">
        <f t="shared" si="93"/>
        <v>0</v>
      </c>
      <c r="K224" s="60">
        <f t="shared" si="93"/>
        <v>0</v>
      </c>
      <c r="L224" s="60">
        <f t="shared" si="93"/>
        <v>0</v>
      </c>
      <c r="M224" s="60">
        <f t="shared" si="93"/>
        <v>0</v>
      </c>
      <c r="N224" s="60">
        <f t="shared" si="93"/>
        <v>0</v>
      </c>
      <c r="O224" s="60">
        <f t="shared" si="93"/>
        <v>0</v>
      </c>
      <c r="P224" s="60">
        <f t="shared" si="93"/>
        <v>0</v>
      </c>
      <c r="Q224" s="45"/>
    </row>
    <row r="225" spans="1:17" s="65" customFormat="1" ht="12.75" hidden="1">
      <c r="A225" s="803" t="s">
        <v>170</v>
      </c>
      <c r="B225" s="795" t="s">
        <v>171</v>
      </c>
      <c r="C225" s="38" t="s">
        <v>13</v>
      </c>
      <c r="D225" s="59">
        <f>E225+M225</f>
        <v>86473</v>
      </c>
      <c r="E225" s="60">
        <f>F225+I225+J225+K225+L225</f>
        <v>86473</v>
      </c>
      <c r="F225" s="60">
        <f>G225+H225</f>
        <v>86473</v>
      </c>
      <c r="G225" s="60">
        <v>86293</v>
      </c>
      <c r="H225" s="60">
        <v>180</v>
      </c>
      <c r="I225" s="60">
        <v>0</v>
      </c>
      <c r="J225" s="60">
        <v>0</v>
      </c>
      <c r="K225" s="60">
        <v>0</v>
      </c>
      <c r="L225" s="60">
        <v>0</v>
      </c>
      <c r="M225" s="60">
        <f t="shared" si="82"/>
        <v>0</v>
      </c>
      <c r="N225" s="60">
        <v>0</v>
      </c>
      <c r="O225" s="60">
        <v>0</v>
      </c>
      <c r="P225" s="60">
        <v>0</v>
      </c>
      <c r="Q225" s="64"/>
    </row>
    <row r="226" spans="1:17" s="65" customFormat="1" ht="12.75" hidden="1">
      <c r="A226" s="803"/>
      <c r="B226" s="795"/>
      <c r="C226" s="38" t="s">
        <v>14</v>
      </c>
      <c r="D226" s="59">
        <f>E226+M226</f>
        <v>0</v>
      </c>
      <c r="E226" s="60">
        <f>F226+I226+J226+K226+L226</f>
        <v>0</v>
      </c>
      <c r="F226" s="60">
        <f>G226+H226</f>
        <v>0</v>
      </c>
      <c r="G226" s="60"/>
      <c r="H226" s="60"/>
      <c r="I226" s="60"/>
      <c r="J226" s="60"/>
      <c r="K226" s="60"/>
      <c r="L226" s="60"/>
      <c r="M226" s="60">
        <f t="shared" si="82"/>
        <v>0</v>
      </c>
      <c r="N226" s="60"/>
      <c r="O226" s="60"/>
      <c r="P226" s="60"/>
      <c r="Q226" s="64"/>
    </row>
    <row r="227" spans="1:17" s="65" customFormat="1" ht="12.75" hidden="1">
      <c r="A227" s="803"/>
      <c r="B227" s="795"/>
      <c r="C227" s="38" t="s">
        <v>15</v>
      </c>
      <c r="D227" s="59">
        <f>D225+D226</f>
        <v>86473</v>
      </c>
      <c r="E227" s="60">
        <f aca="true" t="shared" si="94" ref="E227:P227">E225+E226</f>
        <v>86473</v>
      </c>
      <c r="F227" s="60">
        <f t="shared" si="94"/>
        <v>86473</v>
      </c>
      <c r="G227" s="60">
        <f t="shared" si="94"/>
        <v>86293</v>
      </c>
      <c r="H227" s="60">
        <f t="shared" si="94"/>
        <v>180</v>
      </c>
      <c r="I227" s="60">
        <f t="shared" si="94"/>
        <v>0</v>
      </c>
      <c r="J227" s="60">
        <f t="shared" si="94"/>
        <v>0</v>
      </c>
      <c r="K227" s="60">
        <f t="shared" si="94"/>
        <v>0</v>
      </c>
      <c r="L227" s="60">
        <f t="shared" si="94"/>
        <v>0</v>
      </c>
      <c r="M227" s="60">
        <f t="shared" si="94"/>
        <v>0</v>
      </c>
      <c r="N227" s="60">
        <f t="shared" si="94"/>
        <v>0</v>
      </c>
      <c r="O227" s="60">
        <f t="shared" si="94"/>
        <v>0</v>
      </c>
      <c r="P227" s="60">
        <f t="shared" si="94"/>
        <v>0</v>
      </c>
      <c r="Q227" s="64"/>
    </row>
    <row r="228" spans="1:17" s="65" customFormat="1" ht="12.75" hidden="1">
      <c r="A228" s="803" t="s">
        <v>326</v>
      </c>
      <c r="B228" s="795" t="s">
        <v>327</v>
      </c>
      <c r="C228" s="38" t="s">
        <v>13</v>
      </c>
      <c r="D228" s="59">
        <f>E228+M228</f>
        <v>357</v>
      </c>
      <c r="E228" s="60">
        <f>F228+I228+J228+K228+L228</f>
        <v>357</v>
      </c>
      <c r="F228" s="60">
        <f>G228+H228</f>
        <v>357</v>
      </c>
      <c r="G228" s="60">
        <v>0</v>
      </c>
      <c r="H228" s="60">
        <v>357</v>
      </c>
      <c r="I228" s="60">
        <v>0</v>
      </c>
      <c r="J228" s="60">
        <v>0</v>
      </c>
      <c r="K228" s="60">
        <v>0</v>
      </c>
      <c r="L228" s="60">
        <v>0</v>
      </c>
      <c r="M228" s="60">
        <f>N228+P228</f>
        <v>0</v>
      </c>
      <c r="N228" s="60">
        <v>0</v>
      </c>
      <c r="O228" s="60">
        <v>0</v>
      </c>
      <c r="P228" s="60">
        <v>0</v>
      </c>
      <c r="Q228" s="64"/>
    </row>
    <row r="229" spans="1:17" s="65" customFormat="1" ht="12.75" hidden="1">
      <c r="A229" s="803"/>
      <c r="B229" s="795"/>
      <c r="C229" s="38" t="s">
        <v>14</v>
      </c>
      <c r="D229" s="59">
        <f>E229+M229</f>
        <v>0</v>
      </c>
      <c r="E229" s="60">
        <f>F229+I229+J229+K229+L229</f>
        <v>0</v>
      </c>
      <c r="F229" s="60">
        <f>G229+H229</f>
        <v>0</v>
      </c>
      <c r="G229" s="60"/>
      <c r="H229" s="60"/>
      <c r="I229" s="60"/>
      <c r="J229" s="60"/>
      <c r="K229" s="60"/>
      <c r="L229" s="60"/>
      <c r="M229" s="60">
        <f>N229+P229</f>
        <v>0</v>
      </c>
      <c r="N229" s="60"/>
      <c r="O229" s="60"/>
      <c r="P229" s="60"/>
      <c r="Q229" s="64"/>
    </row>
    <row r="230" spans="1:17" s="65" customFormat="1" ht="12.75" hidden="1">
      <c r="A230" s="803"/>
      <c r="B230" s="795"/>
      <c r="C230" s="38" t="s">
        <v>15</v>
      </c>
      <c r="D230" s="59">
        <f>D228+D229</f>
        <v>357</v>
      </c>
      <c r="E230" s="60">
        <f aca="true" t="shared" si="95" ref="E230:P230">E228+E229</f>
        <v>357</v>
      </c>
      <c r="F230" s="60">
        <f t="shared" si="95"/>
        <v>357</v>
      </c>
      <c r="G230" s="60">
        <f t="shared" si="95"/>
        <v>0</v>
      </c>
      <c r="H230" s="60">
        <f t="shared" si="95"/>
        <v>357</v>
      </c>
      <c r="I230" s="60">
        <f t="shared" si="95"/>
        <v>0</v>
      </c>
      <c r="J230" s="60">
        <f t="shared" si="95"/>
        <v>0</v>
      </c>
      <c r="K230" s="60">
        <f t="shared" si="95"/>
        <v>0</v>
      </c>
      <c r="L230" s="60">
        <f t="shared" si="95"/>
        <v>0</v>
      </c>
      <c r="M230" s="60">
        <f t="shared" si="95"/>
        <v>0</v>
      </c>
      <c r="N230" s="60">
        <f t="shared" si="95"/>
        <v>0</v>
      </c>
      <c r="O230" s="60">
        <f t="shared" si="95"/>
        <v>0</v>
      </c>
      <c r="P230" s="60">
        <f t="shared" si="95"/>
        <v>0</v>
      </c>
      <c r="Q230" s="64"/>
    </row>
    <row r="231" spans="1:17" s="65" customFormat="1" ht="12.75">
      <c r="A231" s="803" t="s">
        <v>172</v>
      </c>
      <c r="B231" s="795" t="s">
        <v>52</v>
      </c>
      <c r="C231" s="38" t="s">
        <v>13</v>
      </c>
      <c r="D231" s="59">
        <f>E231+M231</f>
        <v>12559324</v>
      </c>
      <c r="E231" s="60">
        <f>F231+I231+J231+K231+L231</f>
        <v>12413324</v>
      </c>
      <c r="F231" s="60">
        <f>G231+H231</f>
        <v>1098013</v>
      </c>
      <c r="G231" s="60">
        <v>121000</v>
      </c>
      <c r="H231" s="60">
        <v>977013</v>
      </c>
      <c r="I231" s="60">
        <v>0</v>
      </c>
      <c r="J231" s="60">
        <v>100000</v>
      </c>
      <c r="K231" s="60">
        <v>11215311</v>
      </c>
      <c r="L231" s="60">
        <v>0</v>
      </c>
      <c r="M231" s="60">
        <f t="shared" si="82"/>
        <v>146000</v>
      </c>
      <c r="N231" s="60">
        <v>146000</v>
      </c>
      <c r="O231" s="60">
        <v>146000</v>
      </c>
      <c r="P231" s="60">
        <v>0</v>
      </c>
      <c r="Q231" s="64"/>
    </row>
    <row r="232" spans="1:17" s="65" customFormat="1" ht="12.75">
      <c r="A232" s="803"/>
      <c r="B232" s="795"/>
      <c r="C232" s="38" t="s">
        <v>14</v>
      </c>
      <c r="D232" s="59">
        <f>E232+M232</f>
        <v>-1252803</v>
      </c>
      <c r="E232" s="60">
        <f>F232+I232+J232+K232+L232</f>
        <v>-1171803</v>
      </c>
      <c r="F232" s="60">
        <f>G232+H232</f>
        <v>0</v>
      </c>
      <c r="G232" s="60"/>
      <c r="H232" s="60"/>
      <c r="I232" s="60"/>
      <c r="J232" s="60"/>
      <c r="K232" s="60">
        <f>428971-1600774</f>
        <v>-1171803</v>
      </c>
      <c r="L232" s="60"/>
      <c r="M232" s="60">
        <f t="shared" si="82"/>
        <v>-81000</v>
      </c>
      <c r="N232" s="60">
        <v>-81000</v>
      </c>
      <c r="O232" s="60">
        <v>-81000</v>
      </c>
      <c r="P232" s="60"/>
      <c r="Q232" s="64"/>
    </row>
    <row r="233" spans="1:17" s="65" customFormat="1" ht="12.75">
      <c r="A233" s="803"/>
      <c r="B233" s="795"/>
      <c r="C233" s="38" t="s">
        <v>15</v>
      </c>
      <c r="D233" s="59">
        <f>D231+D232</f>
        <v>11306521</v>
      </c>
      <c r="E233" s="60">
        <f aca="true" t="shared" si="96" ref="E233:P233">E231+E232</f>
        <v>11241521</v>
      </c>
      <c r="F233" s="60">
        <f t="shared" si="96"/>
        <v>1098013</v>
      </c>
      <c r="G233" s="60">
        <f t="shared" si="96"/>
        <v>121000</v>
      </c>
      <c r="H233" s="60">
        <f t="shared" si="96"/>
        <v>977013</v>
      </c>
      <c r="I233" s="60">
        <f t="shared" si="96"/>
        <v>0</v>
      </c>
      <c r="J233" s="60">
        <f t="shared" si="96"/>
        <v>100000</v>
      </c>
      <c r="K233" s="60">
        <f t="shared" si="96"/>
        <v>10043508</v>
      </c>
      <c r="L233" s="60">
        <f t="shared" si="96"/>
        <v>0</v>
      </c>
      <c r="M233" s="60">
        <f t="shared" si="96"/>
        <v>65000</v>
      </c>
      <c r="N233" s="60">
        <f t="shared" si="96"/>
        <v>65000</v>
      </c>
      <c r="O233" s="60">
        <f t="shared" si="96"/>
        <v>65000</v>
      </c>
      <c r="P233" s="60">
        <f t="shared" si="96"/>
        <v>0</v>
      </c>
      <c r="Q233" s="64"/>
    </row>
    <row r="234" spans="1:17" s="40" customFormat="1" ht="14.25" hidden="1">
      <c r="A234" s="802" t="s">
        <v>85</v>
      </c>
      <c r="B234" s="801" t="s">
        <v>86</v>
      </c>
      <c r="C234" s="37" t="s">
        <v>13</v>
      </c>
      <c r="D234" s="57">
        <f aca="true" t="shared" si="97" ref="D234:P235">D237</f>
        <v>0</v>
      </c>
      <c r="E234" s="58">
        <f t="shared" si="97"/>
        <v>0</v>
      </c>
      <c r="F234" s="58">
        <f t="shared" si="97"/>
        <v>0</v>
      </c>
      <c r="G234" s="58">
        <f t="shared" si="97"/>
        <v>0</v>
      </c>
      <c r="H234" s="58">
        <f t="shared" si="97"/>
        <v>0</v>
      </c>
      <c r="I234" s="58">
        <f t="shared" si="97"/>
        <v>0</v>
      </c>
      <c r="J234" s="58">
        <f t="shared" si="97"/>
        <v>0</v>
      </c>
      <c r="K234" s="58">
        <f t="shared" si="97"/>
        <v>0</v>
      </c>
      <c r="L234" s="58">
        <f t="shared" si="97"/>
        <v>0</v>
      </c>
      <c r="M234" s="58">
        <f t="shared" si="97"/>
        <v>0</v>
      </c>
      <c r="N234" s="58">
        <f t="shared" si="97"/>
        <v>0</v>
      </c>
      <c r="O234" s="58">
        <f>O237</f>
        <v>0</v>
      </c>
      <c r="P234" s="58">
        <f t="shared" si="97"/>
        <v>0</v>
      </c>
      <c r="Q234" s="47"/>
    </row>
    <row r="235" spans="1:17" s="40" customFormat="1" ht="14.25" hidden="1">
      <c r="A235" s="802"/>
      <c r="B235" s="801"/>
      <c r="C235" s="37" t="s">
        <v>14</v>
      </c>
      <c r="D235" s="57">
        <f t="shared" si="97"/>
        <v>0</v>
      </c>
      <c r="E235" s="58">
        <f t="shared" si="97"/>
        <v>0</v>
      </c>
      <c r="F235" s="58">
        <f t="shared" si="97"/>
        <v>0</v>
      </c>
      <c r="G235" s="58">
        <f t="shared" si="97"/>
        <v>0</v>
      </c>
      <c r="H235" s="58">
        <f t="shared" si="97"/>
        <v>0</v>
      </c>
      <c r="I235" s="58">
        <f t="shared" si="97"/>
        <v>0</v>
      </c>
      <c r="J235" s="58">
        <f t="shared" si="97"/>
        <v>0</v>
      </c>
      <c r="K235" s="58">
        <f t="shared" si="97"/>
        <v>0</v>
      </c>
      <c r="L235" s="58">
        <f t="shared" si="97"/>
        <v>0</v>
      </c>
      <c r="M235" s="58">
        <f t="shared" si="97"/>
        <v>0</v>
      </c>
      <c r="N235" s="58">
        <f t="shared" si="97"/>
        <v>0</v>
      </c>
      <c r="O235" s="58">
        <f>O238</f>
        <v>0</v>
      </c>
      <c r="P235" s="58">
        <f t="shared" si="97"/>
        <v>0</v>
      </c>
      <c r="Q235" s="47"/>
    </row>
    <row r="236" spans="1:17" s="40" customFormat="1" ht="14.25" hidden="1">
      <c r="A236" s="802"/>
      <c r="B236" s="801"/>
      <c r="C236" s="37" t="s">
        <v>15</v>
      </c>
      <c r="D236" s="70">
        <f>D234+D235</f>
        <v>0</v>
      </c>
      <c r="E236" s="58">
        <f aca="true" t="shared" si="98" ref="E236:P236">E234+E235</f>
        <v>0</v>
      </c>
      <c r="F236" s="58">
        <f t="shared" si="98"/>
        <v>0</v>
      </c>
      <c r="G236" s="58">
        <f t="shared" si="98"/>
        <v>0</v>
      </c>
      <c r="H236" s="58">
        <f t="shared" si="98"/>
        <v>0</v>
      </c>
      <c r="I236" s="58">
        <f t="shared" si="98"/>
        <v>0</v>
      </c>
      <c r="J236" s="58">
        <f t="shared" si="98"/>
        <v>0</v>
      </c>
      <c r="K236" s="58">
        <f t="shared" si="98"/>
        <v>0</v>
      </c>
      <c r="L236" s="58">
        <f t="shared" si="98"/>
        <v>0</v>
      </c>
      <c r="M236" s="58">
        <f t="shared" si="98"/>
        <v>0</v>
      </c>
      <c r="N236" s="58">
        <f t="shared" si="98"/>
        <v>0</v>
      </c>
      <c r="O236" s="58">
        <f t="shared" si="98"/>
        <v>0</v>
      </c>
      <c r="P236" s="58">
        <f t="shared" si="98"/>
        <v>0</v>
      </c>
      <c r="Q236" s="47"/>
    </row>
    <row r="237" spans="1:17" s="65" customFormat="1" ht="12.75" hidden="1">
      <c r="A237" s="799">
        <v>80395</v>
      </c>
      <c r="B237" s="795" t="s">
        <v>52</v>
      </c>
      <c r="C237" s="38" t="s">
        <v>13</v>
      </c>
      <c r="D237" s="59">
        <f>E237+M237</f>
        <v>0</v>
      </c>
      <c r="E237" s="60">
        <f>F237+I237+J237+K237+L237</f>
        <v>0</v>
      </c>
      <c r="F237" s="60">
        <f>G237+H237</f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f>N237+P237</f>
        <v>0</v>
      </c>
      <c r="N237" s="60">
        <v>0</v>
      </c>
      <c r="O237" s="60">
        <v>0</v>
      </c>
      <c r="P237" s="60">
        <v>0</v>
      </c>
      <c r="Q237" s="64"/>
    </row>
    <row r="238" spans="1:17" s="65" customFormat="1" ht="12.75" hidden="1">
      <c r="A238" s="799"/>
      <c r="B238" s="795"/>
      <c r="C238" s="38" t="s">
        <v>14</v>
      </c>
      <c r="D238" s="59">
        <f>E238+M238</f>
        <v>0</v>
      </c>
      <c r="E238" s="60">
        <f>F238+I238+J238+K238+L238</f>
        <v>0</v>
      </c>
      <c r="F238" s="60">
        <f>G238+H238</f>
        <v>0</v>
      </c>
      <c r="G238" s="60"/>
      <c r="H238" s="60"/>
      <c r="I238" s="60"/>
      <c r="J238" s="60"/>
      <c r="K238" s="60"/>
      <c r="L238" s="60"/>
      <c r="M238" s="60">
        <f>N238+P238</f>
        <v>0</v>
      </c>
      <c r="N238" s="60"/>
      <c r="O238" s="60"/>
      <c r="P238" s="60"/>
      <c r="Q238" s="64"/>
    </row>
    <row r="239" spans="1:17" s="65" customFormat="1" ht="12.75" hidden="1">
      <c r="A239" s="799"/>
      <c r="B239" s="795"/>
      <c r="C239" s="38" t="s">
        <v>15</v>
      </c>
      <c r="D239" s="59">
        <f>D237+D238</f>
        <v>0</v>
      </c>
      <c r="E239" s="60">
        <f aca="true" t="shared" si="99" ref="E239:P239">E237+E238</f>
        <v>0</v>
      </c>
      <c r="F239" s="60">
        <f t="shared" si="99"/>
        <v>0</v>
      </c>
      <c r="G239" s="60">
        <f t="shared" si="99"/>
        <v>0</v>
      </c>
      <c r="H239" s="60">
        <f t="shared" si="99"/>
        <v>0</v>
      </c>
      <c r="I239" s="60">
        <f t="shared" si="99"/>
        <v>0</v>
      </c>
      <c r="J239" s="60">
        <f t="shared" si="99"/>
        <v>0</v>
      </c>
      <c r="K239" s="60">
        <f t="shared" si="99"/>
        <v>0</v>
      </c>
      <c r="L239" s="60">
        <f t="shared" si="99"/>
        <v>0</v>
      </c>
      <c r="M239" s="60">
        <f t="shared" si="99"/>
        <v>0</v>
      </c>
      <c r="N239" s="60">
        <f t="shared" si="99"/>
        <v>0</v>
      </c>
      <c r="O239" s="60">
        <f t="shared" si="99"/>
        <v>0</v>
      </c>
      <c r="P239" s="60">
        <f t="shared" si="99"/>
        <v>0</v>
      </c>
      <c r="Q239" s="64"/>
    </row>
    <row r="240" spans="1:17" s="40" customFormat="1" ht="15" customHeight="1">
      <c r="A240" s="802" t="s">
        <v>34</v>
      </c>
      <c r="B240" s="801" t="s">
        <v>35</v>
      </c>
      <c r="C240" s="37" t="s">
        <v>13</v>
      </c>
      <c r="D240" s="57">
        <f>D243+D246+D249+D252+D255+D258+D261+D267+D264</f>
        <v>35209993</v>
      </c>
      <c r="E240" s="58">
        <f>E243+E246+E249+E252+E255+E258+E261+E267+E264</f>
        <v>9497802</v>
      </c>
      <c r="F240" s="58">
        <f aca="true" t="shared" si="100" ref="F240:P240">F243+F246+F249+F252+F255+F258+F261+F267+F264</f>
        <v>3613000</v>
      </c>
      <c r="G240" s="58">
        <f t="shared" si="100"/>
        <v>21000</v>
      </c>
      <c r="H240" s="58">
        <f t="shared" si="100"/>
        <v>3592000</v>
      </c>
      <c r="I240" s="58">
        <f t="shared" si="100"/>
        <v>1685000</v>
      </c>
      <c r="J240" s="58">
        <f t="shared" si="100"/>
        <v>0</v>
      </c>
      <c r="K240" s="58">
        <f t="shared" si="100"/>
        <v>4199802</v>
      </c>
      <c r="L240" s="58">
        <f t="shared" si="100"/>
        <v>0</v>
      </c>
      <c r="M240" s="58">
        <f t="shared" si="100"/>
        <v>25712191</v>
      </c>
      <c r="N240" s="58">
        <f t="shared" si="100"/>
        <v>2749691</v>
      </c>
      <c r="O240" s="58">
        <f t="shared" si="100"/>
        <v>99000</v>
      </c>
      <c r="P240" s="58">
        <f t="shared" si="100"/>
        <v>22962500</v>
      </c>
      <c r="Q240" s="47"/>
    </row>
    <row r="241" spans="1:17" s="40" customFormat="1" ht="15" customHeight="1">
      <c r="A241" s="802"/>
      <c r="B241" s="801"/>
      <c r="C241" s="37" t="s">
        <v>14</v>
      </c>
      <c r="D241" s="57">
        <f>D244+D247+D250+D253+D256+D259+D262+D268+D265</f>
        <v>3595606</v>
      </c>
      <c r="E241" s="58">
        <f>E244+E247+E250+E253+E256+E259+E262+E268+E265</f>
        <v>22027</v>
      </c>
      <c r="F241" s="58">
        <f aca="true" t="shared" si="101" ref="F241:P241">F244+F247+F250+F253+F256+F259+F262+F268+F265</f>
        <v>16359</v>
      </c>
      <c r="G241" s="58">
        <f t="shared" si="101"/>
        <v>0</v>
      </c>
      <c r="H241" s="58">
        <f t="shared" si="101"/>
        <v>16359</v>
      </c>
      <c r="I241" s="58">
        <f t="shared" si="101"/>
        <v>0</v>
      </c>
      <c r="J241" s="58">
        <f t="shared" si="101"/>
        <v>0</v>
      </c>
      <c r="K241" s="58">
        <f t="shared" si="101"/>
        <v>5668</v>
      </c>
      <c r="L241" s="58">
        <f t="shared" si="101"/>
        <v>0</v>
      </c>
      <c r="M241" s="58">
        <f t="shared" si="101"/>
        <v>3573579</v>
      </c>
      <c r="N241" s="58">
        <f t="shared" si="101"/>
        <v>3573579</v>
      </c>
      <c r="O241" s="58">
        <f t="shared" si="101"/>
        <v>3476942</v>
      </c>
      <c r="P241" s="58">
        <f t="shared" si="101"/>
        <v>0</v>
      </c>
      <c r="Q241" s="47"/>
    </row>
    <row r="242" spans="1:17" s="40" customFormat="1" ht="15" customHeight="1">
      <c r="A242" s="802"/>
      <c r="B242" s="801"/>
      <c r="C242" s="37" t="s">
        <v>15</v>
      </c>
      <c r="D242" s="70">
        <f>D240+D241</f>
        <v>38805599</v>
      </c>
      <c r="E242" s="58">
        <f aca="true" t="shared" si="102" ref="E242:P242">E240+E241</f>
        <v>9519829</v>
      </c>
      <c r="F242" s="58">
        <f t="shared" si="102"/>
        <v>3629359</v>
      </c>
      <c r="G242" s="58">
        <f t="shared" si="102"/>
        <v>21000</v>
      </c>
      <c r="H242" s="58">
        <f t="shared" si="102"/>
        <v>3608359</v>
      </c>
      <c r="I242" s="58">
        <f t="shared" si="102"/>
        <v>1685000</v>
      </c>
      <c r="J242" s="58">
        <f t="shared" si="102"/>
        <v>0</v>
      </c>
      <c r="K242" s="58">
        <f t="shared" si="102"/>
        <v>4205470</v>
      </c>
      <c r="L242" s="58">
        <f t="shared" si="102"/>
        <v>0</v>
      </c>
      <c r="M242" s="58">
        <f t="shared" si="102"/>
        <v>29285770</v>
      </c>
      <c r="N242" s="58">
        <f t="shared" si="102"/>
        <v>6323270</v>
      </c>
      <c r="O242" s="58">
        <f t="shared" si="102"/>
        <v>3575942</v>
      </c>
      <c r="P242" s="58">
        <f t="shared" si="102"/>
        <v>22962500</v>
      </c>
      <c r="Q242" s="47"/>
    </row>
    <row r="243" spans="1:17" s="65" customFormat="1" ht="12.75">
      <c r="A243" s="799">
        <v>85111</v>
      </c>
      <c r="B243" s="795" t="s">
        <v>173</v>
      </c>
      <c r="C243" s="38" t="s">
        <v>13</v>
      </c>
      <c r="D243" s="59">
        <f>E243+M243</f>
        <v>464563</v>
      </c>
      <c r="E243" s="60">
        <f>F243+I243+J243+K243+L243</f>
        <v>0</v>
      </c>
      <c r="F243" s="60">
        <f>G243+H243</f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f aca="true" t="shared" si="103" ref="M243:M268">N243+P243</f>
        <v>464563</v>
      </c>
      <c r="N243" s="60">
        <v>464563</v>
      </c>
      <c r="O243" s="60">
        <v>0</v>
      </c>
      <c r="P243" s="60">
        <v>0</v>
      </c>
      <c r="Q243" s="64"/>
    </row>
    <row r="244" spans="1:17" s="65" customFormat="1" ht="12.75">
      <c r="A244" s="799"/>
      <c r="B244" s="795"/>
      <c r="C244" s="38" t="s">
        <v>14</v>
      </c>
      <c r="D244" s="59">
        <f>E244+M244</f>
        <v>3476942</v>
      </c>
      <c r="E244" s="60">
        <f>F244+I244+J244+K244+L244</f>
        <v>0</v>
      </c>
      <c r="F244" s="60">
        <f>G244+H244</f>
        <v>0</v>
      </c>
      <c r="G244" s="60"/>
      <c r="H244" s="60"/>
      <c r="I244" s="60"/>
      <c r="J244" s="60"/>
      <c r="K244" s="60"/>
      <c r="L244" s="60"/>
      <c r="M244" s="60">
        <f t="shared" si="103"/>
        <v>3476942</v>
      </c>
      <c r="N244" s="60">
        <v>3476942</v>
      </c>
      <c r="O244" s="60">
        <v>3476942</v>
      </c>
      <c r="P244" s="60"/>
      <c r="Q244" s="64"/>
    </row>
    <row r="245" spans="1:17" s="65" customFormat="1" ht="12.75">
      <c r="A245" s="799"/>
      <c r="B245" s="795"/>
      <c r="C245" s="38" t="s">
        <v>15</v>
      </c>
      <c r="D245" s="59">
        <f>D243+D244</f>
        <v>3941505</v>
      </c>
      <c r="E245" s="60">
        <f aca="true" t="shared" si="104" ref="E245:P245">E243+E244</f>
        <v>0</v>
      </c>
      <c r="F245" s="60">
        <f t="shared" si="104"/>
        <v>0</v>
      </c>
      <c r="G245" s="60">
        <f t="shared" si="104"/>
        <v>0</v>
      </c>
      <c r="H245" s="60">
        <f t="shared" si="104"/>
        <v>0</v>
      </c>
      <c r="I245" s="60">
        <f t="shared" si="104"/>
        <v>0</v>
      </c>
      <c r="J245" s="60">
        <f t="shared" si="104"/>
        <v>0</v>
      </c>
      <c r="K245" s="60">
        <f t="shared" si="104"/>
        <v>0</v>
      </c>
      <c r="L245" s="60">
        <f t="shared" si="104"/>
        <v>0</v>
      </c>
      <c r="M245" s="60">
        <f t="shared" si="104"/>
        <v>3941505</v>
      </c>
      <c r="N245" s="60">
        <f t="shared" si="104"/>
        <v>3941505</v>
      </c>
      <c r="O245" s="60">
        <f t="shared" si="104"/>
        <v>3476942</v>
      </c>
      <c r="P245" s="60">
        <f t="shared" si="104"/>
        <v>0</v>
      </c>
      <c r="Q245" s="64"/>
    </row>
    <row r="246" spans="1:17" s="65" customFormat="1" ht="12.75" hidden="1">
      <c r="A246" s="799">
        <v>85141</v>
      </c>
      <c r="B246" s="795" t="s">
        <v>174</v>
      </c>
      <c r="C246" s="38" t="s">
        <v>13</v>
      </c>
      <c r="D246" s="59">
        <f>E246+M246</f>
        <v>286128</v>
      </c>
      <c r="E246" s="60">
        <f>F246+I246+J246+K246+L246</f>
        <v>0</v>
      </c>
      <c r="F246" s="60">
        <f>G246+H246</f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f t="shared" si="103"/>
        <v>286128</v>
      </c>
      <c r="N246" s="60">
        <v>286128</v>
      </c>
      <c r="O246" s="60">
        <v>0</v>
      </c>
      <c r="P246" s="60">
        <v>0</v>
      </c>
      <c r="Q246" s="64"/>
    </row>
    <row r="247" spans="1:17" s="65" customFormat="1" ht="12.75" hidden="1">
      <c r="A247" s="799"/>
      <c r="B247" s="795"/>
      <c r="C247" s="38" t="s">
        <v>14</v>
      </c>
      <c r="D247" s="59">
        <f>E247+M247</f>
        <v>0</v>
      </c>
      <c r="E247" s="60">
        <f>F247+I247+J247+K247+L247</f>
        <v>0</v>
      </c>
      <c r="F247" s="60">
        <f>G247+H247</f>
        <v>0</v>
      </c>
      <c r="G247" s="60"/>
      <c r="H247" s="60"/>
      <c r="I247" s="60"/>
      <c r="J247" s="60"/>
      <c r="K247" s="60"/>
      <c r="L247" s="60"/>
      <c r="M247" s="60">
        <f t="shared" si="103"/>
        <v>0</v>
      </c>
      <c r="N247" s="60"/>
      <c r="O247" s="60"/>
      <c r="P247" s="60"/>
      <c r="Q247" s="64"/>
    </row>
    <row r="248" spans="1:17" s="65" customFormat="1" ht="12.75" hidden="1">
      <c r="A248" s="799"/>
      <c r="B248" s="795"/>
      <c r="C248" s="38" t="s">
        <v>15</v>
      </c>
      <c r="D248" s="59">
        <f>D246+D247</f>
        <v>286128</v>
      </c>
      <c r="E248" s="60">
        <f aca="true" t="shared" si="105" ref="E248:P248">E246+E247</f>
        <v>0</v>
      </c>
      <c r="F248" s="60">
        <f t="shared" si="105"/>
        <v>0</v>
      </c>
      <c r="G248" s="60">
        <f t="shared" si="105"/>
        <v>0</v>
      </c>
      <c r="H248" s="60">
        <f t="shared" si="105"/>
        <v>0</v>
      </c>
      <c r="I248" s="60">
        <f t="shared" si="105"/>
        <v>0</v>
      </c>
      <c r="J248" s="60">
        <f t="shared" si="105"/>
        <v>0</v>
      </c>
      <c r="K248" s="60">
        <f t="shared" si="105"/>
        <v>0</v>
      </c>
      <c r="L248" s="60">
        <f t="shared" si="105"/>
        <v>0</v>
      </c>
      <c r="M248" s="60">
        <f t="shared" si="105"/>
        <v>286128</v>
      </c>
      <c r="N248" s="60">
        <f t="shared" si="105"/>
        <v>286128</v>
      </c>
      <c r="O248" s="60">
        <f t="shared" si="105"/>
        <v>0</v>
      </c>
      <c r="P248" s="60">
        <f t="shared" si="105"/>
        <v>0</v>
      </c>
      <c r="Q248" s="64"/>
    </row>
    <row r="249" spans="1:17" s="65" customFormat="1" ht="12.75">
      <c r="A249" s="799">
        <v>85148</v>
      </c>
      <c r="B249" s="795" t="s">
        <v>175</v>
      </c>
      <c r="C249" s="38" t="s">
        <v>13</v>
      </c>
      <c r="D249" s="59">
        <f>E249+M249</f>
        <v>3350000</v>
      </c>
      <c r="E249" s="60">
        <f>F249+I249+J249+K249+L249</f>
        <v>3350000</v>
      </c>
      <c r="F249" s="60">
        <f>G249+H249</f>
        <v>3350000</v>
      </c>
      <c r="G249" s="60">
        <v>0</v>
      </c>
      <c r="H249" s="60">
        <v>3350000</v>
      </c>
      <c r="I249" s="60">
        <v>0</v>
      </c>
      <c r="J249" s="60">
        <v>0</v>
      </c>
      <c r="K249" s="60">
        <v>0</v>
      </c>
      <c r="L249" s="60">
        <v>0</v>
      </c>
      <c r="M249" s="60">
        <f t="shared" si="103"/>
        <v>0</v>
      </c>
      <c r="N249" s="60">
        <v>0</v>
      </c>
      <c r="O249" s="60">
        <v>0</v>
      </c>
      <c r="P249" s="60">
        <v>0</v>
      </c>
      <c r="Q249" s="64"/>
    </row>
    <row r="250" spans="1:17" s="65" customFormat="1" ht="12.75">
      <c r="A250" s="799"/>
      <c r="B250" s="795"/>
      <c r="C250" s="38" t="s">
        <v>14</v>
      </c>
      <c r="D250" s="59">
        <f>E250+M250</f>
        <v>96637</v>
      </c>
      <c r="E250" s="60">
        <f>F250+I250+J250+K250+L250</f>
        <v>0</v>
      </c>
      <c r="F250" s="60">
        <f>G250+H250</f>
        <v>0</v>
      </c>
      <c r="G250" s="60"/>
      <c r="H250" s="60"/>
      <c r="I250" s="60"/>
      <c r="J250" s="60"/>
      <c r="K250" s="60"/>
      <c r="L250" s="60"/>
      <c r="M250" s="60">
        <f t="shared" si="103"/>
        <v>96637</v>
      </c>
      <c r="N250" s="60">
        <v>96637</v>
      </c>
      <c r="O250" s="60"/>
      <c r="P250" s="60"/>
      <c r="Q250" s="64"/>
    </row>
    <row r="251" spans="1:17" s="65" customFormat="1" ht="12.75">
      <c r="A251" s="799"/>
      <c r="B251" s="795"/>
      <c r="C251" s="38" t="s">
        <v>15</v>
      </c>
      <c r="D251" s="59">
        <f>D249+D250</f>
        <v>3446637</v>
      </c>
      <c r="E251" s="60">
        <f aca="true" t="shared" si="106" ref="E251:P251">E249+E250</f>
        <v>3350000</v>
      </c>
      <c r="F251" s="60">
        <f t="shared" si="106"/>
        <v>3350000</v>
      </c>
      <c r="G251" s="60">
        <f t="shared" si="106"/>
        <v>0</v>
      </c>
      <c r="H251" s="60">
        <f t="shared" si="106"/>
        <v>3350000</v>
      </c>
      <c r="I251" s="60">
        <f t="shared" si="106"/>
        <v>0</v>
      </c>
      <c r="J251" s="60">
        <f t="shared" si="106"/>
        <v>0</v>
      </c>
      <c r="K251" s="60">
        <f t="shared" si="106"/>
        <v>0</v>
      </c>
      <c r="L251" s="60">
        <f t="shared" si="106"/>
        <v>0</v>
      </c>
      <c r="M251" s="60">
        <f t="shared" si="106"/>
        <v>96637</v>
      </c>
      <c r="N251" s="60">
        <f t="shared" si="106"/>
        <v>96637</v>
      </c>
      <c r="O251" s="60">
        <f t="shared" si="106"/>
        <v>0</v>
      </c>
      <c r="P251" s="60">
        <f t="shared" si="106"/>
        <v>0</v>
      </c>
      <c r="Q251" s="64"/>
    </row>
    <row r="252" spans="1:17" s="65" customFormat="1" ht="12.75" hidden="1">
      <c r="A252" s="799">
        <v>85149</v>
      </c>
      <c r="B252" s="795" t="s">
        <v>176</v>
      </c>
      <c r="C252" s="38" t="s">
        <v>13</v>
      </c>
      <c r="D252" s="59">
        <f>E252+M252</f>
        <v>3727000</v>
      </c>
      <c r="E252" s="60">
        <f>F252+I252+J252+K252+L252</f>
        <v>3715000</v>
      </c>
      <c r="F252" s="60">
        <f>G252+H252</f>
        <v>75000</v>
      </c>
      <c r="G252" s="60">
        <v>1000</v>
      </c>
      <c r="H252" s="60">
        <f>2000+2000+70000</f>
        <v>74000</v>
      </c>
      <c r="I252" s="60">
        <v>975000</v>
      </c>
      <c r="J252" s="60">
        <v>0</v>
      </c>
      <c r="K252" s="60">
        <f>2665000</f>
        <v>2665000</v>
      </c>
      <c r="L252" s="60">
        <v>0</v>
      </c>
      <c r="M252" s="60">
        <f t="shared" si="103"/>
        <v>12000</v>
      </c>
      <c r="N252" s="60">
        <v>12000</v>
      </c>
      <c r="O252" s="60">
        <v>12000</v>
      </c>
      <c r="P252" s="60">
        <v>0</v>
      </c>
      <c r="Q252" s="64"/>
    </row>
    <row r="253" spans="1:17" s="65" customFormat="1" ht="12.75" hidden="1">
      <c r="A253" s="799"/>
      <c r="B253" s="795"/>
      <c r="C253" s="38" t="s">
        <v>14</v>
      </c>
      <c r="D253" s="59">
        <f>E253+M253</f>
        <v>0</v>
      </c>
      <c r="E253" s="60">
        <f>F253+I253+J253+K253+L253</f>
        <v>0</v>
      </c>
      <c r="F253" s="60">
        <f>G253+H253</f>
        <v>0</v>
      </c>
      <c r="G253" s="60"/>
      <c r="H253" s="60"/>
      <c r="I253" s="60"/>
      <c r="J253" s="60"/>
      <c r="K253" s="60"/>
      <c r="L253" s="60"/>
      <c r="M253" s="60">
        <f t="shared" si="103"/>
        <v>0</v>
      </c>
      <c r="N253" s="60"/>
      <c r="O253" s="60"/>
      <c r="P253" s="60"/>
      <c r="Q253" s="64"/>
    </row>
    <row r="254" spans="1:17" s="65" customFormat="1" ht="12.75" hidden="1">
      <c r="A254" s="799"/>
      <c r="B254" s="795"/>
      <c r="C254" s="38" t="s">
        <v>15</v>
      </c>
      <c r="D254" s="59">
        <f>D252+D253</f>
        <v>3727000</v>
      </c>
      <c r="E254" s="60">
        <f aca="true" t="shared" si="107" ref="E254:P254">E252+E253</f>
        <v>3715000</v>
      </c>
      <c r="F254" s="60">
        <f t="shared" si="107"/>
        <v>75000</v>
      </c>
      <c r="G254" s="60">
        <f t="shared" si="107"/>
        <v>1000</v>
      </c>
      <c r="H254" s="60">
        <f t="shared" si="107"/>
        <v>74000</v>
      </c>
      <c r="I254" s="60">
        <f t="shared" si="107"/>
        <v>975000</v>
      </c>
      <c r="J254" s="60">
        <f t="shared" si="107"/>
        <v>0</v>
      </c>
      <c r="K254" s="60">
        <f t="shared" si="107"/>
        <v>2665000</v>
      </c>
      <c r="L254" s="60">
        <f t="shared" si="107"/>
        <v>0</v>
      </c>
      <c r="M254" s="60">
        <f t="shared" si="107"/>
        <v>12000</v>
      </c>
      <c r="N254" s="60">
        <f t="shared" si="107"/>
        <v>12000</v>
      </c>
      <c r="O254" s="60">
        <f t="shared" si="107"/>
        <v>12000</v>
      </c>
      <c r="P254" s="60">
        <f t="shared" si="107"/>
        <v>0</v>
      </c>
      <c r="Q254" s="64"/>
    </row>
    <row r="255" spans="1:17" s="65" customFormat="1" ht="12.75" hidden="1">
      <c r="A255" s="799">
        <v>85153</v>
      </c>
      <c r="B255" s="795" t="s">
        <v>177</v>
      </c>
      <c r="C255" s="38" t="s">
        <v>13</v>
      </c>
      <c r="D255" s="59">
        <f>E255+M255</f>
        <v>480000</v>
      </c>
      <c r="E255" s="60">
        <f>F255+I255+J255+K255+L255</f>
        <v>480000</v>
      </c>
      <c r="F255" s="60">
        <f>G255+H255</f>
        <v>130000</v>
      </c>
      <c r="G255" s="60">
        <v>14000</v>
      </c>
      <c r="H255" s="60">
        <f>11000+7000+98000</f>
        <v>116000</v>
      </c>
      <c r="I255" s="60">
        <v>350000</v>
      </c>
      <c r="J255" s="60">
        <v>0</v>
      </c>
      <c r="K255" s="60">
        <v>0</v>
      </c>
      <c r="L255" s="60">
        <v>0</v>
      </c>
      <c r="M255" s="60">
        <f t="shared" si="103"/>
        <v>0</v>
      </c>
      <c r="N255" s="60">
        <v>0</v>
      </c>
      <c r="O255" s="60">
        <v>0</v>
      </c>
      <c r="P255" s="60">
        <v>0</v>
      </c>
      <c r="Q255" s="64"/>
    </row>
    <row r="256" spans="1:17" s="65" customFormat="1" ht="12.75" hidden="1">
      <c r="A256" s="799"/>
      <c r="B256" s="795"/>
      <c r="C256" s="38" t="s">
        <v>14</v>
      </c>
      <c r="D256" s="59">
        <f>E256+M256</f>
        <v>0</v>
      </c>
      <c r="E256" s="60">
        <f>F256+I256+J256+K256+L256</f>
        <v>0</v>
      </c>
      <c r="F256" s="60">
        <f>G256+H256</f>
        <v>0</v>
      </c>
      <c r="G256" s="60"/>
      <c r="H256" s="60"/>
      <c r="I256" s="60"/>
      <c r="J256" s="60"/>
      <c r="K256" s="60"/>
      <c r="L256" s="60"/>
      <c r="M256" s="60">
        <f t="shared" si="103"/>
        <v>0</v>
      </c>
      <c r="N256" s="60"/>
      <c r="O256" s="60"/>
      <c r="P256" s="60"/>
      <c r="Q256" s="64"/>
    </row>
    <row r="257" spans="1:17" s="65" customFormat="1" ht="12.75" hidden="1">
      <c r="A257" s="799"/>
      <c r="B257" s="795"/>
      <c r="C257" s="38" t="s">
        <v>15</v>
      </c>
      <c r="D257" s="59">
        <f>D255+D256</f>
        <v>480000</v>
      </c>
      <c r="E257" s="60">
        <f aca="true" t="shared" si="108" ref="E257:P257">E255+E256</f>
        <v>480000</v>
      </c>
      <c r="F257" s="60">
        <f t="shared" si="108"/>
        <v>130000</v>
      </c>
      <c r="G257" s="60">
        <f t="shared" si="108"/>
        <v>14000</v>
      </c>
      <c r="H257" s="60">
        <f t="shared" si="108"/>
        <v>116000</v>
      </c>
      <c r="I257" s="60">
        <f t="shared" si="108"/>
        <v>350000</v>
      </c>
      <c r="J257" s="60">
        <f t="shared" si="108"/>
        <v>0</v>
      </c>
      <c r="K257" s="60">
        <f t="shared" si="108"/>
        <v>0</v>
      </c>
      <c r="L257" s="60">
        <f t="shared" si="108"/>
        <v>0</v>
      </c>
      <c r="M257" s="60">
        <f t="shared" si="108"/>
        <v>0</v>
      </c>
      <c r="N257" s="60">
        <f t="shared" si="108"/>
        <v>0</v>
      </c>
      <c r="O257" s="60">
        <f t="shared" si="108"/>
        <v>0</v>
      </c>
      <c r="P257" s="60">
        <f t="shared" si="108"/>
        <v>0</v>
      </c>
      <c r="Q257" s="64"/>
    </row>
    <row r="258" spans="1:17" s="65" customFormat="1" ht="12.75" hidden="1">
      <c r="A258" s="799">
        <v>85154</v>
      </c>
      <c r="B258" s="795" t="s">
        <v>178</v>
      </c>
      <c r="C258" s="38" t="s">
        <v>13</v>
      </c>
      <c r="D258" s="59">
        <f>E258+M258</f>
        <v>2290000</v>
      </c>
      <c r="E258" s="60">
        <f>F258+I258+J258+K258+L258</f>
        <v>390000</v>
      </c>
      <c r="F258" s="60">
        <f>G258+H258</f>
        <v>30000</v>
      </c>
      <c r="G258" s="60">
        <v>6000</v>
      </c>
      <c r="H258" s="60">
        <v>24000</v>
      </c>
      <c r="I258" s="60">
        <v>360000</v>
      </c>
      <c r="J258" s="60">
        <v>0</v>
      </c>
      <c r="K258" s="60">
        <v>0</v>
      </c>
      <c r="L258" s="60">
        <v>0</v>
      </c>
      <c r="M258" s="60">
        <f t="shared" si="103"/>
        <v>1900000</v>
      </c>
      <c r="N258" s="60">
        <v>1900000</v>
      </c>
      <c r="O258" s="60">
        <v>0</v>
      </c>
      <c r="P258" s="60">
        <v>0</v>
      </c>
      <c r="Q258" s="64"/>
    </row>
    <row r="259" spans="1:17" s="65" customFormat="1" ht="12.75" hidden="1">
      <c r="A259" s="799"/>
      <c r="B259" s="795"/>
      <c r="C259" s="38" t="s">
        <v>14</v>
      </c>
      <c r="D259" s="59">
        <f>E259+M259</f>
        <v>0</v>
      </c>
      <c r="E259" s="60">
        <f>F259+I259+J259+K259+L259</f>
        <v>0</v>
      </c>
      <c r="F259" s="60">
        <f>G259+H259</f>
        <v>0</v>
      </c>
      <c r="G259" s="60"/>
      <c r="H259" s="60"/>
      <c r="I259" s="60"/>
      <c r="J259" s="60"/>
      <c r="K259" s="60"/>
      <c r="L259" s="60"/>
      <c r="M259" s="60">
        <f t="shared" si="103"/>
        <v>0</v>
      </c>
      <c r="N259" s="60"/>
      <c r="O259" s="60"/>
      <c r="P259" s="60"/>
      <c r="Q259" s="64"/>
    </row>
    <row r="260" spans="1:17" s="65" customFormat="1" ht="12.75" hidden="1">
      <c r="A260" s="799"/>
      <c r="B260" s="795"/>
      <c r="C260" s="38" t="s">
        <v>15</v>
      </c>
      <c r="D260" s="59">
        <f>D258+D259</f>
        <v>2290000</v>
      </c>
      <c r="E260" s="60">
        <f aca="true" t="shared" si="109" ref="E260:P260">E258+E259</f>
        <v>390000</v>
      </c>
      <c r="F260" s="60">
        <f t="shared" si="109"/>
        <v>30000</v>
      </c>
      <c r="G260" s="60">
        <f t="shared" si="109"/>
        <v>6000</v>
      </c>
      <c r="H260" s="60">
        <f t="shared" si="109"/>
        <v>24000</v>
      </c>
      <c r="I260" s="60">
        <f t="shared" si="109"/>
        <v>360000</v>
      </c>
      <c r="J260" s="60">
        <f t="shared" si="109"/>
        <v>0</v>
      </c>
      <c r="K260" s="60">
        <f t="shared" si="109"/>
        <v>0</v>
      </c>
      <c r="L260" s="60">
        <f t="shared" si="109"/>
        <v>0</v>
      </c>
      <c r="M260" s="60">
        <f t="shared" si="109"/>
        <v>1900000</v>
      </c>
      <c r="N260" s="60">
        <f t="shared" si="109"/>
        <v>1900000</v>
      </c>
      <c r="O260" s="60">
        <f t="shared" si="109"/>
        <v>0</v>
      </c>
      <c r="P260" s="60">
        <f t="shared" si="109"/>
        <v>0</v>
      </c>
      <c r="Q260" s="64"/>
    </row>
    <row r="261" spans="1:17" s="35" customFormat="1" ht="12.75" hidden="1">
      <c r="A261" s="799">
        <v>85156</v>
      </c>
      <c r="B261" s="795" t="s">
        <v>61</v>
      </c>
      <c r="C261" s="38" t="s">
        <v>13</v>
      </c>
      <c r="D261" s="59">
        <f>E261+M261</f>
        <v>16000</v>
      </c>
      <c r="E261" s="60">
        <f>F261+I261+J261+K261+L261</f>
        <v>16000</v>
      </c>
      <c r="F261" s="60">
        <f>G261+H261</f>
        <v>16000</v>
      </c>
      <c r="G261" s="60">
        <v>0</v>
      </c>
      <c r="H261" s="60">
        <v>16000</v>
      </c>
      <c r="I261" s="60">
        <v>0</v>
      </c>
      <c r="J261" s="60">
        <v>0</v>
      </c>
      <c r="K261" s="60">
        <v>0</v>
      </c>
      <c r="L261" s="60">
        <v>0</v>
      </c>
      <c r="M261" s="60">
        <f t="shared" si="103"/>
        <v>0</v>
      </c>
      <c r="N261" s="60">
        <v>0</v>
      </c>
      <c r="O261" s="60">
        <v>0</v>
      </c>
      <c r="P261" s="60">
        <v>0</v>
      </c>
      <c r="Q261" s="45"/>
    </row>
    <row r="262" spans="1:17" s="35" customFormat="1" ht="12.75" hidden="1">
      <c r="A262" s="799"/>
      <c r="B262" s="795"/>
      <c r="C262" s="38" t="s">
        <v>14</v>
      </c>
      <c r="D262" s="59">
        <f>E262+M262</f>
        <v>0</v>
      </c>
      <c r="E262" s="60">
        <f>F262+I262+J262+K262+L262</f>
        <v>0</v>
      </c>
      <c r="F262" s="60">
        <f>G262+H262</f>
        <v>0</v>
      </c>
      <c r="G262" s="60"/>
      <c r="H262" s="60"/>
      <c r="I262" s="60"/>
      <c r="J262" s="60"/>
      <c r="K262" s="60"/>
      <c r="L262" s="60"/>
      <c r="M262" s="60">
        <f t="shared" si="103"/>
        <v>0</v>
      </c>
      <c r="N262" s="60"/>
      <c r="O262" s="60"/>
      <c r="P262" s="60"/>
      <c r="Q262" s="45"/>
    </row>
    <row r="263" spans="1:17" s="35" customFormat="1" ht="12.75" hidden="1">
      <c r="A263" s="799"/>
      <c r="B263" s="795"/>
      <c r="C263" s="38" t="s">
        <v>15</v>
      </c>
      <c r="D263" s="59">
        <f>D261+D262</f>
        <v>16000</v>
      </c>
      <c r="E263" s="60">
        <f aca="true" t="shared" si="110" ref="E263:P263">E261+E262</f>
        <v>16000</v>
      </c>
      <c r="F263" s="60">
        <f t="shared" si="110"/>
        <v>16000</v>
      </c>
      <c r="G263" s="60">
        <f t="shared" si="110"/>
        <v>0</v>
      </c>
      <c r="H263" s="60">
        <f t="shared" si="110"/>
        <v>16000</v>
      </c>
      <c r="I263" s="60">
        <f t="shared" si="110"/>
        <v>0</v>
      </c>
      <c r="J263" s="60">
        <f t="shared" si="110"/>
        <v>0</v>
      </c>
      <c r="K263" s="60">
        <f t="shared" si="110"/>
        <v>0</v>
      </c>
      <c r="L263" s="60">
        <f t="shared" si="110"/>
        <v>0</v>
      </c>
      <c r="M263" s="60">
        <f t="shared" si="110"/>
        <v>0</v>
      </c>
      <c r="N263" s="60">
        <f t="shared" si="110"/>
        <v>0</v>
      </c>
      <c r="O263" s="60">
        <f t="shared" si="110"/>
        <v>0</v>
      </c>
      <c r="P263" s="60">
        <f t="shared" si="110"/>
        <v>0</v>
      </c>
      <c r="Q263" s="45"/>
    </row>
    <row r="264" spans="1:17" s="65" customFormat="1" ht="12.75">
      <c r="A264" s="799">
        <v>85157</v>
      </c>
      <c r="B264" s="795" t="s">
        <v>362</v>
      </c>
      <c r="C264" s="38" t="s">
        <v>13</v>
      </c>
      <c r="D264" s="59">
        <f>E264+M264</f>
        <v>0</v>
      </c>
      <c r="E264" s="60">
        <f>F264+I264+J264+K264+L264</f>
        <v>0</v>
      </c>
      <c r="F264" s="60">
        <f>G264+H264</f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f>N264+P264</f>
        <v>0</v>
      </c>
      <c r="N264" s="60">
        <v>0</v>
      </c>
      <c r="O264" s="60">
        <v>0</v>
      </c>
      <c r="P264" s="60">
        <v>0</v>
      </c>
      <c r="Q264" s="64"/>
    </row>
    <row r="265" spans="1:17" s="65" customFormat="1" ht="12.75">
      <c r="A265" s="799"/>
      <c r="B265" s="795"/>
      <c r="C265" s="38" t="s">
        <v>14</v>
      </c>
      <c r="D265" s="59">
        <f>E265+M265</f>
        <v>16359</v>
      </c>
      <c r="E265" s="60">
        <f>F265+I265+J265+K265+L265</f>
        <v>16359</v>
      </c>
      <c r="F265" s="60">
        <f>G265+H265</f>
        <v>16359</v>
      </c>
      <c r="G265" s="60"/>
      <c r="H265" s="60">
        <v>16359</v>
      </c>
      <c r="I265" s="60"/>
      <c r="J265" s="60"/>
      <c r="K265" s="60"/>
      <c r="L265" s="60"/>
      <c r="M265" s="60">
        <f>N265+P265</f>
        <v>0</v>
      </c>
      <c r="N265" s="60"/>
      <c r="O265" s="60"/>
      <c r="P265" s="60"/>
      <c r="Q265" s="64"/>
    </row>
    <row r="266" spans="1:17" s="65" customFormat="1" ht="12.75">
      <c r="A266" s="799"/>
      <c r="B266" s="795"/>
      <c r="C266" s="38" t="s">
        <v>15</v>
      </c>
      <c r="D266" s="59">
        <f>D264+D265</f>
        <v>16359</v>
      </c>
      <c r="E266" s="60">
        <f aca="true" t="shared" si="111" ref="E266:P266">E264+E265</f>
        <v>16359</v>
      </c>
      <c r="F266" s="60">
        <f t="shared" si="111"/>
        <v>16359</v>
      </c>
      <c r="G266" s="60">
        <f t="shared" si="111"/>
        <v>0</v>
      </c>
      <c r="H266" s="60">
        <f t="shared" si="111"/>
        <v>16359</v>
      </c>
      <c r="I266" s="60">
        <f t="shared" si="111"/>
        <v>0</v>
      </c>
      <c r="J266" s="60">
        <f t="shared" si="111"/>
        <v>0</v>
      </c>
      <c r="K266" s="60">
        <f t="shared" si="111"/>
        <v>0</v>
      </c>
      <c r="L266" s="60">
        <f t="shared" si="111"/>
        <v>0</v>
      </c>
      <c r="M266" s="60">
        <f t="shared" si="111"/>
        <v>0</v>
      </c>
      <c r="N266" s="60">
        <f t="shared" si="111"/>
        <v>0</v>
      </c>
      <c r="O266" s="60">
        <f t="shared" si="111"/>
        <v>0</v>
      </c>
      <c r="P266" s="60">
        <f t="shared" si="111"/>
        <v>0</v>
      </c>
      <c r="Q266" s="64"/>
    </row>
    <row r="267" spans="1:17" s="65" customFormat="1" ht="12.75">
      <c r="A267" s="799">
        <v>85195</v>
      </c>
      <c r="B267" s="795" t="s">
        <v>52</v>
      </c>
      <c r="C267" s="38" t="s">
        <v>13</v>
      </c>
      <c r="D267" s="59">
        <f>E267+M267</f>
        <v>24596302</v>
      </c>
      <c r="E267" s="60">
        <f>F267+I267+J267+K267+L267</f>
        <v>1546802</v>
      </c>
      <c r="F267" s="60">
        <f>G267+H267</f>
        <v>12000</v>
      </c>
      <c r="G267" s="60">
        <v>0</v>
      </c>
      <c r="H267" s="60">
        <f>12000</f>
        <v>12000</v>
      </c>
      <c r="I267" s="60">
        <v>0</v>
      </c>
      <c r="J267" s="60">
        <v>0</v>
      </c>
      <c r="K267" s="60">
        <f>966000+18000+65148+11081+11199+1905+1595+272+10256+794+382334+65718+464+36</f>
        <v>1534802</v>
      </c>
      <c r="L267" s="60">
        <v>0</v>
      </c>
      <c r="M267" s="60">
        <f t="shared" si="103"/>
        <v>23049500</v>
      </c>
      <c r="N267" s="60">
        <v>87000</v>
      </c>
      <c r="O267" s="60">
        <v>87000</v>
      </c>
      <c r="P267" s="60">
        <v>22962500</v>
      </c>
      <c r="Q267" s="64"/>
    </row>
    <row r="268" spans="1:17" s="65" customFormat="1" ht="12.75">
      <c r="A268" s="799"/>
      <c r="B268" s="795"/>
      <c r="C268" s="38" t="s">
        <v>14</v>
      </c>
      <c r="D268" s="59">
        <f>E268+M268</f>
        <v>5668</v>
      </c>
      <c r="E268" s="60">
        <f>F268+I268+J268+K268+L268</f>
        <v>5668</v>
      </c>
      <c r="F268" s="60">
        <f>G268+H268</f>
        <v>0</v>
      </c>
      <c r="G268" s="60"/>
      <c r="H268" s="60"/>
      <c r="I268" s="60"/>
      <c r="J268" s="60"/>
      <c r="K268" s="60">
        <f>5936-268</f>
        <v>5668</v>
      </c>
      <c r="L268" s="60"/>
      <c r="M268" s="60">
        <f t="shared" si="103"/>
        <v>0</v>
      </c>
      <c r="N268" s="60"/>
      <c r="O268" s="60"/>
      <c r="P268" s="60"/>
      <c r="Q268" s="64"/>
    </row>
    <row r="269" spans="1:17" s="65" customFormat="1" ht="12.75">
      <c r="A269" s="799"/>
      <c r="B269" s="795"/>
      <c r="C269" s="38" t="s">
        <v>15</v>
      </c>
      <c r="D269" s="59">
        <f>D267+D268</f>
        <v>24601970</v>
      </c>
      <c r="E269" s="60">
        <f aca="true" t="shared" si="112" ref="E269:P269">E267+E268</f>
        <v>1552470</v>
      </c>
      <c r="F269" s="60">
        <f t="shared" si="112"/>
        <v>12000</v>
      </c>
      <c r="G269" s="60">
        <f t="shared" si="112"/>
        <v>0</v>
      </c>
      <c r="H269" s="60">
        <f t="shared" si="112"/>
        <v>12000</v>
      </c>
      <c r="I269" s="60">
        <f t="shared" si="112"/>
        <v>0</v>
      </c>
      <c r="J269" s="60">
        <f t="shared" si="112"/>
        <v>0</v>
      </c>
      <c r="K269" s="60">
        <f t="shared" si="112"/>
        <v>1540470</v>
      </c>
      <c r="L269" s="60">
        <f t="shared" si="112"/>
        <v>0</v>
      </c>
      <c r="M269" s="60">
        <f t="shared" si="112"/>
        <v>23049500</v>
      </c>
      <c r="N269" s="60">
        <f t="shared" si="112"/>
        <v>87000</v>
      </c>
      <c r="O269" s="60">
        <f t="shared" si="112"/>
        <v>87000</v>
      </c>
      <c r="P269" s="60">
        <f t="shared" si="112"/>
        <v>22962500</v>
      </c>
      <c r="Q269" s="64"/>
    </row>
    <row r="270" spans="1:17" s="40" customFormat="1" ht="16.5" customHeight="1">
      <c r="A270" s="800">
        <v>852</v>
      </c>
      <c r="B270" s="801" t="s">
        <v>36</v>
      </c>
      <c r="C270" s="37" t="s">
        <v>13</v>
      </c>
      <c r="D270" s="57">
        <f aca="true" t="shared" si="113" ref="D270:P271">D273+D276+D279+D285+D282</f>
        <v>30291317</v>
      </c>
      <c r="E270" s="58">
        <f t="shared" si="113"/>
        <v>29939764</v>
      </c>
      <c r="F270" s="58">
        <f t="shared" si="113"/>
        <v>3204477</v>
      </c>
      <c r="G270" s="58">
        <f t="shared" si="113"/>
        <v>2315591</v>
      </c>
      <c r="H270" s="58">
        <f t="shared" si="113"/>
        <v>888886</v>
      </c>
      <c r="I270" s="58">
        <f t="shared" si="113"/>
        <v>870000</v>
      </c>
      <c r="J270" s="58">
        <f t="shared" si="113"/>
        <v>48300</v>
      </c>
      <c r="K270" s="58">
        <f t="shared" si="113"/>
        <v>25816987</v>
      </c>
      <c r="L270" s="58">
        <f t="shared" si="113"/>
        <v>0</v>
      </c>
      <c r="M270" s="58">
        <f t="shared" si="113"/>
        <v>351553</v>
      </c>
      <c r="N270" s="58">
        <f t="shared" si="113"/>
        <v>351553</v>
      </c>
      <c r="O270" s="58">
        <f t="shared" si="113"/>
        <v>278000</v>
      </c>
      <c r="P270" s="58">
        <f t="shared" si="113"/>
        <v>0</v>
      </c>
      <c r="Q270" s="47"/>
    </row>
    <row r="271" spans="1:17" s="40" customFormat="1" ht="16.5" customHeight="1">
      <c r="A271" s="800"/>
      <c r="B271" s="801"/>
      <c r="C271" s="37" t="s">
        <v>14</v>
      </c>
      <c r="D271" s="57">
        <f t="shared" si="113"/>
        <v>-2696304</v>
      </c>
      <c r="E271" s="58">
        <f t="shared" si="113"/>
        <v>-2696304</v>
      </c>
      <c r="F271" s="58">
        <f t="shared" si="113"/>
        <v>-176000</v>
      </c>
      <c r="G271" s="58">
        <f t="shared" si="113"/>
        <v>-2000</v>
      </c>
      <c r="H271" s="58">
        <f t="shared" si="113"/>
        <v>-174000</v>
      </c>
      <c r="I271" s="58">
        <f t="shared" si="113"/>
        <v>-800000</v>
      </c>
      <c r="J271" s="58">
        <f t="shared" si="113"/>
        <v>0</v>
      </c>
      <c r="K271" s="58">
        <f t="shared" si="113"/>
        <v>-1720304</v>
      </c>
      <c r="L271" s="58">
        <f t="shared" si="113"/>
        <v>0</v>
      </c>
      <c r="M271" s="58">
        <f t="shared" si="113"/>
        <v>0</v>
      </c>
      <c r="N271" s="58">
        <f t="shared" si="113"/>
        <v>0</v>
      </c>
      <c r="O271" s="58">
        <f t="shared" si="113"/>
        <v>0</v>
      </c>
      <c r="P271" s="58">
        <f t="shared" si="113"/>
        <v>0</v>
      </c>
      <c r="Q271" s="47"/>
    </row>
    <row r="272" spans="1:17" s="40" customFormat="1" ht="16.5" customHeight="1">
      <c r="A272" s="800"/>
      <c r="B272" s="801"/>
      <c r="C272" s="37" t="s">
        <v>15</v>
      </c>
      <c r="D272" s="70">
        <f>D270+D271</f>
        <v>27595013</v>
      </c>
      <c r="E272" s="58">
        <f aca="true" t="shared" si="114" ref="E272:P272">E270+E271</f>
        <v>27243460</v>
      </c>
      <c r="F272" s="58">
        <f t="shared" si="114"/>
        <v>3028477</v>
      </c>
      <c r="G272" s="58">
        <f t="shared" si="114"/>
        <v>2313591</v>
      </c>
      <c r="H272" s="58">
        <f t="shared" si="114"/>
        <v>714886</v>
      </c>
      <c r="I272" s="58">
        <f t="shared" si="114"/>
        <v>70000</v>
      </c>
      <c r="J272" s="58">
        <f t="shared" si="114"/>
        <v>48300</v>
      </c>
      <c r="K272" s="58">
        <f t="shared" si="114"/>
        <v>24096683</v>
      </c>
      <c r="L272" s="58">
        <f t="shared" si="114"/>
        <v>0</v>
      </c>
      <c r="M272" s="58">
        <f t="shared" si="114"/>
        <v>351553</v>
      </c>
      <c r="N272" s="58">
        <f t="shared" si="114"/>
        <v>351553</v>
      </c>
      <c r="O272" s="58">
        <f t="shared" si="114"/>
        <v>278000</v>
      </c>
      <c r="P272" s="58">
        <f t="shared" si="114"/>
        <v>0</v>
      </c>
      <c r="Q272" s="47"/>
    </row>
    <row r="273" spans="1:17" s="65" customFormat="1" ht="12.75" hidden="1">
      <c r="A273" s="799">
        <v>85203</v>
      </c>
      <c r="B273" s="795" t="s">
        <v>179</v>
      </c>
      <c r="C273" s="38" t="s">
        <v>13</v>
      </c>
      <c r="D273" s="59">
        <f>E273+M273</f>
        <v>2030000</v>
      </c>
      <c r="E273" s="60">
        <f>F273+I273+J273+K273+L273</f>
        <v>1950000</v>
      </c>
      <c r="F273" s="60">
        <f>G273+H273</f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1950000</v>
      </c>
      <c r="L273" s="60">
        <v>0</v>
      </c>
      <c r="M273" s="60">
        <f>N273+P273</f>
        <v>80000</v>
      </c>
      <c r="N273" s="60">
        <v>80000</v>
      </c>
      <c r="O273" s="60">
        <v>80000</v>
      </c>
      <c r="P273" s="60">
        <v>0</v>
      </c>
      <c r="Q273" s="64"/>
    </row>
    <row r="274" spans="1:17" s="65" customFormat="1" ht="12.75" hidden="1">
      <c r="A274" s="799"/>
      <c r="B274" s="795"/>
      <c r="C274" s="38" t="s">
        <v>14</v>
      </c>
      <c r="D274" s="59">
        <f>E274+M274</f>
        <v>0</v>
      </c>
      <c r="E274" s="60">
        <f>F274+I274+J274+K274+L274</f>
        <v>0</v>
      </c>
      <c r="F274" s="60">
        <f>G274+H274</f>
        <v>0</v>
      </c>
      <c r="G274" s="60"/>
      <c r="H274" s="60"/>
      <c r="I274" s="60"/>
      <c r="J274" s="60"/>
      <c r="K274" s="60"/>
      <c r="L274" s="60"/>
      <c r="M274" s="60">
        <f>N274+P274</f>
        <v>0</v>
      </c>
      <c r="N274" s="60"/>
      <c r="O274" s="60"/>
      <c r="P274" s="60"/>
      <c r="Q274" s="64"/>
    </row>
    <row r="275" spans="1:17" s="65" customFormat="1" ht="12.75" hidden="1">
      <c r="A275" s="799"/>
      <c r="B275" s="795"/>
      <c r="C275" s="38" t="s">
        <v>15</v>
      </c>
      <c r="D275" s="59">
        <f>D273+D274</f>
        <v>2030000</v>
      </c>
      <c r="E275" s="60">
        <f aca="true" t="shared" si="115" ref="E275:P275">E273+E274</f>
        <v>1950000</v>
      </c>
      <c r="F275" s="60">
        <f t="shared" si="115"/>
        <v>0</v>
      </c>
      <c r="G275" s="60">
        <f t="shared" si="115"/>
        <v>0</v>
      </c>
      <c r="H275" s="60">
        <f t="shared" si="115"/>
        <v>0</v>
      </c>
      <c r="I275" s="60">
        <f t="shared" si="115"/>
        <v>0</v>
      </c>
      <c r="J275" s="60">
        <f t="shared" si="115"/>
        <v>0</v>
      </c>
      <c r="K275" s="60">
        <f t="shared" si="115"/>
        <v>1950000</v>
      </c>
      <c r="L275" s="60">
        <f t="shared" si="115"/>
        <v>0</v>
      </c>
      <c r="M275" s="60">
        <f t="shared" si="115"/>
        <v>80000</v>
      </c>
      <c r="N275" s="60">
        <f t="shared" si="115"/>
        <v>80000</v>
      </c>
      <c r="O275" s="60">
        <f t="shared" si="115"/>
        <v>80000</v>
      </c>
      <c r="P275" s="60">
        <f t="shared" si="115"/>
        <v>0</v>
      </c>
      <c r="Q275" s="64"/>
    </row>
    <row r="276" spans="1:17" s="35" customFormat="1" ht="12.75" hidden="1">
      <c r="A276" s="799">
        <v>85205</v>
      </c>
      <c r="B276" s="795" t="s">
        <v>180</v>
      </c>
      <c r="C276" s="38" t="s">
        <v>13</v>
      </c>
      <c r="D276" s="59">
        <f>E276+M276</f>
        <v>504000</v>
      </c>
      <c r="E276" s="60">
        <f>F276+I276+J276+K276+L276</f>
        <v>504000</v>
      </c>
      <c r="F276" s="60">
        <f>G276+H276</f>
        <v>434000</v>
      </c>
      <c r="G276" s="60">
        <v>199400</v>
      </c>
      <c r="H276" s="60">
        <f>4000+1000+224600+5000</f>
        <v>234600</v>
      </c>
      <c r="I276" s="60">
        <v>70000</v>
      </c>
      <c r="J276" s="60">
        <v>0</v>
      </c>
      <c r="K276" s="60">
        <v>0</v>
      </c>
      <c r="L276" s="60">
        <v>0</v>
      </c>
      <c r="M276" s="60">
        <f>N276+P276</f>
        <v>0</v>
      </c>
      <c r="N276" s="60">
        <v>0</v>
      </c>
      <c r="O276" s="60">
        <v>0</v>
      </c>
      <c r="P276" s="60">
        <v>0</v>
      </c>
      <c r="Q276" s="45"/>
    </row>
    <row r="277" spans="1:17" s="35" customFormat="1" ht="12.75" hidden="1">
      <c r="A277" s="799"/>
      <c r="B277" s="795"/>
      <c r="C277" s="38" t="s">
        <v>14</v>
      </c>
      <c r="D277" s="59">
        <f>E277+M277</f>
        <v>0</v>
      </c>
      <c r="E277" s="60">
        <f>F277+I277+J277+K277+L277</f>
        <v>0</v>
      </c>
      <c r="F277" s="60">
        <f>G277+H277</f>
        <v>0</v>
      </c>
      <c r="G277" s="60"/>
      <c r="H277" s="60"/>
      <c r="I277" s="60"/>
      <c r="J277" s="60"/>
      <c r="K277" s="60"/>
      <c r="L277" s="60"/>
      <c r="M277" s="60">
        <f>N277+P277</f>
        <v>0</v>
      </c>
      <c r="N277" s="60"/>
      <c r="O277" s="60"/>
      <c r="P277" s="60"/>
      <c r="Q277" s="45"/>
    </row>
    <row r="278" spans="1:17" s="35" customFormat="1" ht="12.75" hidden="1">
      <c r="A278" s="799"/>
      <c r="B278" s="795"/>
      <c r="C278" s="38" t="s">
        <v>15</v>
      </c>
      <c r="D278" s="59">
        <f>D276+D277</f>
        <v>504000</v>
      </c>
      <c r="E278" s="60">
        <f aca="true" t="shared" si="116" ref="E278:P278">E276+E277</f>
        <v>504000</v>
      </c>
      <c r="F278" s="60">
        <f t="shared" si="116"/>
        <v>434000</v>
      </c>
      <c r="G278" s="60">
        <f t="shared" si="116"/>
        <v>199400</v>
      </c>
      <c r="H278" s="60">
        <f t="shared" si="116"/>
        <v>234600</v>
      </c>
      <c r="I278" s="60">
        <f t="shared" si="116"/>
        <v>70000</v>
      </c>
      <c r="J278" s="60">
        <f t="shared" si="116"/>
        <v>0</v>
      </c>
      <c r="K278" s="60">
        <f t="shared" si="116"/>
        <v>0</v>
      </c>
      <c r="L278" s="60">
        <f t="shared" si="116"/>
        <v>0</v>
      </c>
      <c r="M278" s="60">
        <f t="shared" si="116"/>
        <v>0</v>
      </c>
      <c r="N278" s="60">
        <f t="shared" si="116"/>
        <v>0</v>
      </c>
      <c r="O278" s="60">
        <f t="shared" si="116"/>
        <v>0</v>
      </c>
      <c r="P278" s="60">
        <f t="shared" si="116"/>
        <v>0</v>
      </c>
      <c r="Q278" s="45"/>
    </row>
    <row r="279" spans="1:17" s="65" customFormat="1" ht="12.75" hidden="1">
      <c r="A279" s="799">
        <v>85217</v>
      </c>
      <c r="B279" s="795" t="s">
        <v>181</v>
      </c>
      <c r="C279" s="38" t="s">
        <v>13</v>
      </c>
      <c r="D279" s="59">
        <f>E279+M279</f>
        <v>2656330</v>
      </c>
      <c r="E279" s="60">
        <f>F279+I279+J279+K279+L279</f>
        <v>2582777</v>
      </c>
      <c r="F279" s="60">
        <f>G279+H279</f>
        <v>2579477</v>
      </c>
      <c r="G279" s="60">
        <v>2114191</v>
      </c>
      <c r="H279" s="60">
        <f>58502+45000+1000+56400+24500+3710+144460+18300+8000+3100+62752+8500+300+25762+5000</f>
        <v>465286</v>
      </c>
      <c r="I279" s="60">
        <v>0</v>
      </c>
      <c r="J279" s="60">
        <v>3300</v>
      </c>
      <c r="K279" s="60">
        <v>0</v>
      </c>
      <c r="L279" s="60">
        <v>0</v>
      </c>
      <c r="M279" s="60">
        <f>N279+P279</f>
        <v>73553</v>
      </c>
      <c r="N279" s="60">
        <v>73553</v>
      </c>
      <c r="O279" s="60">
        <v>0</v>
      </c>
      <c r="P279" s="60">
        <v>0</v>
      </c>
      <c r="Q279" s="64"/>
    </row>
    <row r="280" spans="1:17" s="65" customFormat="1" ht="12.75" hidden="1">
      <c r="A280" s="799"/>
      <c r="B280" s="795"/>
      <c r="C280" s="38" t="s">
        <v>14</v>
      </c>
      <c r="D280" s="59">
        <f>E280+M280</f>
        <v>0</v>
      </c>
      <c r="E280" s="60">
        <f>F280+I280+J280+K280+L280</f>
        <v>0</v>
      </c>
      <c r="F280" s="60">
        <f>G280+H280</f>
        <v>0</v>
      </c>
      <c r="G280" s="60"/>
      <c r="H280" s="60"/>
      <c r="I280" s="60"/>
      <c r="J280" s="60"/>
      <c r="K280" s="60"/>
      <c r="L280" s="60"/>
      <c r="M280" s="60">
        <f>N280+P280</f>
        <v>0</v>
      </c>
      <c r="N280" s="60"/>
      <c r="O280" s="60"/>
      <c r="P280" s="60"/>
      <c r="Q280" s="64"/>
    </row>
    <row r="281" spans="1:17" s="65" customFormat="1" ht="12.75" hidden="1">
      <c r="A281" s="799"/>
      <c r="B281" s="795"/>
      <c r="C281" s="38" t="s">
        <v>15</v>
      </c>
      <c r="D281" s="59">
        <f>D279+D280</f>
        <v>2656330</v>
      </c>
      <c r="E281" s="60">
        <f aca="true" t="shared" si="117" ref="E281:P281">E279+E280</f>
        <v>2582777</v>
      </c>
      <c r="F281" s="60">
        <f t="shared" si="117"/>
        <v>2579477</v>
      </c>
      <c r="G281" s="60">
        <f t="shared" si="117"/>
        <v>2114191</v>
      </c>
      <c r="H281" s="60">
        <f t="shared" si="117"/>
        <v>465286</v>
      </c>
      <c r="I281" s="60">
        <f t="shared" si="117"/>
        <v>0</v>
      </c>
      <c r="J281" s="60">
        <f t="shared" si="117"/>
        <v>3300</v>
      </c>
      <c r="K281" s="60">
        <f t="shared" si="117"/>
        <v>0</v>
      </c>
      <c r="L281" s="60">
        <f t="shared" si="117"/>
        <v>0</v>
      </c>
      <c r="M281" s="60">
        <f t="shared" si="117"/>
        <v>73553</v>
      </c>
      <c r="N281" s="60">
        <f t="shared" si="117"/>
        <v>73553</v>
      </c>
      <c r="O281" s="60">
        <f t="shared" si="117"/>
        <v>0</v>
      </c>
      <c r="P281" s="60">
        <f t="shared" si="117"/>
        <v>0</v>
      </c>
      <c r="Q281" s="64"/>
    </row>
    <row r="282" spans="1:17" s="35" customFormat="1" ht="12.75" hidden="1">
      <c r="A282" s="799">
        <v>85228</v>
      </c>
      <c r="B282" s="795" t="s">
        <v>182</v>
      </c>
      <c r="C282" s="38" t="s">
        <v>13</v>
      </c>
      <c r="D282" s="59">
        <f>E282+M282</f>
        <v>242000</v>
      </c>
      <c r="E282" s="60">
        <f>F282+I282+J282+K282+L282</f>
        <v>239000</v>
      </c>
      <c r="F282" s="60">
        <f>G282+H282</f>
        <v>0</v>
      </c>
      <c r="G282" s="60">
        <v>0</v>
      </c>
      <c r="H282" s="60">
        <v>0</v>
      </c>
      <c r="I282" s="60">
        <v>0</v>
      </c>
      <c r="J282" s="60">
        <v>0</v>
      </c>
      <c r="K282" s="60">
        <f>44000+195000</f>
        <v>239000</v>
      </c>
      <c r="L282" s="60">
        <v>0</v>
      </c>
      <c r="M282" s="60">
        <f>N282+P282</f>
        <v>3000</v>
      </c>
      <c r="N282" s="60">
        <v>3000</v>
      </c>
      <c r="O282" s="60">
        <v>3000</v>
      </c>
      <c r="P282" s="60">
        <v>0</v>
      </c>
      <c r="Q282" s="45"/>
    </row>
    <row r="283" spans="1:17" s="35" customFormat="1" ht="12.75" hidden="1">
      <c r="A283" s="799"/>
      <c r="B283" s="795"/>
      <c r="C283" s="38" t="s">
        <v>14</v>
      </c>
      <c r="D283" s="59">
        <f>E283+M283</f>
        <v>0</v>
      </c>
      <c r="E283" s="60">
        <f>F283+I283+J283+K283+L283</f>
        <v>0</v>
      </c>
      <c r="F283" s="60">
        <f>G283+H283</f>
        <v>0</v>
      </c>
      <c r="G283" s="60"/>
      <c r="H283" s="60"/>
      <c r="I283" s="60"/>
      <c r="J283" s="60"/>
      <c r="K283" s="60"/>
      <c r="L283" s="60"/>
      <c r="M283" s="60">
        <f>N283+P283</f>
        <v>0</v>
      </c>
      <c r="N283" s="60"/>
      <c r="O283" s="60"/>
      <c r="P283" s="60"/>
      <c r="Q283" s="45"/>
    </row>
    <row r="284" spans="1:17" s="35" customFormat="1" ht="12.75" hidden="1">
      <c r="A284" s="799"/>
      <c r="B284" s="795"/>
      <c r="C284" s="38" t="s">
        <v>15</v>
      </c>
      <c r="D284" s="59">
        <f>D282+D283</f>
        <v>242000</v>
      </c>
      <c r="E284" s="60">
        <f aca="true" t="shared" si="118" ref="E284:P284">E282+E283</f>
        <v>239000</v>
      </c>
      <c r="F284" s="60">
        <f t="shared" si="118"/>
        <v>0</v>
      </c>
      <c r="G284" s="60">
        <f t="shared" si="118"/>
        <v>0</v>
      </c>
      <c r="H284" s="60">
        <f t="shared" si="118"/>
        <v>0</v>
      </c>
      <c r="I284" s="60">
        <f t="shared" si="118"/>
        <v>0</v>
      </c>
      <c r="J284" s="60">
        <f t="shared" si="118"/>
        <v>0</v>
      </c>
      <c r="K284" s="60">
        <f t="shared" si="118"/>
        <v>239000</v>
      </c>
      <c r="L284" s="60">
        <f t="shared" si="118"/>
        <v>0</v>
      </c>
      <c r="M284" s="60">
        <f t="shared" si="118"/>
        <v>3000</v>
      </c>
      <c r="N284" s="60">
        <f t="shared" si="118"/>
        <v>3000</v>
      </c>
      <c r="O284" s="60">
        <f t="shared" si="118"/>
        <v>3000</v>
      </c>
      <c r="P284" s="60">
        <f t="shared" si="118"/>
        <v>0</v>
      </c>
      <c r="Q284" s="45"/>
    </row>
    <row r="285" spans="1:17" s="65" customFormat="1" ht="12.75">
      <c r="A285" s="799">
        <v>85295</v>
      </c>
      <c r="B285" s="795" t="s">
        <v>52</v>
      </c>
      <c r="C285" s="38" t="s">
        <v>13</v>
      </c>
      <c r="D285" s="59">
        <f>E285+M285</f>
        <v>24858987</v>
      </c>
      <c r="E285" s="68">
        <f>F285+I285+J285+K285+L285</f>
        <v>24663987</v>
      </c>
      <c r="F285" s="68">
        <f>G285+H285</f>
        <v>191000</v>
      </c>
      <c r="G285" s="68">
        <v>2000</v>
      </c>
      <c r="H285" s="60">
        <v>189000</v>
      </c>
      <c r="I285" s="60">
        <v>800000</v>
      </c>
      <c r="J285" s="60">
        <v>45000</v>
      </c>
      <c r="K285" s="60">
        <v>23627987</v>
      </c>
      <c r="L285" s="60">
        <v>0</v>
      </c>
      <c r="M285" s="60">
        <f>N285+P285</f>
        <v>195000</v>
      </c>
      <c r="N285" s="60">
        <v>195000</v>
      </c>
      <c r="O285" s="68">
        <v>195000</v>
      </c>
      <c r="P285" s="68">
        <v>0</v>
      </c>
      <c r="Q285" s="64"/>
    </row>
    <row r="286" spans="1:17" s="65" customFormat="1" ht="12.75">
      <c r="A286" s="799"/>
      <c r="B286" s="795"/>
      <c r="C286" s="38" t="s">
        <v>14</v>
      </c>
      <c r="D286" s="59">
        <f>E286+M286</f>
        <v>-2696304</v>
      </c>
      <c r="E286" s="60">
        <f>F286+I286+J286+K286+L286</f>
        <v>-2696304</v>
      </c>
      <c r="F286" s="60">
        <f>G286+H286</f>
        <v>-176000</v>
      </c>
      <c r="G286" s="60">
        <v>-2000</v>
      </c>
      <c r="H286" s="60">
        <f>-4000-3400-2600-164000</f>
        <v>-174000</v>
      </c>
      <c r="I286" s="60">
        <v>-800000</v>
      </c>
      <c r="J286" s="60"/>
      <c r="K286" s="60">
        <f>345065-274363-2640016-141116-75526-249-15507-1515-15550-292-1659+3+183258+21839+31260+3544-541+3-953-47+1039+84+744055+89935+448+52+10597+1212+2299+201+6272+664+4652+548</f>
        <v>-1720304</v>
      </c>
      <c r="L286" s="60"/>
      <c r="M286" s="60">
        <f>N286+P286</f>
        <v>0</v>
      </c>
      <c r="N286" s="60"/>
      <c r="O286" s="60"/>
      <c r="P286" s="60"/>
      <c r="Q286" s="64"/>
    </row>
    <row r="287" spans="1:17" s="65" customFormat="1" ht="12.75">
      <c r="A287" s="799"/>
      <c r="B287" s="795"/>
      <c r="C287" s="38" t="s">
        <v>15</v>
      </c>
      <c r="D287" s="59">
        <f>D285+D286</f>
        <v>22162683</v>
      </c>
      <c r="E287" s="60">
        <f aca="true" t="shared" si="119" ref="E287:P287">E285+E286</f>
        <v>21967683</v>
      </c>
      <c r="F287" s="60">
        <f t="shared" si="119"/>
        <v>15000</v>
      </c>
      <c r="G287" s="60">
        <f t="shared" si="119"/>
        <v>0</v>
      </c>
      <c r="H287" s="60">
        <f t="shared" si="119"/>
        <v>15000</v>
      </c>
      <c r="I287" s="60">
        <f t="shared" si="119"/>
        <v>0</v>
      </c>
      <c r="J287" s="60">
        <f t="shared" si="119"/>
        <v>45000</v>
      </c>
      <c r="K287" s="60">
        <f t="shared" si="119"/>
        <v>21907683</v>
      </c>
      <c r="L287" s="60">
        <f t="shared" si="119"/>
        <v>0</v>
      </c>
      <c r="M287" s="60">
        <f t="shared" si="119"/>
        <v>195000</v>
      </c>
      <c r="N287" s="60">
        <f t="shared" si="119"/>
        <v>195000</v>
      </c>
      <c r="O287" s="60">
        <f t="shared" si="119"/>
        <v>195000</v>
      </c>
      <c r="P287" s="60">
        <f t="shared" si="119"/>
        <v>0</v>
      </c>
      <c r="Q287" s="64"/>
    </row>
    <row r="288" spans="1:17" s="40" customFormat="1" ht="15.75" customHeight="1">
      <c r="A288" s="800">
        <v>853</v>
      </c>
      <c r="B288" s="801" t="s">
        <v>37</v>
      </c>
      <c r="C288" s="37" t="s">
        <v>13</v>
      </c>
      <c r="D288" s="57">
        <f aca="true" t="shared" si="120" ref="D288:P289">D291+D294+D300+D303+D297</f>
        <v>22488237</v>
      </c>
      <c r="E288" s="69">
        <f t="shared" si="120"/>
        <v>21289507</v>
      </c>
      <c r="F288" s="69">
        <f t="shared" si="120"/>
        <v>11383218</v>
      </c>
      <c r="G288" s="69">
        <f t="shared" si="120"/>
        <v>8518921</v>
      </c>
      <c r="H288" s="69">
        <f t="shared" si="120"/>
        <v>2864297</v>
      </c>
      <c r="I288" s="69">
        <f t="shared" si="120"/>
        <v>794000</v>
      </c>
      <c r="J288" s="69">
        <f t="shared" si="120"/>
        <v>13000</v>
      </c>
      <c r="K288" s="69">
        <f t="shared" si="120"/>
        <v>9099289</v>
      </c>
      <c r="L288" s="69">
        <f t="shared" si="120"/>
        <v>0</v>
      </c>
      <c r="M288" s="69">
        <f t="shared" si="120"/>
        <v>1198730</v>
      </c>
      <c r="N288" s="69">
        <f t="shared" si="120"/>
        <v>1198730</v>
      </c>
      <c r="O288" s="69">
        <f t="shared" si="120"/>
        <v>23730</v>
      </c>
      <c r="P288" s="69">
        <f t="shared" si="120"/>
        <v>0</v>
      </c>
      <c r="Q288" s="47"/>
    </row>
    <row r="289" spans="1:17" s="40" customFormat="1" ht="15.75" customHeight="1">
      <c r="A289" s="800"/>
      <c r="B289" s="801"/>
      <c r="C289" s="37" t="s">
        <v>14</v>
      </c>
      <c r="D289" s="57">
        <f t="shared" si="120"/>
        <v>-154215</v>
      </c>
      <c r="E289" s="69">
        <f t="shared" si="120"/>
        <v>-184215</v>
      </c>
      <c r="F289" s="69">
        <f t="shared" si="120"/>
        <v>32794</v>
      </c>
      <c r="G289" s="69">
        <f t="shared" si="120"/>
        <v>37794</v>
      </c>
      <c r="H289" s="69">
        <f t="shared" si="120"/>
        <v>-5000</v>
      </c>
      <c r="I289" s="69">
        <f t="shared" si="120"/>
        <v>-250000</v>
      </c>
      <c r="J289" s="69">
        <f t="shared" si="120"/>
        <v>0</v>
      </c>
      <c r="K289" s="69">
        <f t="shared" si="120"/>
        <v>32991</v>
      </c>
      <c r="L289" s="69">
        <f t="shared" si="120"/>
        <v>0</v>
      </c>
      <c r="M289" s="69">
        <f t="shared" si="120"/>
        <v>30000</v>
      </c>
      <c r="N289" s="69">
        <f t="shared" si="120"/>
        <v>30000</v>
      </c>
      <c r="O289" s="69">
        <f t="shared" si="120"/>
        <v>0</v>
      </c>
      <c r="P289" s="69">
        <f t="shared" si="120"/>
        <v>0</v>
      </c>
      <c r="Q289" s="47"/>
    </row>
    <row r="290" spans="1:17" s="40" customFormat="1" ht="15.75" customHeight="1">
      <c r="A290" s="800"/>
      <c r="B290" s="801"/>
      <c r="C290" s="37" t="s">
        <v>15</v>
      </c>
      <c r="D290" s="70">
        <f>D288+D289</f>
        <v>22334022</v>
      </c>
      <c r="E290" s="58">
        <f aca="true" t="shared" si="121" ref="E290:P290">E288+E289</f>
        <v>21105292</v>
      </c>
      <c r="F290" s="58">
        <f t="shared" si="121"/>
        <v>11416012</v>
      </c>
      <c r="G290" s="58">
        <f t="shared" si="121"/>
        <v>8556715</v>
      </c>
      <c r="H290" s="58">
        <f t="shared" si="121"/>
        <v>2859297</v>
      </c>
      <c r="I290" s="58">
        <f t="shared" si="121"/>
        <v>544000</v>
      </c>
      <c r="J290" s="58">
        <f t="shared" si="121"/>
        <v>13000</v>
      </c>
      <c r="K290" s="58">
        <f t="shared" si="121"/>
        <v>9132280</v>
      </c>
      <c r="L290" s="58">
        <f t="shared" si="121"/>
        <v>0</v>
      </c>
      <c r="M290" s="58">
        <f t="shared" si="121"/>
        <v>1228730</v>
      </c>
      <c r="N290" s="58">
        <f t="shared" si="121"/>
        <v>1228730</v>
      </c>
      <c r="O290" s="58">
        <f t="shared" si="121"/>
        <v>23730</v>
      </c>
      <c r="P290" s="58">
        <f t="shared" si="121"/>
        <v>0</v>
      </c>
      <c r="Q290" s="47"/>
    </row>
    <row r="291" spans="1:17" s="35" customFormat="1" ht="12.75" hidden="1">
      <c r="A291" s="799">
        <v>85311</v>
      </c>
      <c r="B291" s="795" t="s">
        <v>183</v>
      </c>
      <c r="C291" s="38" t="s">
        <v>13</v>
      </c>
      <c r="D291" s="59">
        <f>E291+M291</f>
        <v>444000</v>
      </c>
      <c r="E291" s="60">
        <f>F291+I291+J291+K291+L291</f>
        <v>444000</v>
      </c>
      <c r="F291" s="60">
        <f>G291+H291</f>
        <v>0</v>
      </c>
      <c r="G291" s="60">
        <v>0</v>
      </c>
      <c r="H291" s="60">
        <v>0</v>
      </c>
      <c r="I291" s="60">
        <v>444000</v>
      </c>
      <c r="J291" s="60">
        <v>0</v>
      </c>
      <c r="K291" s="60">
        <v>0</v>
      </c>
      <c r="L291" s="60">
        <v>0</v>
      </c>
      <c r="M291" s="60">
        <f>N291+P291</f>
        <v>0</v>
      </c>
      <c r="N291" s="60">
        <v>0</v>
      </c>
      <c r="O291" s="60">
        <v>0</v>
      </c>
      <c r="P291" s="60">
        <v>0</v>
      </c>
      <c r="Q291" s="45"/>
    </row>
    <row r="292" spans="1:17" s="35" customFormat="1" ht="12.75" hidden="1">
      <c r="A292" s="799"/>
      <c r="B292" s="795"/>
      <c r="C292" s="38" t="s">
        <v>14</v>
      </c>
      <c r="D292" s="59">
        <f>E292+M292</f>
        <v>0</v>
      </c>
      <c r="E292" s="68">
        <f>F292+I292+J292+K292+L292</f>
        <v>0</v>
      </c>
      <c r="F292" s="68">
        <f>G292+H292</f>
        <v>0</v>
      </c>
      <c r="G292" s="68"/>
      <c r="H292" s="60"/>
      <c r="I292" s="60"/>
      <c r="J292" s="60"/>
      <c r="K292" s="60"/>
      <c r="L292" s="60"/>
      <c r="M292" s="60">
        <f>N292+P292</f>
        <v>0</v>
      </c>
      <c r="N292" s="60"/>
      <c r="O292" s="68"/>
      <c r="P292" s="68"/>
      <c r="Q292" s="45"/>
    </row>
    <row r="293" spans="1:17" s="35" customFormat="1" ht="12.75" hidden="1">
      <c r="A293" s="799"/>
      <c r="B293" s="795"/>
      <c r="C293" s="38" t="s">
        <v>15</v>
      </c>
      <c r="D293" s="59">
        <f>D291+D292</f>
        <v>444000</v>
      </c>
      <c r="E293" s="60">
        <f aca="true" t="shared" si="122" ref="E293:P293">E291+E292</f>
        <v>444000</v>
      </c>
      <c r="F293" s="60">
        <f t="shared" si="122"/>
        <v>0</v>
      </c>
      <c r="G293" s="60">
        <f t="shared" si="122"/>
        <v>0</v>
      </c>
      <c r="H293" s="60">
        <f t="shared" si="122"/>
        <v>0</v>
      </c>
      <c r="I293" s="60">
        <f t="shared" si="122"/>
        <v>444000</v>
      </c>
      <c r="J293" s="60">
        <f t="shared" si="122"/>
        <v>0</v>
      </c>
      <c r="K293" s="60">
        <f t="shared" si="122"/>
        <v>0</v>
      </c>
      <c r="L293" s="60">
        <f t="shared" si="122"/>
        <v>0</v>
      </c>
      <c r="M293" s="60">
        <f t="shared" si="122"/>
        <v>0</v>
      </c>
      <c r="N293" s="60">
        <f t="shared" si="122"/>
        <v>0</v>
      </c>
      <c r="O293" s="60">
        <f t="shared" si="122"/>
        <v>0</v>
      </c>
      <c r="P293" s="60">
        <f t="shared" si="122"/>
        <v>0</v>
      </c>
      <c r="Q293" s="45"/>
    </row>
    <row r="294" spans="1:17" s="35" customFormat="1" ht="12.75">
      <c r="A294" s="799">
        <v>85324</v>
      </c>
      <c r="B294" s="795" t="s">
        <v>184</v>
      </c>
      <c r="C294" s="38" t="s">
        <v>13</v>
      </c>
      <c r="D294" s="59">
        <f>E294+M294</f>
        <v>2155251</v>
      </c>
      <c r="E294" s="60">
        <f>F294+I294+J294+K294+L294</f>
        <v>1155251</v>
      </c>
      <c r="F294" s="60">
        <f>G294+H294</f>
        <v>1155251</v>
      </c>
      <c r="G294" s="60">
        <v>204068</v>
      </c>
      <c r="H294" s="60">
        <f>25000+2000+3000+5000+3000+908183+5000</f>
        <v>951183</v>
      </c>
      <c r="I294" s="60">
        <v>0</v>
      </c>
      <c r="J294" s="60">
        <v>0</v>
      </c>
      <c r="K294" s="60">
        <v>0</v>
      </c>
      <c r="L294" s="60">
        <v>0</v>
      </c>
      <c r="M294" s="60">
        <f>N294+P294</f>
        <v>1000000</v>
      </c>
      <c r="N294" s="60">
        <v>1000000</v>
      </c>
      <c r="O294" s="60">
        <v>0</v>
      </c>
      <c r="P294" s="60">
        <v>0</v>
      </c>
      <c r="Q294" s="45"/>
    </row>
    <row r="295" spans="1:17" s="35" customFormat="1" ht="12.75">
      <c r="A295" s="799"/>
      <c r="B295" s="795"/>
      <c r="C295" s="38" t="s">
        <v>14</v>
      </c>
      <c r="D295" s="59">
        <f>E295+M295</f>
        <v>62794</v>
      </c>
      <c r="E295" s="60">
        <f>F295+I295+J295+K295+L295</f>
        <v>62794</v>
      </c>
      <c r="F295" s="60">
        <f>G295+H295</f>
        <v>62794</v>
      </c>
      <c r="G295" s="60">
        <f>36517+6277</f>
        <v>42794</v>
      </c>
      <c r="H295" s="60">
        <v>20000</v>
      </c>
      <c r="I295" s="60"/>
      <c r="J295" s="60"/>
      <c r="K295" s="60"/>
      <c r="L295" s="60"/>
      <c r="M295" s="60">
        <f>N295+P295</f>
        <v>0</v>
      </c>
      <c r="N295" s="60"/>
      <c r="O295" s="60"/>
      <c r="P295" s="60"/>
      <c r="Q295" s="45"/>
    </row>
    <row r="296" spans="1:17" s="35" customFormat="1" ht="12.75">
      <c r="A296" s="799"/>
      <c r="B296" s="795"/>
      <c r="C296" s="38" t="s">
        <v>15</v>
      </c>
      <c r="D296" s="59">
        <f>D294+D295</f>
        <v>2218045</v>
      </c>
      <c r="E296" s="60">
        <f aca="true" t="shared" si="123" ref="E296:P296">E294+E295</f>
        <v>1218045</v>
      </c>
      <c r="F296" s="60">
        <f t="shared" si="123"/>
        <v>1218045</v>
      </c>
      <c r="G296" s="60">
        <f t="shared" si="123"/>
        <v>246862</v>
      </c>
      <c r="H296" s="60">
        <f t="shared" si="123"/>
        <v>971183</v>
      </c>
      <c r="I296" s="60">
        <f t="shared" si="123"/>
        <v>0</v>
      </c>
      <c r="J296" s="60">
        <f t="shared" si="123"/>
        <v>0</v>
      </c>
      <c r="K296" s="60">
        <f t="shared" si="123"/>
        <v>0</v>
      </c>
      <c r="L296" s="60">
        <f t="shared" si="123"/>
        <v>0</v>
      </c>
      <c r="M296" s="60">
        <f t="shared" si="123"/>
        <v>1000000</v>
      </c>
      <c r="N296" s="60">
        <f t="shared" si="123"/>
        <v>1000000</v>
      </c>
      <c r="O296" s="60">
        <f t="shared" si="123"/>
        <v>0</v>
      </c>
      <c r="P296" s="60">
        <f t="shared" si="123"/>
        <v>0</v>
      </c>
      <c r="Q296" s="45"/>
    </row>
    <row r="297" spans="1:17" s="35" customFormat="1" ht="12.75" hidden="1">
      <c r="A297" s="799">
        <v>85325</v>
      </c>
      <c r="B297" s="795" t="s">
        <v>185</v>
      </c>
      <c r="C297" s="38" t="s">
        <v>13</v>
      </c>
      <c r="D297" s="59">
        <f>E297+M297</f>
        <v>1230000</v>
      </c>
      <c r="E297" s="60">
        <f>F297+I297+J297+K297+L297</f>
        <v>1230000</v>
      </c>
      <c r="F297" s="60">
        <f>G297+H297</f>
        <v>1228000</v>
      </c>
      <c r="G297" s="60">
        <v>958000</v>
      </c>
      <c r="H297" s="60">
        <v>270000</v>
      </c>
      <c r="I297" s="60">
        <v>0</v>
      </c>
      <c r="J297" s="60">
        <v>2000</v>
      </c>
      <c r="K297" s="60">
        <v>0</v>
      </c>
      <c r="L297" s="60">
        <v>0</v>
      </c>
      <c r="M297" s="60">
        <f>N297+P297</f>
        <v>0</v>
      </c>
      <c r="N297" s="60">
        <v>0</v>
      </c>
      <c r="O297" s="60">
        <v>0</v>
      </c>
      <c r="P297" s="60">
        <v>0</v>
      </c>
      <c r="Q297" s="45"/>
    </row>
    <row r="298" spans="1:17" s="35" customFormat="1" ht="12.75" hidden="1">
      <c r="A298" s="799"/>
      <c r="B298" s="795"/>
      <c r="C298" s="38" t="s">
        <v>14</v>
      </c>
      <c r="D298" s="59">
        <f>E298+M298</f>
        <v>0</v>
      </c>
      <c r="E298" s="60">
        <f>F298+I298+J298+K298+L298</f>
        <v>0</v>
      </c>
      <c r="F298" s="60">
        <f>G298+H298</f>
        <v>0</v>
      </c>
      <c r="G298" s="60"/>
      <c r="H298" s="60"/>
      <c r="I298" s="60"/>
      <c r="J298" s="60"/>
      <c r="K298" s="60"/>
      <c r="L298" s="60"/>
      <c r="M298" s="60">
        <f>N298+P298</f>
        <v>0</v>
      </c>
      <c r="N298" s="60"/>
      <c r="O298" s="60"/>
      <c r="P298" s="60"/>
      <c r="Q298" s="45"/>
    </row>
    <row r="299" spans="1:17" s="35" customFormat="1" ht="12.75" hidden="1">
      <c r="A299" s="799"/>
      <c r="B299" s="795"/>
      <c r="C299" s="38" t="s">
        <v>15</v>
      </c>
      <c r="D299" s="59">
        <f>D297+D298</f>
        <v>1230000</v>
      </c>
      <c r="E299" s="60">
        <f aca="true" t="shared" si="124" ref="E299:P299">E297+E298</f>
        <v>1230000</v>
      </c>
      <c r="F299" s="60">
        <f t="shared" si="124"/>
        <v>1228000</v>
      </c>
      <c r="G299" s="60">
        <f t="shared" si="124"/>
        <v>958000</v>
      </c>
      <c r="H299" s="60">
        <f t="shared" si="124"/>
        <v>270000</v>
      </c>
      <c r="I299" s="60">
        <f t="shared" si="124"/>
        <v>0</v>
      </c>
      <c r="J299" s="60">
        <f t="shared" si="124"/>
        <v>2000</v>
      </c>
      <c r="K299" s="60">
        <f t="shared" si="124"/>
        <v>0</v>
      </c>
      <c r="L299" s="60">
        <f t="shared" si="124"/>
        <v>0</v>
      </c>
      <c r="M299" s="60">
        <f t="shared" si="124"/>
        <v>0</v>
      </c>
      <c r="N299" s="60">
        <f t="shared" si="124"/>
        <v>0</v>
      </c>
      <c r="O299" s="60">
        <f t="shared" si="124"/>
        <v>0</v>
      </c>
      <c r="P299" s="60">
        <f t="shared" si="124"/>
        <v>0</v>
      </c>
      <c r="Q299" s="45"/>
    </row>
    <row r="300" spans="1:17" s="65" customFormat="1" ht="12.75">
      <c r="A300" s="799">
        <v>85332</v>
      </c>
      <c r="B300" s="795" t="s">
        <v>62</v>
      </c>
      <c r="C300" s="38" t="s">
        <v>13</v>
      </c>
      <c r="D300" s="59">
        <f>E300+M300</f>
        <v>15853872</v>
      </c>
      <c r="E300" s="68">
        <f>F300+I300+J300+K300+L300</f>
        <v>15655142</v>
      </c>
      <c r="F300" s="68">
        <f>G300+H300</f>
        <v>8886967</v>
      </c>
      <c r="G300" s="68">
        <v>7351853</v>
      </c>
      <c r="H300" s="60">
        <v>1535114</v>
      </c>
      <c r="I300" s="60">
        <v>0</v>
      </c>
      <c r="J300" s="60">
        <v>11000</v>
      </c>
      <c r="K300" s="60">
        <v>6757175</v>
      </c>
      <c r="L300" s="60">
        <v>0</v>
      </c>
      <c r="M300" s="60">
        <f>N300+P300</f>
        <v>198730</v>
      </c>
      <c r="N300" s="60">
        <v>198730</v>
      </c>
      <c r="O300" s="68">
        <f>20000+3730</f>
        <v>23730</v>
      </c>
      <c r="P300" s="68">
        <v>0</v>
      </c>
      <c r="Q300" s="64"/>
    </row>
    <row r="301" spans="1:17" s="65" customFormat="1" ht="12.75">
      <c r="A301" s="799"/>
      <c r="B301" s="795"/>
      <c r="C301" s="38" t="s">
        <v>14</v>
      </c>
      <c r="D301" s="59">
        <f>E301+M301</f>
        <v>32991</v>
      </c>
      <c r="E301" s="68">
        <f>F301+I301+J301+K301+L301</f>
        <v>32991</v>
      </c>
      <c r="F301" s="68">
        <f>G301+H301</f>
        <v>0</v>
      </c>
      <c r="G301" s="68"/>
      <c r="H301" s="60"/>
      <c r="I301" s="60"/>
      <c r="J301" s="60"/>
      <c r="K301" s="60">
        <f>28044+4947</f>
        <v>32991</v>
      </c>
      <c r="L301" s="60"/>
      <c r="M301" s="60">
        <f>N301+P301</f>
        <v>0</v>
      </c>
      <c r="N301" s="60"/>
      <c r="O301" s="68"/>
      <c r="P301" s="68"/>
      <c r="Q301" s="64"/>
    </row>
    <row r="302" spans="1:17" s="65" customFormat="1" ht="12.75">
      <c r="A302" s="799"/>
      <c r="B302" s="795"/>
      <c r="C302" s="38" t="s">
        <v>15</v>
      </c>
      <c r="D302" s="59">
        <f>D300+D301</f>
        <v>15886863</v>
      </c>
      <c r="E302" s="60">
        <f aca="true" t="shared" si="125" ref="E302:P302">E300+E301</f>
        <v>15688133</v>
      </c>
      <c r="F302" s="60">
        <f t="shared" si="125"/>
        <v>8886967</v>
      </c>
      <c r="G302" s="60">
        <f t="shared" si="125"/>
        <v>7351853</v>
      </c>
      <c r="H302" s="60">
        <f t="shared" si="125"/>
        <v>1535114</v>
      </c>
      <c r="I302" s="60">
        <f t="shared" si="125"/>
        <v>0</v>
      </c>
      <c r="J302" s="60">
        <f t="shared" si="125"/>
        <v>11000</v>
      </c>
      <c r="K302" s="60">
        <f t="shared" si="125"/>
        <v>6790166</v>
      </c>
      <c r="L302" s="60">
        <f t="shared" si="125"/>
        <v>0</v>
      </c>
      <c r="M302" s="60">
        <f t="shared" si="125"/>
        <v>198730</v>
      </c>
      <c r="N302" s="60">
        <f t="shared" si="125"/>
        <v>198730</v>
      </c>
      <c r="O302" s="60">
        <f t="shared" si="125"/>
        <v>23730</v>
      </c>
      <c r="P302" s="60">
        <f t="shared" si="125"/>
        <v>0</v>
      </c>
      <c r="Q302" s="64"/>
    </row>
    <row r="303" spans="1:17" s="65" customFormat="1" ht="12.75">
      <c r="A303" s="799">
        <v>85395</v>
      </c>
      <c r="B303" s="795" t="s">
        <v>52</v>
      </c>
      <c r="C303" s="38" t="s">
        <v>13</v>
      </c>
      <c r="D303" s="59">
        <f>E303+M303</f>
        <v>2805114</v>
      </c>
      <c r="E303" s="60">
        <f>F303+I303+J303+K303+L303</f>
        <v>2805114</v>
      </c>
      <c r="F303" s="60">
        <f>G303+H303</f>
        <v>113000</v>
      </c>
      <c r="G303" s="60">
        <v>5000</v>
      </c>
      <c r="H303" s="60">
        <f>10000+6200+6000+85800</f>
        <v>108000</v>
      </c>
      <c r="I303" s="60">
        <v>350000</v>
      </c>
      <c r="J303" s="60">
        <v>0</v>
      </c>
      <c r="K303" s="60">
        <v>2342114</v>
      </c>
      <c r="L303" s="60">
        <v>0</v>
      </c>
      <c r="M303" s="60">
        <f>N303+P303</f>
        <v>0</v>
      </c>
      <c r="N303" s="60">
        <v>0</v>
      </c>
      <c r="O303" s="60">
        <v>0</v>
      </c>
      <c r="P303" s="60">
        <v>0</v>
      </c>
      <c r="Q303" s="64"/>
    </row>
    <row r="304" spans="1:17" s="65" customFormat="1" ht="12.75">
      <c r="A304" s="799"/>
      <c r="B304" s="795"/>
      <c r="C304" s="38" t="s">
        <v>14</v>
      </c>
      <c r="D304" s="59">
        <f>E304+M304</f>
        <v>-250000</v>
      </c>
      <c r="E304" s="60">
        <f>F304+I304+J304+K304+L304</f>
        <v>-280000</v>
      </c>
      <c r="F304" s="60">
        <f>G304+H304</f>
        <v>-30000</v>
      </c>
      <c r="G304" s="60">
        <v>-5000</v>
      </c>
      <c r="H304" s="60">
        <f>-5000-5000-15000</f>
        <v>-25000</v>
      </c>
      <c r="I304" s="60">
        <v>-250000</v>
      </c>
      <c r="J304" s="60"/>
      <c r="K304" s="60"/>
      <c r="L304" s="60"/>
      <c r="M304" s="60">
        <f>N304+P304</f>
        <v>30000</v>
      </c>
      <c r="N304" s="60">
        <v>30000</v>
      </c>
      <c r="O304" s="60"/>
      <c r="P304" s="60"/>
      <c r="Q304" s="64"/>
    </row>
    <row r="305" spans="1:17" s="65" customFormat="1" ht="12.75">
      <c r="A305" s="799"/>
      <c r="B305" s="795"/>
      <c r="C305" s="38" t="s">
        <v>15</v>
      </c>
      <c r="D305" s="59">
        <f>D303+D304</f>
        <v>2555114</v>
      </c>
      <c r="E305" s="60">
        <f aca="true" t="shared" si="126" ref="E305:P305">E303+E304</f>
        <v>2525114</v>
      </c>
      <c r="F305" s="60">
        <f t="shared" si="126"/>
        <v>83000</v>
      </c>
      <c r="G305" s="60">
        <f t="shared" si="126"/>
        <v>0</v>
      </c>
      <c r="H305" s="60">
        <f t="shared" si="126"/>
        <v>83000</v>
      </c>
      <c r="I305" s="60">
        <f t="shared" si="126"/>
        <v>100000</v>
      </c>
      <c r="J305" s="60">
        <f t="shared" si="126"/>
        <v>0</v>
      </c>
      <c r="K305" s="60">
        <f t="shared" si="126"/>
        <v>2342114</v>
      </c>
      <c r="L305" s="60">
        <f t="shared" si="126"/>
        <v>0</v>
      </c>
      <c r="M305" s="60">
        <f t="shared" si="126"/>
        <v>30000</v>
      </c>
      <c r="N305" s="60">
        <f t="shared" si="126"/>
        <v>30000</v>
      </c>
      <c r="O305" s="60">
        <f t="shared" si="126"/>
        <v>0</v>
      </c>
      <c r="P305" s="60">
        <f t="shared" si="126"/>
        <v>0</v>
      </c>
      <c r="Q305" s="64"/>
    </row>
    <row r="306" spans="1:17" s="40" customFormat="1" ht="15.75" customHeight="1">
      <c r="A306" s="800">
        <v>854</v>
      </c>
      <c r="B306" s="801" t="s">
        <v>186</v>
      </c>
      <c r="C306" s="37" t="s">
        <v>13</v>
      </c>
      <c r="D306" s="57">
        <f aca="true" t="shared" si="127" ref="D306:P307">D309+D315+D318+D321+D327+D330+D312+D324</f>
        <v>55480456</v>
      </c>
      <c r="E306" s="69">
        <f t="shared" si="127"/>
        <v>32267539</v>
      </c>
      <c r="F306" s="69">
        <f t="shared" si="127"/>
        <v>24926742</v>
      </c>
      <c r="G306" s="69">
        <f t="shared" si="127"/>
        <v>21426593</v>
      </c>
      <c r="H306" s="69">
        <f t="shared" si="127"/>
        <v>3500149</v>
      </c>
      <c r="I306" s="69">
        <f t="shared" si="127"/>
        <v>319000</v>
      </c>
      <c r="J306" s="69">
        <f t="shared" si="127"/>
        <v>67293</v>
      </c>
      <c r="K306" s="69">
        <f t="shared" si="127"/>
        <v>6954504</v>
      </c>
      <c r="L306" s="69">
        <f t="shared" si="127"/>
        <v>0</v>
      </c>
      <c r="M306" s="69">
        <f t="shared" si="127"/>
        <v>23212917</v>
      </c>
      <c r="N306" s="69">
        <f t="shared" si="127"/>
        <v>23212917</v>
      </c>
      <c r="O306" s="69">
        <f t="shared" si="127"/>
        <v>16338077</v>
      </c>
      <c r="P306" s="69">
        <f t="shared" si="127"/>
        <v>0</v>
      </c>
      <c r="Q306" s="47"/>
    </row>
    <row r="307" spans="1:17" s="40" customFormat="1" ht="15.75" customHeight="1">
      <c r="A307" s="800"/>
      <c r="B307" s="801"/>
      <c r="C307" s="37" t="s">
        <v>14</v>
      </c>
      <c r="D307" s="57">
        <f t="shared" si="127"/>
        <v>-2373051</v>
      </c>
      <c r="E307" s="69">
        <f t="shared" si="127"/>
        <v>84215</v>
      </c>
      <c r="F307" s="69">
        <f t="shared" si="127"/>
        <v>-23000</v>
      </c>
      <c r="G307" s="69">
        <f t="shared" si="127"/>
        <v>0</v>
      </c>
      <c r="H307" s="69">
        <f t="shared" si="127"/>
        <v>-23000</v>
      </c>
      <c r="I307" s="69">
        <f t="shared" si="127"/>
        <v>0</v>
      </c>
      <c r="J307" s="69">
        <f t="shared" si="127"/>
        <v>0</v>
      </c>
      <c r="K307" s="69">
        <f t="shared" si="127"/>
        <v>107215</v>
      </c>
      <c r="L307" s="69">
        <f t="shared" si="127"/>
        <v>0</v>
      </c>
      <c r="M307" s="69">
        <f t="shared" si="127"/>
        <v>-2457266</v>
      </c>
      <c r="N307" s="69">
        <f t="shared" si="127"/>
        <v>-2457266</v>
      </c>
      <c r="O307" s="69">
        <f t="shared" si="127"/>
        <v>-2778882</v>
      </c>
      <c r="P307" s="69">
        <f t="shared" si="127"/>
        <v>0</v>
      </c>
      <c r="Q307" s="47"/>
    </row>
    <row r="308" spans="1:17" s="40" customFormat="1" ht="15.75" customHeight="1">
      <c r="A308" s="800"/>
      <c r="B308" s="801"/>
      <c r="C308" s="37" t="s">
        <v>15</v>
      </c>
      <c r="D308" s="70">
        <f>D306+D307</f>
        <v>53107405</v>
      </c>
      <c r="E308" s="58">
        <f aca="true" t="shared" si="128" ref="E308:P308">E306+E307</f>
        <v>32351754</v>
      </c>
      <c r="F308" s="58">
        <f t="shared" si="128"/>
        <v>24903742</v>
      </c>
      <c r="G308" s="58">
        <f t="shared" si="128"/>
        <v>21426593</v>
      </c>
      <c r="H308" s="58">
        <f t="shared" si="128"/>
        <v>3477149</v>
      </c>
      <c r="I308" s="58">
        <f t="shared" si="128"/>
        <v>319000</v>
      </c>
      <c r="J308" s="58">
        <f t="shared" si="128"/>
        <v>67293</v>
      </c>
      <c r="K308" s="58">
        <f t="shared" si="128"/>
        <v>7061719</v>
      </c>
      <c r="L308" s="58">
        <f t="shared" si="128"/>
        <v>0</v>
      </c>
      <c r="M308" s="58">
        <f t="shared" si="128"/>
        <v>20755651</v>
      </c>
      <c r="N308" s="58">
        <f t="shared" si="128"/>
        <v>20755651</v>
      </c>
      <c r="O308" s="58">
        <f t="shared" si="128"/>
        <v>13559195</v>
      </c>
      <c r="P308" s="58">
        <f t="shared" si="128"/>
        <v>0</v>
      </c>
      <c r="Q308" s="47"/>
    </row>
    <row r="309" spans="1:17" s="65" customFormat="1" ht="12.75">
      <c r="A309" s="799">
        <v>85403</v>
      </c>
      <c r="B309" s="795" t="s">
        <v>187</v>
      </c>
      <c r="C309" s="38" t="s">
        <v>13</v>
      </c>
      <c r="D309" s="59">
        <f>E309+M309</f>
        <v>41976033</v>
      </c>
      <c r="E309" s="60">
        <f>F309+I309+J309+K309+L309</f>
        <v>18763116</v>
      </c>
      <c r="F309" s="60">
        <f>G309+H309</f>
        <v>17634912</v>
      </c>
      <c r="G309" s="60">
        <v>15067726</v>
      </c>
      <c r="H309" s="60">
        <f>91000+491000+16000+390900+678000+8300+363758+15200+1000+2700+31500+467986+100+1500+242+8000</f>
        <v>2567186</v>
      </c>
      <c r="I309" s="60">
        <v>0</v>
      </c>
      <c r="J309" s="60">
        <v>15800</v>
      </c>
      <c r="K309" s="60">
        <f>541359+95532+34951+6169+99516+17562+14888+2626+1700+300+4004+707+7202+1271+196300+34641+45625+8051</f>
        <v>1112404</v>
      </c>
      <c r="L309" s="60">
        <v>0</v>
      </c>
      <c r="M309" s="60">
        <f aca="true" t="shared" si="129" ref="M309:M331">N309+P309</f>
        <v>23212917</v>
      </c>
      <c r="N309" s="60">
        <v>23212917</v>
      </c>
      <c r="O309" s="60">
        <f>12207144+2154204+1680220+296509</f>
        <v>16338077</v>
      </c>
      <c r="P309" s="60">
        <v>0</v>
      </c>
      <c r="Q309" s="64"/>
    </row>
    <row r="310" spans="1:17" s="65" customFormat="1" ht="12.75">
      <c r="A310" s="799"/>
      <c r="B310" s="795"/>
      <c r="C310" s="38" t="s">
        <v>14</v>
      </c>
      <c r="D310" s="59">
        <f>E310+M310</f>
        <v>-2350051</v>
      </c>
      <c r="E310" s="60">
        <f>F310+I310+J310+K310+L310</f>
        <v>107215</v>
      </c>
      <c r="F310" s="60">
        <f>G310+H310</f>
        <v>0</v>
      </c>
      <c r="G310" s="60"/>
      <c r="H310" s="60"/>
      <c r="I310" s="60"/>
      <c r="J310" s="60"/>
      <c r="K310" s="60">
        <f>158120-23104-4076-9735-1717-7095-1252-1700-300-1637-289</f>
        <v>107215</v>
      </c>
      <c r="L310" s="60"/>
      <c r="M310" s="60">
        <f t="shared" si="129"/>
        <v>-2457266</v>
      </c>
      <c r="N310" s="60">
        <f>544531-1604626-288590-222915-752816-132850</f>
        <v>-2457266</v>
      </c>
      <c r="O310" s="60">
        <f>-1604626-288590-752816-132850</f>
        <v>-2778882</v>
      </c>
      <c r="P310" s="60"/>
      <c r="Q310" s="64"/>
    </row>
    <row r="311" spans="1:17" s="65" customFormat="1" ht="12.75">
      <c r="A311" s="799"/>
      <c r="B311" s="795"/>
      <c r="C311" s="38" t="s">
        <v>15</v>
      </c>
      <c r="D311" s="59">
        <f>D309+D310</f>
        <v>39625982</v>
      </c>
      <c r="E311" s="60">
        <f aca="true" t="shared" si="130" ref="E311:P311">E309+E310</f>
        <v>18870331</v>
      </c>
      <c r="F311" s="60">
        <f t="shared" si="130"/>
        <v>17634912</v>
      </c>
      <c r="G311" s="60">
        <f t="shared" si="130"/>
        <v>15067726</v>
      </c>
      <c r="H311" s="60">
        <f t="shared" si="130"/>
        <v>2567186</v>
      </c>
      <c r="I311" s="60">
        <f t="shared" si="130"/>
        <v>0</v>
      </c>
      <c r="J311" s="60">
        <f t="shared" si="130"/>
        <v>15800</v>
      </c>
      <c r="K311" s="60">
        <f t="shared" si="130"/>
        <v>1219619</v>
      </c>
      <c r="L311" s="60">
        <f t="shared" si="130"/>
        <v>0</v>
      </c>
      <c r="M311" s="60">
        <f t="shared" si="130"/>
        <v>20755651</v>
      </c>
      <c r="N311" s="60">
        <f t="shared" si="130"/>
        <v>20755651</v>
      </c>
      <c r="O311" s="60">
        <f t="shared" si="130"/>
        <v>13559195</v>
      </c>
      <c r="P311" s="60">
        <f t="shared" si="130"/>
        <v>0</v>
      </c>
      <c r="Q311" s="64"/>
    </row>
    <row r="312" spans="1:17" s="65" customFormat="1" ht="12.75" hidden="1">
      <c r="A312" s="799">
        <v>85404</v>
      </c>
      <c r="B312" s="795" t="s">
        <v>188</v>
      </c>
      <c r="C312" s="38" t="s">
        <v>13</v>
      </c>
      <c r="D312" s="59">
        <f>E312+M312</f>
        <v>1477192</v>
      </c>
      <c r="E312" s="60">
        <f>F312+I312+J312+K312+L312</f>
        <v>1477192</v>
      </c>
      <c r="F312" s="60">
        <f>G312+H312</f>
        <v>1477192</v>
      </c>
      <c r="G312" s="60">
        <v>1380294</v>
      </c>
      <c r="H312" s="60">
        <v>96898</v>
      </c>
      <c r="I312" s="60">
        <v>0</v>
      </c>
      <c r="J312" s="60">
        <v>0</v>
      </c>
      <c r="K312" s="60">
        <v>0</v>
      </c>
      <c r="L312" s="60">
        <v>0</v>
      </c>
      <c r="M312" s="60">
        <f t="shared" si="129"/>
        <v>0</v>
      </c>
      <c r="N312" s="60">
        <v>0</v>
      </c>
      <c r="O312" s="60">
        <v>0</v>
      </c>
      <c r="P312" s="60">
        <v>0</v>
      </c>
      <c r="Q312" s="64"/>
    </row>
    <row r="313" spans="1:17" s="65" customFormat="1" ht="12.75" hidden="1">
      <c r="A313" s="799"/>
      <c r="B313" s="795"/>
      <c r="C313" s="38" t="s">
        <v>14</v>
      </c>
      <c r="D313" s="59">
        <f>E313+M313</f>
        <v>0</v>
      </c>
      <c r="E313" s="68">
        <f>F313+I313+J313+K313+L313</f>
        <v>0</v>
      </c>
      <c r="F313" s="68">
        <f>G313+H313</f>
        <v>0</v>
      </c>
      <c r="G313" s="68"/>
      <c r="H313" s="60"/>
      <c r="I313" s="60"/>
      <c r="J313" s="60"/>
      <c r="K313" s="60"/>
      <c r="L313" s="60"/>
      <c r="M313" s="60">
        <f t="shared" si="129"/>
        <v>0</v>
      </c>
      <c r="N313" s="60"/>
      <c r="O313" s="68"/>
      <c r="P313" s="68"/>
      <c r="Q313" s="64"/>
    </row>
    <row r="314" spans="1:17" s="65" customFormat="1" ht="12.75" hidden="1">
      <c r="A314" s="799"/>
      <c r="B314" s="795"/>
      <c r="C314" s="38" t="s">
        <v>15</v>
      </c>
      <c r="D314" s="59">
        <f>D312+D313</f>
        <v>1477192</v>
      </c>
      <c r="E314" s="60">
        <f aca="true" t="shared" si="131" ref="E314:P314">E312+E313</f>
        <v>1477192</v>
      </c>
      <c r="F314" s="60">
        <f t="shared" si="131"/>
        <v>1477192</v>
      </c>
      <c r="G314" s="60">
        <f t="shared" si="131"/>
        <v>1380294</v>
      </c>
      <c r="H314" s="60">
        <f t="shared" si="131"/>
        <v>96898</v>
      </c>
      <c r="I314" s="60">
        <f t="shared" si="131"/>
        <v>0</v>
      </c>
      <c r="J314" s="60">
        <f t="shared" si="131"/>
        <v>0</v>
      </c>
      <c r="K314" s="60">
        <f t="shared" si="131"/>
        <v>0</v>
      </c>
      <c r="L314" s="60">
        <f t="shared" si="131"/>
        <v>0</v>
      </c>
      <c r="M314" s="60">
        <f t="shared" si="131"/>
        <v>0</v>
      </c>
      <c r="N314" s="60">
        <f t="shared" si="131"/>
        <v>0</v>
      </c>
      <c r="O314" s="60">
        <f t="shared" si="131"/>
        <v>0</v>
      </c>
      <c r="P314" s="60">
        <f t="shared" si="131"/>
        <v>0</v>
      </c>
      <c r="Q314" s="64"/>
    </row>
    <row r="315" spans="1:17" s="65" customFormat="1" ht="12.75" hidden="1">
      <c r="A315" s="799">
        <v>85407</v>
      </c>
      <c r="B315" s="795" t="s">
        <v>189</v>
      </c>
      <c r="C315" s="38" t="s">
        <v>13</v>
      </c>
      <c r="D315" s="59">
        <f>E315+M315</f>
        <v>4019861</v>
      </c>
      <c r="E315" s="60">
        <f>F315+I315+J315+K315+L315</f>
        <v>4019861</v>
      </c>
      <c r="F315" s="60">
        <f>G315+H315</f>
        <v>4010368</v>
      </c>
      <c r="G315" s="60">
        <v>3856844</v>
      </c>
      <c r="H315" s="60">
        <v>153524</v>
      </c>
      <c r="I315" s="60">
        <v>0</v>
      </c>
      <c r="J315" s="60">
        <v>9493</v>
      </c>
      <c r="K315" s="60">
        <v>0</v>
      </c>
      <c r="L315" s="60">
        <v>0</v>
      </c>
      <c r="M315" s="60">
        <f t="shared" si="129"/>
        <v>0</v>
      </c>
      <c r="N315" s="60">
        <v>0</v>
      </c>
      <c r="O315" s="60">
        <v>0</v>
      </c>
      <c r="P315" s="60">
        <v>0</v>
      </c>
      <c r="Q315" s="64"/>
    </row>
    <row r="316" spans="1:17" s="65" customFormat="1" ht="12.75" hidden="1">
      <c r="A316" s="799"/>
      <c r="B316" s="795"/>
      <c r="C316" s="38" t="s">
        <v>14</v>
      </c>
      <c r="D316" s="59">
        <f>E316+M316</f>
        <v>0</v>
      </c>
      <c r="E316" s="68">
        <f>F316+I316+J316+K316+L316</f>
        <v>0</v>
      </c>
      <c r="F316" s="68">
        <f>G316+H316</f>
        <v>0</v>
      </c>
      <c r="G316" s="68"/>
      <c r="H316" s="60"/>
      <c r="I316" s="60"/>
      <c r="J316" s="60"/>
      <c r="K316" s="60"/>
      <c r="L316" s="60"/>
      <c r="M316" s="60">
        <f t="shared" si="129"/>
        <v>0</v>
      </c>
      <c r="N316" s="60"/>
      <c r="O316" s="68"/>
      <c r="P316" s="68"/>
      <c r="Q316" s="64"/>
    </row>
    <row r="317" spans="1:17" s="65" customFormat="1" ht="12.75" hidden="1">
      <c r="A317" s="799"/>
      <c r="B317" s="795"/>
      <c r="C317" s="38" t="s">
        <v>15</v>
      </c>
      <c r="D317" s="59">
        <f>D315+D316</f>
        <v>4019861</v>
      </c>
      <c r="E317" s="60">
        <f aca="true" t="shared" si="132" ref="E317:P317">E315+E316</f>
        <v>4019861</v>
      </c>
      <c r="F317" s="60">
        <f t="shared" si="132"/>
        <v>4010368</v>
      </c>
      <c r="G317" s="60">
        <f t="shared" si="132"/>
        <v>3856844</v>
      </c>
      <c r="H317" s="60">
        <f t="shared" si="132"/>
        <v>153524</v>
      </c>
      <c r="I317" s="60">
        <f t="shared" si="132"/>
        <v>0</v>
      </c>
      <c r="J317" s="60">
        <f t="shared" si="132"/>
        <v>9493</v>
      </c>
      <c r="K317" s="60">
        <f t="shared" si="132"/>
        <v>0</v>
      </c>
      <c r="L317" s="60">
        <f t="shared" si="132"/>
        <v>0</v>
      </c>
      <c r="M317" s="60">
        <f t="shared" si="132"/>
        <v>0</v>
      </c>
      <c r="N317" s="60">
        <f t="shared" si="132"/>
        <v>0</v>
      </c>
      <c r="O317" s="60">
        <f t="shared" si="132"/>
        <v>0</v>
      </c>
      <c r="P317" s="60">
        <f t="shared" si="132"/>
        <v>0</v>
      </c>
      <c r="Q317" s="64"/>
    </row>
    <row r="318" spans="1:17" s="65" customFormat="1" ht="12.75" hidden="1">
      <c r="A318" s="799">
        <v>85410</v>
      </c>
      <c r="B318" s="795" t="s">
        <v>190</v>
      </c>
      <c r="C318" s="38" t="s">
        <v>13</v>
      </c>
      <c r="D318" s="59">
        <f>E318+M318</f>
        <v>1400141</v>
      </c>
      <c r="E318" s="68">
        <f>F318+I318+J318+K318+L318</f>
        <v>1400141</v>
      </c>
      <c r="F318" s="68">
        <f>G318+H318</f>
        <v>1398141</v>
      </c>
      <c r="G318" s="68">
        <v>1121729</v>
      </c>
      <c r="H318" s="60">
        <v>276412</v>
      </c>
      <c r="I318" s="60">
        <v>0</v>
      </c>
      <c r="J318" s="60">
        <v>2000</v>
      </c>
      <c r="K318" s="60">
        <v>0</v>
      </c>
      <c r="L318" s="60">
        <v>0</v>
      </c>
      <c r="M318" s="60">
        <f t="shared" si="129"/>
        <v>0</v>
      </c>
      <c r="N318" s="60">
        <v>0</v>
      </c>
      <c r="O318" s="68">
        <v>0</v>
      </c>
      <c r="P318" s="68">
        <v>0</v>
      </c>
      <c r="Q318" s="64"/>
    </row>
    <row r="319" spans="1:17" s="65" customFormat="1" ht="12.75" hidden="1">
      <c r="A319" s="799"/>
      <c r="B319" s="795"/>
      <c r="C319" s="38" t="s">
        <v>14</v>
      </c>
      <c r="D319" s="59">
        <f>E319+M319</f>
        <v>0</v>
      </c>
      <c r="E319" s="68">
        <f>F319+I319+J319+K319+L319</f>
        <v>0</v>
      </c>
      <c r="F319" s="68">
        <f>G319+H319</f>
        <v>0</v>
      </c>
      <c r="G319" s="68"/>
      <c r="H319" s="60"/>
      <c r="I319" s="60"/>
      <c r="J319" s="60"/>
      <c r="K319" s="60"/>
      <c r="L319" s="60"/>
      <c r="M319" s="60">
        <f t="shared" si="129"/>
        <v>0</v>
      </c>
      <c r="N319" s="60"/>
      <c r="O319" s="68"/>
      <c r="P319" s="68"/>
      <c r="Q319" s="64"/>
    </row>
    <row r="320" spans="1:17" s="65" customFormat="1" ht="12.75" hidden="1">
      <c r="A320" s="799"/>
      <c r="B320" s="795"/>
      <c r="C320" s="38" t="s">
        <v>15</v>
      </c>
      <c r="D320" s="59">
        <f>D318+D319</f>
        <v>1400141</v>
      </c>
      <c r="E320" s="60">
        <f aca="true" t="shared" si="133" ref="E320:P320">E318+E319</f>
        <v>1400141</v>
      </c>
      <c r="F320" s="60">
        <f t="shared" si="133"/>
        <v>1398141</v>
      </c>
      <c r="G320" s="60">
        <f t="shared" si="133"/>
        <v>1121729</v>
      </c>
      <c r="H320" s="60">
        <f t="shared" si="133"/>
        <v>276412</v>
      </c>
      <c r="I320" s="60">
        <f t="shared" si="133"/>
        <v>0</v>
      </c>
      <c r="J320" s="60">
        <f t="shared" si="133"/>
        <v>2000</v>
      </c>
      <c r="K320" s="60">
        <f t="shared" si="133"/>
        <v>0</v>
      </c>
      <c r="L320" s="60">
        <f t="shared" si="133"/>
        <v>0</v>
      </c>
      <c r="M320" s="60">
        <f t="shared" si="133"/>
        <v>0</v>
      </c>
      <c r="N320" s="60">
        <f t="shared" si="133"/>
        <v>0</v>
      </c>
      <c r="O320" s="60">
        <f t="shared" si="133"/>
        <v>0</v>
      </c>
      <c r="P320" s="60">
        <f t="shared" si="133"/>
        <v>0</v>
      </c>
      <c r="Q320" s="64"/>
    </row>
    <row r="321" spans="1:17" s="35" customFormat="1" ht="12.75" hidden="1">
      <c r="A321" s="799">
        <v>85415</v>
      </c>
      <c r="B321" s="795" t="s">
        <v>212</v>
      </c>
      <c r="C321" s="38" t="s">
        <v>13</v>
      </c>
      <c r="D321" s="59">
        <f>E321+M321</f>
        <v>219000</v>
      </c>
      <c r="E321" s="60">
        <f>F321+I321+J321+K321+L321</f>
        <v>219000</v>
      </c>
      <c r="F321" s="60">
        <f>G321+H321</f>
        <v>0</v>
      </c>
      <c r="G321" s="60">
        <v>0</v>
      </c>
      <c r="H321" s="60">
        <v>0</v>
      </c>
      <c r="I321" s="60">
        <v>219000</v>
      </c>
      <c r="J321" s="60">
        <v>0</v>
      </c>
      <c r="K321" s="60">
        <v>0</v>
      </c>
      <c r="L321" s="60">
        <v>0</v>
      </c>
      <c r="M321" s="60">
        <f t="shared" si="129"/>
        <v>0</v>
      </c>
      <c r="N321" s="60">
        <v>0</v>
      </c>
      <c r="O321" s="68">
        <v>0</v>
      </c>
      <c r="P321" s="68">
        <v>0</v>
      </c>
      <c r="Q321" s="45"/>
    </row>
    <row r="322" spans="1:17" s="35" customFormat="1" ht="12.75" hidden="1">
      <c r="A322" s="799"/>
      <c r="B322" s="795"/>
      <c r="C322" s="38" t="s">
        <v>14</v>
      </c>
      <c r="D322" s="59">
        <f>E322+M322</f>
        <v>0</v>
      </c>
      <c r="E322" s="60">
        <f>F322+I322+J322+K322+L322</f>
        <v>0</v>
      </c>
      <c r="F322" s="60">
        <f>G322+H322</f>
        <v>0</v>
      </c>
      <c r="G322" s="60"/>
      <c r="H322" s="60"/>
      <c r="I322" s="60"/>
      <c r="J322" s="60"/>
      <c r="K322" s="60"/>
      <c r="L322" s="60"/>
      <c r="M322" s="60">
        <f t="shared" si="129"/>
        <v>0</v>
      </c>
      <c r="N322" s="60"/>
      <c r="O322" s="68"/>
      <c r="P322" s="68"/>
      <c r="Q322" s="45"/>
    </row>
    <row r="323" spans="1:17" s="35" customFormat="1" ht="12.75" hidden="1">
      <c r="A323" s="799"/>
      <c r="B323" s="795"/>
      <c r="C323" s="38" t="s">
        <v>15</v>
      </c>
      <c r="D323" s="59">
        <f>D321+D322</f>
        <v>219000</v>
      </c>
      <c r="E323" s="60">
        <f aca="true" t="shared" si="134" ref="E323:P323">E321+E322</f>
        <v>219000</v>
      </c>
      <c r="F323" s="60">
        <f t="shared" si="134"/>
        <v>0</v>
      </c>
      <c r="G323" s="60">
        <f t="shared" si="134"/>
        <v>0</v>
      </c>
      <c r="H323" s="60">
        <f t="shared" si="134"/>
        <v>0</v>
      </c>
      <c r="I323" s="60">
        <f t="shared" si="134"/>
        <v>219000</v>
      </c>
      <c r="J323" s="60">
        <f t="shared" si="134"/>
        <v>0</v>
      </c>
      <c r="K323" s="60">
        <f t="shared" si="134"/>
        <v>0</v>
      </c>
      <c r="L323" s="60">
        <f t="shared" si="134"/>
        <v>0</v>
      </c>
      <c r="M323" s="60">
        <f t="shared" si="134"/>
        <v>0</v>
      </c>
      <c r="N323" s="60">
        <f t="shared" si="134"/>
        <v>0</v>
      </c>
      <c r="O323" s="60">
        <f t="shared" si="134"/>
        <v>0</v>
      </c>
      <c r="P323" s="60">
        <f t="shared" si="134"/>
        <v>0</v>
      </c>
      <c r="Q323" s="45"/>
    </row>
    <row r="324" spans="1:17" s="35" customFormat="1" ht="12.75" hidden="1">
      <c r="A324" s="799">
        <v>85416</v>
      </c>
      <c r="B324" s="795" t="s">
        <v>191</v>
      </c>
      <c r="C324" s="38" t="s">
        <v>13</v>
      </c>
      <c r="D324" s="59">
        <f>E324+M324</f>
        <v>5842100</v>
      </c>
      <c r="E324" s="68">
        <f>F324+I324+J324+K324+L324</f>
        <v>5842100</v>
      </c>
      <c r="F324" s="68">
        <f>G324+H324</f>
        <v>0</v>
      </c>
      <c r="G324" s="68">
        <v>0</v>
      </c>
      <c r="H324" s="60">
        <v>0</v>
      </c>
      <c r="I324" s="60">
        <v>0</v>
      </c>
      <c r="J324" s="60">
        <v>0</v>
      </c>
      <c r="K324" s="60">
        <v>5842100</v>
      </c>
      <c r="L324" s="60">
        <v>0</v>
      </c>
      <c r="M324" s="60">
        <f t="shared" si="129"/>
        <v>0</v>
      </c>
      <c r="N324" s="60">
        <v>0</v>
      </c>
      <c r="O324" s="68">
        <v>0</v>
      </c>
      <c r="P324" s="68">
        <v>0</v>
      </c>
      <c r="Q324" s="45"/>
    </row>
    <row r="325" spans="1:17" s="35" customFormat="1" ht="12.75" hidden="1">
      <c r="A325" s="799"/>
      <c r="B325" s="795"/>
      <c r="C325" s="38" t="s">
        <v>14</v>
      </c>
      <c r="D325" s="59">
        <f>E325+M325</f>
        <v>0</v>
      </c>
      <c r="E325" s="68">
        <f>F325+I325+J325+K325+L325</f>
        <v>0</v>
      </c>
      <c r="F325" s="68">
        <f>G325+H325</f>
        <v>0</v>
      </c>
      <c r="G325" s="68"/>
      <c r="H325" s="60"/>
      <c r="I325" s="60"/>
      <c r="J325" s="60"/>
      <c r="K325" s="60"/>
      <c r="L325" s="60"/>
      <c r="M325" s="60">
        <f t="shared" si="129"/>
        <v>0</v>
      </c>
      <c r="N325" s="60"/>
      <c r="O325" s="68"/>
      <c r="P325" s="68"/>
      <c r="Q325" s="45"/>
    </row>
    <row r="326" spans="1:17" s="35" customFormat="1" ht="12.75" hidden="1">
      <c r="A326" s="799"/>
      <c r="B326" s="795"/>
      <c r="C326" s="38" t="s">
        <v>15</v>
      </c>
      <c r="D326" s="59">
        <f>D324+D325</f>
        <v>5842100</v>
      </c>
      <c r="E326" s="60">
        <f aca="true" t="shared" si="135" ref="E326:P326">E324+E325</f>
        <v>5842100</v>
      </c>
      <c r="F326" s="60">
        <f t="shared" si="135"/>
        <v>0</v>
      </c>
      <c r="G326" s="60">
        <f t="shared" si="135"/>
        <v>0</v>
      </c>
      <c r="H326" s="60">
        <f t="shared" si="135"/>
        <v>0</v>
      </c>
      <c r="I326" s="60">
        <f t="shared" si="135"/>
        <v>0</v>
      </c>
      <c r="J326" s="60">
        <f t="shared" si="135"/>
        <v>0</v>
      </c>
      <c r="K326" s="60">
        <f t="shared" si="135"/>
        <v>5842100</v>
      </c>
      <c r="L326" s="60">
        <f t="shared" si="135"/>
        <v>0</v>
      </c>
      <c r="M326" s="60">
        <f t="shared" si="135"/>
        <v>0</v>
      </c>
      <c r="N326" s="60">
        <f t="shared" si="135"/>
        <v>0</v>
      </c>
      <c r="O326" s="60">
        <f t="shared" si="135"/>
        <v>0</v>
      </c>
      <c r="P326" s="60">
        <f t="shared" si="135"/>
        <v>0</v>
      </c>
      <c r="Q326" s="45"/>
    </row>
    <row r="327" spans="1:17" s="65" customFormat="1" ht="12.75">
      <c r="A327" s="799">
        <v>85446</v>
      </c>
      <c r="B327" s="795" t="s">
        <v>168</v>
      </c>
      <c r="C327" s="38" t="s">
        <v>13</v>
      </c>
      <c r="D327" s="59">
        <f>E327+M327</f>
        <v>100000</v>
      </c>
      <c r="E327" s="68">
        <f>F327+I327+J327+K327+L327</f>
        <v>100000</v>
      </c>
      <c r="F327" s="68">
        <f>G327+H327</f>
        <v>100000</v>
      </c>
      <c r="G327" s="68">
        <v>0</v>
      </c>
      <c r="H327" s="60">
        <v>100000</v>
      </c>
      <c r="I327" s="60">
        <v>0</v>
      </c>
      <c r="J327" s="60">
        <v>0</v>
      </c>
      <c r="K327" s="60">
        <v>0</v>
      </c>
      <c r="L327" s="60">
        <v>0</v>
      </c>
      <c r="M327" s="60">
        <f t="shared" si="129"/>
        <v>0</v>
      </c>
      <c r="N327" s="60">
        <v>0</v>
      </c>
      <c r="O327" s="68">
        <v>0</v>
      </c>
      <c r="P327" s="68">
        <v>0</v>
      </c>
      <c r="Q327" s="64"/>
    </row>
    <row r="328" spans="1:17" s="65" customFormat="1" ht="12.75">
      <c r="A328" s="799"/>
      <c r="B328" s="795"/>
      <c r="C328" s="38" t="s">
        <v>14</v>
      </c>
      <c r="D328" s="59">
        <f>E328+M328</f>
        <v>-23000</v>
      </c>
      <c r="E328" s="68">
        <f>F328+I328+J328+K328+L328</f>
        <v>-23000</v>
      </c>
      <c r="F328" s="68">
        <f>G328+H328</f>
        <v>-23000</v>
      </c>
      <c r="G328" s="68"/>
      <c r="H328" s="60">
        <v>-23000</v>
      </c>
      <c r="I328" s="60"/>
      <c r="J328" s="60"/>
      <c r="K328" s="60"/>
      <c r="L328" s="60"/>
      <c r="M328" s="60">
        <f t="shared" si="129"/>
        <v>0</v>
      </c>
      <c r="N328" s="60"/>
      <c r="O328" s="68"/>
      <c r="P328" s="68"/>
      <c r="Q328" s="64"/>
    </row>
    <row r="329" spans="1:17" s="65" customFormat="1" ht="12.75">
      <c r="A329" s="799"/>
      <c r="B329" s="795"/>
      <c r="C329" s="38" t="s">
        <v>15</v>
      </c>
      <c r="D329" s="59">
        <f>D327+D328</f>
        <v>77000</v>
      </c>
      <c r="E329" s="60">
        <f aca="true" t="shared" si="136" ref="E329:P329">E327+E328</f>
        <v>77000</v>
      </c>
      <c r="F329" s="60">
        <f t="shared" si="136"/>
        <v>77000</v>
      </c>
      <c r="G329" s="60">
        <f t="shared" si="136"/>
        <v>0</v>
      </c>
      <c r="H329" s="60">
        <f t="shared" si="136"/>
        <v>77000</v>
      </c>
      <c r="I329" s="60">
        <f t="shared" si="136"/>
        <v>0</v>
      </c>
      <c r="J329" s="60">
        <f t="shared" si="136"/>
        <v>0</v>
      </c>
      <c r="K329" s="60">
        <f t="shared" si="136"/>
        <v>0</v>
      </c>
      <c r="L329" s="60">
        <f t="shared" si="136"/>
        <v>0</v>
      </c>
      <c r="M329" s="60">
        <f t="shared" si="136"/>
        <v>0</v>
      </c>
      <c r="N329" s="60">
        <f t="shared" si="136"/>
        <v>0</v>
      </c>
      <c r="O329" s="60">
        <f t="shared" si="136"/>
        <v>0</v>
      </c>
      <c r="P329" s="60">
        <f t="shared" si="136"/>
        <v>0</v>
      </c>
      <c r="Q329" s="64"/>
    </row>
    <row r="330" spans="1:17" s="65" customFormat="1" ht="12.75" hidden="1">
      <c r="A330" s="799">
        <v>85495</v>
      </c>
      <c r="B330" s="795" t="s">
        <v>52</v>
      </c>
      <c r="C330" s="38" t="s">
        <v>13</v>
      </c>
      <c r="D330" s="59">
        <f>E330+M330</f>
        <v>446129</v>
      </c>
      <c r="E330" s="60">
        <f>F330+I330+J330+K330+L330</f>
        <v>446129</v>
      </c>
      <c r="F330" s="60">
        <f>G330+H330</f>
        <v>306129</v>
      </c>
      <c r="G330" s="60">
        <v>0</v>
      </c>
      <c r="H330" s="60">
        <v>306129</v>
      </c>
      <c r="I330" s="60">
        <v>100000</v>
      </c>
      <c r="J330" s="60">
        <v>40000</v>
      </c>
      <c r="K330" s="60">
        <v>0</v>
      </c>
      <c r="L330" s="60">
        <v>0</v>
      </c>
      <c r="M330" s="60">
        <f t="shared" si="129"/>
        <v>0</v>
      </c>
      <c r="N330" s="60">
        <v>0</v>
      </c>
      <c r="O330" s="60">
        <v>0</v>
      </c>
      <c r="P330" s="60">
        <v>0</v>
      </c>
      <c r="Q330" s="64"/>
    </row>
    <row r="331" spans="1:17" s="65" customFormat="1" ht="12.75" hidden="1">
      <c r="A331" s="799"/>
      <c r="B331" s="795"/>
      <c r="C331" s="38" t="s">
        <v>14</v>
      </c>
      <c r="D331" s="59">
        <f>E331+M331</f>
        <v>0</v>
      </c>
      <c r="E331" s="68">
        <f>F331+I331+J331+K331+L331</f>
        <v>0</v>
      </c>
      <c r="F331" s="68">
        <f>G331+H331</f>
        <v>0</v>
      </c>
      <c r="G331" s="68"/>
      <c r="H331" s="60"/>
      <c r="I331" s="60"/>
      <c r="J331" s="60"/>
      <c r="K331" s="60"/>
      <c r="L331" s="60"/>
      <c r="M331" s="60">
        <f t="shared" si="129"/>
        <v>0</v>
      </c>
      <c r="N331" s="60"/>
      <c r="O331" s="68"/>
      <c r="P331" s="68"/>
      <c r="Q331" s="64"/>
    </row>
    <row r="332" spans="1:17" s="65" customFormat="1" ht="12.75" hidden="1">
      <c r="A332" s="799"/>
      <c r="B332" s="795"/>
      <c r="C332" s="38" t="s">
        <v>15</v>
      </c>
      <c r="D332" s="59">
        <f>D330+D331</f>
        <v>446129</v>
      </c>
      <c r="E332" s="60">
        <f aca="true" t="shared" si="137" ref="E332:P332">E330+E331</f>
        <v>446129</v>
      </c>
      <c r="F332" s="60">
        <f t="shared" si="137"/>
        <v>306129</v>
      </c>
      <c r="G332" s="60">
        <f t="shared" si="137"/>
        <v>0</v>
      </c>
      <c r="H332" s="60">
        <f t="shared" si="137"/>
        <v>306129</v>
      </c>
      <c r="I332" s="60">
        <f t="shared" si="137"/>
        <v>100000</v>
      </c>
      <c r="J332" s="60">
        <f t="shared" si="137"/>
        <v>40000</v>
      </c>
      <c r="K332" s="60">
        <f t="shared" si="137"/>
        <v>0</v>
      </c>
      <c r="L332" s="60">
        <f t="shared" si="137"/>
        <v>0</v>
      </c>
      <c r="M332" s="60">
        <f t="shared" si="137"/>
        <v>0</v>
      </c>
      <c r="N332" s="60">
        <f t="shared" si="137"/>
        <v>0</v>
      </c>
      <c r="O332" s="60">
        <f t="shared" si="137"/>
        <v>0</v>
      </c>
      <c r="P332" s="60">
        <f t="shared" si="137"/>
        <v>0</v>
      </c>
      <c r="Q332" s="64"/>
    </row>
    <row r="333" spans="1:17" s="40" customFormat="1" ht="16.5" customHeight="1">
      <c r="A333" s="800">
        <v>855</v>
      </c>
      <c r="B333" s="801" t="s">
        <v>63</v>
      </c>
      <c r="C333" s="37" t="s">
        <v>13</v>
      </c>
      <c r="D333" s="57">
        <f>D336+D339</f>
        <v>1761000</v>
      </c>
      <c r="E333" s="58">
        <f>E336+E339</f>
        <v>1761000</v>
      </c>
      <c r="F333" s="58">
        <f aca="true" t="shared" si="138" ref="F333:P333">F336+F339</f>
        <v>1620570</v>
      </c>
      <c r="G333" s="58">
        <f t="shared" si="138"/>
        <v>1430281</v>
      </c>
      <c r="H333" s="58">
        <f t="shared" si="138"/>
        <v>190289</v>
      </c>
      <c r="I333" s="58">
        <f t="shared" si="138"/>
        <v>139430</v>
      </c>
      <c r="J333" s="58">
        <f t="shared" si="138"/>
        <v>1000</v>
      </c>
      <c r="K333" s="58">
        <f t="shared" si="138"/>
        <v>0</v>
      </c>
      <c r="L333" s="58">
        <f t="shared" si="138"/>
        <v>0</v>
      </c>
      <c r="M333" s="58">
        <f t="shared" si="138"/>
        <v>0</v>
      </c>
      <c r="N333" s="58">
        <f t="shared" si="138"/>
        <v>0</v>
      </c>
      <c r="O333" s="58">
        <f t="shared" si="138"/>
        <v>0</v>
      </c>
      <c r="P333" s="58">
        <f t="shared" si="138"/>
        <v>0</v>
      </c>
      <c r="Q333" s="47"/>
    </row>
    <row r="334" spans="1:17" s="40" customFormat="1" ht="16.5" customHeight="1">
      <c r="A334" s="800"/>
      <c r="B334" s="801"/>
      <c r="C334" s="37" t="s">
        <v>14</v>
      </c>
      <c r="D334" s="57">
        <f>D337+D340</f>
        <v>7883255</v>
      </c>
      <c r="E334" s="58">
        <f>E337+E340</f>
        <v>7883255</v>
      </c>
      <c r="F334" s="58">
        <f aca="true" t="shared" si="139" ref="F334:P334">F337+F340</f>
        <v>176000</v>
      </c>
      <c r="G334" s="58">
        <f t="shared" si="139"/>
        <v>2000</v>
      </c>
      <c r="H334" s="58">
        <f t="shared" si="139"/>
        <v>174000</v>
      </c>
      <c r="I334" s="58">
        <f t="shared" si="139"/>
        <v>1050000</v>
      </c>
      <c r="J334" s="58">
        <f t="shared" si="139"/>
        <v>0</v>
      </c>
      <c r="K334" s="58">
        <f t="shared" si="139"/>
        <v>6657255</v>
      </c>
      <c r="L334" s="58">
        <f t="shared" si="139"/>
        <v>0</v>
      </c>
      <c r="M334" s="58">
        <f t="shared" si="139"/>
        <v>0</v>
      </c>
      <c r="N334" s="58">
        <f t="shared" si="139"/>
        <v>0</v>
      </c>
      <c r="O334" s="58">
        <f t="shared" si="139"/>
        <v>0</v>
      </c>
      <c r="P334" s="58">
        <f t="shared" si="139"/>
        <v>0</v>
      </c>
      <c r="Q334" s="47"/>
    </row>
    <row r="335" spans="1:17" s="40" customFormat="1" ht="16.5" customHeight="1">
      <c r="A335" s="800"/>
      <c r="B335" s="801"/>
      <c r="C335" s="37" t="s">
        <v>15</v>
      </c>
      <c r="D335" s="70">
        <f>D333+D334</f>
        <v>9644255</v>
      </c>
      <c r="E335" s="58">
        <f aca="true" t="shared" si="140" ref="E335:P335">E333+E334</f>
        <v>9644255</v>
      </c>
      <c r="F335" s="58">
        <f t="shared" si="140"/>
        <v>1796570</v>
      </c>
      <c r="G335" s="58">
        <f t="shared" si="140"/>
        <v>1432281</v>
      </c>
      <c r="H335" s="58">
        <f t="shared" si="140"/>
        <v>364289</v>
      </c>
      <c r="I335" s="58">
        <f t="shared" si="140"/>
        <v>1189430</v>
      </c>
      <c r="J335" s="58">
        <f t="shared" si="140"/>
        <v>1000</v>
      </c>
      <c r="K335" s="58">
        <f t="shared" si="140"/>
        <v>6657255</v>
      </c>
      <c r="L335" s="58">
        <f t="shared" si="140"/>
        <v>0</v>
      </c>
      <c r="M335" s="58">
        <f t="shared" si="140"/>
        <v>0</v>
      </c>
      <c r="N335" s="58">
        <f t="shared" si="140"/>
        <v>0</v>
      </c>
      <c r="O335" s="58">
        <f t="shared" si="140"/>
        <v>0</v>
      </c>
      <c r="P335" s="58">
        <f t="shared" si="140"/>
        <v>0</v>
      </c>
      <c r="Q335" s="47"/>
    </row>
    <row r="336" spans="1:18" s="65" customFormat="1" ht="12.75" hidden="1">
      <c r="A336" s="799">
        <v>85509</v>
      </c>
      <c r="B336" s="795" t="s">
        <v>87</v>
      </c>
      <c r="C336" s="38" t="s">
        <v>13</v>
      </c>
      <c r="D336" s="59">
        <f>E336+M336</f>
        <v>1761000</v>
      </c>
      <c r="E336" s="68">
        <f>F336+I336+J336+K336+L336</f>
        <v>1761000</v>
      </c>
      <c r="F336" s="68">
        <f>G336+H336</f>
        <v>1620570</v>
      </c>
      <c r="G336" s="68">
        <v>1430281</v>
      </c>
      <c r="H336" s="60">
        <v>190289</v>
      </c>
      <c r="I336" s="60">
        <v>139430</v>
      </c>
      <c r="J336" s="60">
        <v>1000</v>
      </c>
      <c r="K336" s="60">
        <v>0</v>
      </c>
      <c r="L336" s="60">
        <v>0</v>
      </c>
      <c r="M336" s="60">
        <f>N336+P336</f>
        <v>0</v>
      </c>
      <c r="N336" s="60">
        <v>0</v>
      </c>
      <c r="O336" s="68">
        <v>0</v>
      </c>
      <c r="P336" s="68">
        <v>0</v>
      </c>
      <c r="Q336" s="102"/>
      <c r="R336" s="103"/>
    </row>
    <row r="337" spans="1:18" s="65" customFormat="1" ht="12.75" hidden="1">
      <c r="A337" s="799"/>
      <c r="B337" s="795"/>
      <c r="C337" s="38" t="s">
        <v>14</v>
      </c>
      <c r="D337" s="59">
        <f>E337+M337</f>
        <v>0</v>
      </c>
      <c r="E337" s="68">
        <f>F337+I337+J337+K337+L337</f>
        <v>0</v>
      </c>
      <c r="F337" s="68">
        <f>G337+H337</f>
        <v>0</v>
      </c>
      <c r="G337" s="68"/>
      <c r="H337" s="60"/>
      <c r="I337" s="60"/>
      <c r="J337" s="60"/>
      <c r="K337" s="60"/>
      <c r="L337" s="60"/>
      <c r="M337" s="60">
        <f>N337+P337</f>
        <v>0</v>
      </c>
      <c r="N337" s="60"/>
      <c r="O337" s="68"/>
      <c r="P337" s="68"/>
      <c r="Q337" s="102"/>
      <c r="R337" s="103"/>
    </row>
    <row r="338" spans="1:18" s="65" customFormat="1" ht="12.75" hidden="1">
      <c r="A338" s="799"/>
      <c r="B338" s="795"/>
      <c r="C338" s="38" t="s">
        <v>15</v>
      </c>
      <c r="D338" s="59">
        <f>D336+D337</f>
        <v>1761000</v>
      </c>
      <c r="E338" s="60">
        <f aca="true" t="shared" si="141" ref="E338:P338">E336+E337</f>
        <v>1761000</v>
      </c>
      <c r="F338" s="60">
        <f t="shared" si="141"/>
        <v>1620570</v>
      </c>
      <c r="G338" s="60">
        <f t="shared" si="141"/>
        <v>1430281</v>
      </c>
      <c r="H338" s="60">
        <f t="shared" si="141"/>
        <v>190289</v>
      </c>
      <c r="I338" s="60">
        <f t="shared" si="141"/>
        <v>139430</v>
      </c>
      <c r="J338" s="60">
        <f t="shared" si="141"/>
        <v>1000</v>
      </c>
      <c r="K338" s="60">
        <f t="shared" si="141"/>
        <v>0</v>
      </c>
      <c r="L338" s="60">
        <f t="shared" si="141"/>
        <v>0</v>
      </c>
      <c r="M338" s="60">
        <f t="shared" si="141"/>
        <v>0</v>
      </c>
      <c r="N338" s="60">
        <f t="shared" si="141"/>
        <v>0</v>
      </c>
      <c r="O338" s="60">
        <f t="shared" si="141"/>
        <v>0</v>
      </c>
      <c r="P338" s="60">
        <f t="shared" si="141"/>
        <v>0</v>
      </c>
      <c r="Q338" s="104"/>
      <c r="R338" s="105"/>
    </row>
    <row r="339" spans="1:17" s="65" customFormat="1" ht="12.75">
      <c r="A339" s="799">
        <v>85595</v>
      </c>
      <c r="B339" s="795" t="s">
        <v>52</v>
      </c>
      <c r="C339" s="38" t="s">
        <v>13</v>
      </c>
      <c r="D339" s="59">
        <f>E339+M339</f>
        <v>0</v>
      </c>
      <c r="E339" s="68">
        <f>F339+I339+J339+K339+L339</f>
        <v>0</v>
      </c>
      <c r="F339" s="68">
        <f>G339+H339</f>
        <v>0</v>
      </c>
      <c r="G339" s="68">
        <v>0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>
        <f>N339+P339</f>
        <v>0</v>
      </c>
      <c r="N339" s="60">
        <v>0</v>
      </c>
      <c r="O339" s="68">
        <v>0</v>
      </c>
      <c r="P339" s="68">
        <v>0</v>
      </c>
      <c r="Q339" s="64"/>
    </row>
    <row r="340" spans="1:17" s="65" customFormat="1" ht="12.75">
      <c r="A340" s="799"/>
      <c r="B340" s="795"/>
      <c r="C340" s="38" t="s">
        <v>14</v>
      </c>
      <c r="D340" s="59">
        <f>E340+M340</f>
        <v>7883255</v>
      </c>
      <c r="E340" s="68">
        <f>F340+I340+J340+K340+L340</f>
        <v>7883255</v>
      </c>
      <c r="F340" s="68">
        <f>G340+H340</f>
        <v>176000</v>
      </c>
      <c r="G340" s="68">
        <v>2000</v>
      </c>
      <c r="H340" s="60">
        <f>4000+3400+2600+164000</f>
        <v>174000</v>
      </c>
      <c r="I340" s="60">
        <v>1050000</v>
      </c>
      <c r="J340" s="60"/>
      <c r="K340" s="60">
        <f>5330166+438955+294579+24259+8759+721+52144+4294+7432+612+5544+456+9793+807+2033+167+1848+152+924+76+429557+35377+924+76+5174+426+1848+152</f>
        <v>6657255</v>
      </c>
      <c r="L340" s="60"/>
      <c r="M340" s="60">
        <f>N340+P340</f>
        <v>0</v>
      </c>
      <c r="N340" s="60"/>
      <c r="O340" s="68"/>
      <c r="P340" s="68"/>
      <c r="Q340" s="64"/>
    </row>
    <row r="341" spans="1:17" s="65" customFormat="1" ht="12.75">
      <c r="A341" s="799"/>
      <c r="B341" s="795"/>
      <c r="C341" s="38" t="s">
        <v>15</v>
      </c>
      <c r="D341" s="59">
        <f>D339+D340</f>
        <v>7883255</v>
      </c>
      <c r="E341" s="60">
        <f aca="true" t="shared" si="142" ref="E341:P341">E339+E340</f>
        <v>7883255</v>
      </c>
      <c r="F341" s="60">
        <f t="shared" si="142"/>
        <v>176000</v>
      </c>
      <c r="G341" s="60">
        <f t="shared" si="142"/>
        <v>2000</v>
      </c>
      <c r="H341" s="60">
        <f t="shared" si="142"/>
        <v>174000</v>
      </c>
      <c r="I341" s="60">
        <f t="shared" si="142"/>
        <v>1050000</v>
      </c>
      <c r="J341" s="60">
        <f t="shared" si="142"/>
        <v>0</v>
      </c>
      <c r="K341" s="60">
        <f t="shared" si="142"/>
        <v>6657255</v>
      </c>
      <c r="L341" s="60">
        <f t="shared" si="142"/>
        <v>0</v>
      </c>
      <c r="M341" s="60">
        <f t="shared" si="142"/>
        <v>0</v>
      </c>
      <c r="N341" s="60">
        <f t="shared" si="142"/>
        <v>0</v>
      </c>
      <c r="O341" s="60">
        <f t="shared" si="142"/>
        <v>0</v>
      </c>
      <c r="P341" s="60">
        <f t="shared" si="142"/>
        <v>0</v>
      </c>
      <c r="Q341" s="64"/>
    </row>
    <row r="342" spans="1:17" s="40" customFormat="1" ht="15.75" customHeight="1">
      <c r="A342" s="800">
        <v>900</v>
      </c>
      <c r="B342" s="797" t="s">
        <v>38</v>
      </c>
      <c r="C342" s="37" t="s">
        <v>13</v>
      </c>
      <c r="D342" s="57">
        <f>D348+D351+D357+D360+D363+D369+D366+D345+D354</f>
        <v>19449762</v>
      </c>
      <c r="E342" s="58">
        <f>E348+E351+E357+E360+E363+E369+E366+E345+E354</f>
        <v>5388130</v>
      </c>
      <c r="F342" s="58">
        <f aca="true" t="shared" si="143" ref="F342:P342">F348+F351+F357+F360+F363+F369+F366+F345+F354</f>
        <v>2081851</v>
      </c>
      <c r="G342" s="58">
        <f t="shared" si="143"/>
        <v>1320581</v>
      </c>
      <c r="H342" s="58">
        <f t="shared" si="143"/>
        <v>761270</v>
      </c>
      <c r="I342" s="58">
        <f t="shared" si="143"/>
        <v>0</v>
      </c>
      <c r="J342" s="58">
        <f t="shared" si="143"/>
        <v>0</v>
      </c>
      <c r="K342" s="58">
        <f t="shared" si="143"/>
        <v>3306279</v>
      </c>
      <c r="L342" s="58">
        <f t="shared" si="143"/>
        <v>0</v>
      </c>
      <c r="M342" s="58">
        <f t="shared" si="143"/>
        <v>14061632</v>
      </c>
      <c r="N342" s="58">
        <f t="shared" si="143"/>
        <v>12561632</v>
      </c>
      <c r="O342" s="58">
        <f t="shared" si="143"/>
        <v>12551632</v>
      </c>
      <c r="P342" s="58">
        <f t="shared" si="143"/>
        <v>1500000</v>
      </c>
      <c r="Q342" s="47"/>
    </row>
    <row r="343" spans="1:17" s="40" customFormat="1" ht="15.75" customHeight="1">
      <c r="A343" s="800"/>
      <c r="B343" s="797"/>
      <c r="C343" s="37" t="s">
        <v>14</v>
      </c>
      <c r="D343" s="57">
        <f>D349+D352+D358+D361+D364+D370+D367+D346+D355</f>
        <v>-4047230</v>
      </c>
      <c r="E343" s="58">
        <f>E349+E352+E358+E361+E364+E370+E367+E346+E355</f>
        <v>140000</v>
      </c>
      <c r="F343" s="58">
        <f aca="true" t="shared" si="144" ref="F343:P343">F349+F352+F358+F361+F364+F370+F367+F346+F355</f>
        <v>140000</v>
      </c>
      <c r="G343" s="58">
        <f t="shared" si="144"/>
        <v>-8236</v>
      </c>
      <c r="H343" s="58">
        <f t="shared" si="144"/>
        <v>148236</v>
      </c>
      <c r="I343" s="58">
        <f t="shared" si="144"/>
        <v>0</v>
      </c>
      <c r="J343" s="58">
        <f t="shared" si="144"/>
        <v>0</v>
      </c>
      <c r="K343" s="58">
        <f t="shared" si="144"/>
        <v>0</v>
      </c>
      <c r="L343" s="58">
        <f t="shared" si="144"/>
        <v>0</v>
      </c>
      <c r="M343" s="58">
        <f t="shared" si="144"/>
        <v>-4187230</v>
      </c>
      <c r="N343" s="58">
        <f t="shared" si="144"/>
        <v>-4187230</v>
      </c>
      <c r="O343" s="58">
        <f t="shared" si="144"/>
        <v>-4238849</v>
      </c>
      <c r="P343" s="58">
        <f t="shared" si="144"/>
        <v>0</v>
      </c>
      <c r="Q343" s="47"/>
    </row>
    <row r="344" spans="1:17" s="40" customFormat="1" ht="15.75" customHeight="1">
      <c r="A344" s="800"/>
      <c r="B344" s="797"/>
      <c r="C344" s="37" t="s">
        <v>15</v>
      </c>
      <c r="D344" s="70">
        <f>D342+D343</f>
        <v>15402532</v>
      </c>
      <c r="E344" s="58">
        <f aca="true" t="shared" si="145" ref="E344:P344">E342+E343</f>
        <v>5528130</v>
      </c>
      <c r="F344" s="58">
        <f t="shared" si="145"/>
        <v>2221851</v>
      </c>
      <c r="G344" s="58">
        <f t="shared" si="145"/>
        <v>1312345</v>
      </c>
      <c r="H344" s="58">
        <f t="shared" si="145"/>
        <v>909506</v>
      </c>
      <c r="I344" s="58">
        <f t="shared" si="145"/>
        <v>0</v>
      </c>
      <c r="J344" s="58">
        <f t="shared" si="145"/>
        <v>0</v>
      </c>
      <c r="K344" s="58">
        <f t="shared" si="145"/>
        <v>3306279</v>
      </c>
      <c r="L344" s="58">
        <f t="shared" si="145"/>
        <v>0</v>
      </c>
      <c r="M344" s="58">
        <f t="shared" si="145"/>
        <v>9874402</v>
      </c>
      <c r="N344" s="58">
        <f t="shared" si="145"/>
        <v>8374402</v>
      </c>
      <c r="O344" s="58">
        <f t="shared" si="145"/>
        <v>8312783</v>
      </c>
      <c r="P344" s="58">
        <f t="shared" si="145"/>
        <v>1500000</v>
      </c>
      <c r="Q344" s="47"/>
    </row>
    <row r="345" spans="1:17" s="65" customFormat="1" ht="13.5" customHeight="1">
      <c r="A345" s="799">
        <v>90001</v>
      </c>
      <c r="B345" s="795" t="s">
        <v>364</v>
      </c>
      <c r="C345" s="38" t="s">
        <v>13</v>
      </c>
      <c r="D345" s="59">
        <f>E345+M345</f>
        <v>0</v>
      </c>
      <c r="E345" s="68">
        <f>F345+I345+J345+K345+L345</f>
        <v>0</v>
      </c>
      <c r="F345" s="68">
        <f>G345+H345</f>
        <v>0</v>
      </c>
      <c r="G345" s="68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f>N345+P345</f>
        <v>0</v>
      </c>
      <c r="N345" s="60">
        <v>0</v>
      </c>
      <c r="O345" s="68">
        <v>0</v>
      </c>
      <c r="P345" s="68">
        <v>0</v>
      </c>
      <c r="Q345" s="64"/>
    </row>
    <row r="346" spans="1:17" s="65" customFormat="1" ht="13.5" customHeight="1">
      <c r="A346" s="799"/>
      <c r="B346" s="795"/>
      <c r="C346" s="38" t="s">
        <v>14</v>
      </c>
      <c r="D346" s="59">
        <f>E346+M346</f>
        <v>45710</v>
      </c>
      <c r="E346" s="60">
        <f>F346+I346+J346+K346+L346</f>
        <v>0</v>
      </c>
      <c r="F346" s="60">
        <f>G346+H346</f>
        <v>0</v>
      </c>
      <c r="G346" s="60"/>
      <c r="H346" s="60"/>
      <c r="I346" s="60"/>
      <c r="J346" s="60"/>
      <c r="K346" s="60"/>
      <c r="L346" s="60"/>
      <c r="M346" s="60">
        <f>N346+P346</f>
        <v>45710</v>
      </c>
      <c r="N346" s="60">
        <v>45710</v>
      </c>
      <c r="O346" s="60"/>
      <c r="P346" s="60"/>
      <c r="Q346" s="64"/>
    </row>
    <row r="347" spans="1:17" s="65" customFormat="1" ht="13.5" customHeight="1">
      <c r="A347" s="799"/>
      <c r="B347" s="795"/>
      <c r="C347" s="38" t="s">
        <v>15</v>
      </c>
      <c r="D347" s="59">
        <f>D345+D346</f>
        <v>45710</v>
      </c>
      <c r="E347" s="60">
        <f aca="true" t="shared" si="146" ref="E347:P347">E345+E346</f>
        <v>0</v>
      </c>
      <c r="F347" s="60">
        <f t="shared" si="146"/>
        <v>0</v>
      </c>
      <c r="G347" s="60">
        <f t="shared" si="146"/>
        <v>0</v>
      </c>
      <c r="H347" s="60">
        <f t="shared" si="146"/>
        <v>0</v>
      </c>
      <c r="I347" s="60">
        <f t="shared" si="146"/>
        <v>0</v>
      </c>
      <c r="J347" s="60">
        <f t="shared" si="146"/>
        <v>0</v>
      </c>
      <c r="K347" s="60">
        <f t="shared" si="146"/>
        <v>0</v>
      </c>
      <c r="L347" s="60">
        <f t="shared" si="146"/>
        <v>0</v>
      </c>
      <c r="M347" s="60">
        <f t="shared" si="146"/>
        <v>45710</v>
      </c>
      <c r="N347" s="60">
        <f t="shared" si="146"/>
        <v>45710</v>
      </c>
      <c r="O347" s="60">
        <f t="shared" si="146"/>
        <v>0</v>
      </c>
      <c r="P347" s="60">
        <f t="shared" si="146"/>
        <v>0</v>
      </c>
      <c r="Q347" s="64"/>
    </row>
    <row r="348" spans="1:17" s="65" customFormat="1" ht="13.5" customHeight="1">
      <c r="A348" s="799">
        <v>90005</v>
      </c>
      <c r="B348" s="795" t="s">
        <v>64</v>
      </c>
      <c r="C348" s="38" t="s">
        <v>13</v>
      </c>
      <c r="D348" s="59">
        <f>E348+M348</f>
        <v>147000</v>
      </c>
      <c r="E348" s="68">
        <f>F348+I348+J348+K348+L348</f>
        <v>137000</v>
      </c>
      <c r="F348" s="68">
        <f>G348+H348</f>
        <v>137000</v>
      </c>
      <c r="G348" s="68">
        <v>0</v>
      </c>
      <c r="H348" s="60">
        <v>137000</v>
      </c>
      <c r="I348" s="60">
        <v>0</v>
      </c>
      <c r="J348" s="60">
        <v>0</v>
      </c>
      <c r="K348" s="60">
        <v>0</v>
      </c>
      <c r="L348" s="60">
        <v>0</v>
      </c>
      <c r="M348" s="60">
        <f aca="true" t="shared" si="147" ref="M348:M370">N348+P348</f>
        <v>10000</v>
      </c>
      <c r="N348" s="60">
        <v>10000</v>
      </c>
      <c r="O348" s="68">
        <v>0</v>
      </c>
      <c r="P348" s="68">
        <v>0</v>
      </c>
      <c r="Q348" s="64"/>
    </row>
    <row r="349" spans="1:17" s="65" customFormat="1" ht="13.5" customHeight="1">
      <c r="A349" s="799"/>
      <c r="B349" s="795"/>
      <c r="C349" s="38" t="s">
        <v>14</v>
      </c>
      <c r="D349" s="59">
        <f>E349+M349</f>
        <v>-10000</v>
      </c>
      <c r="E349" s="60">
        <f>F349+I349+J349+K349+L349</f>
        <v>0</v>
      </c>
      <c r="F349" s="60">
        <f>G349+H349</f>
        <v>0</v>
      </c>
      <c r="G349" s="60"/>
      <c r="H349" s="60"/>
      <c r="I349" s="60"/>
      <c r="J349" s="60"/>
      <c r="K349" s="60"/>
      <c r="L349" s="60"/>
      <c r="M349" s="60">
        <f t="shared" si="147"/>
        <v>-10000</v>
      </c>
      <c r="N349" s="60">
        <v>-10000</v>
      </c>
      <c r="O349" s="60"/>
      <c r="P349" s="60"/>
      <c r="Q349" s="64"/>
    </row>
    <row r="350" spans="1:17" s="65" customFormat="1" ht="13.5" customHeight="1">
      <c r="A350" s="799"/>
      <c r="B350" s="795"/>
      <c r="C350" s="38" t="s">
        <v>15</v>
      </c>
      <c r="D350" s="59">
        <f>D348+D349</f>
        <v>137000</v>
      </c>
      <c r="E350" s="60">
        <f aca="true" t="shared" si="148" ref="E350:P350">E348+E349</f>
        <v>137000</v>
      </c>
      <c r="F350" s="60">
        <f t="shared" si="148"/>
        <v>137000</v>
      </c>
      <c r="G350" s="60">
        <f t="shared" si="148"/>
        <v>0</v>
      </c>
      <c r="H350" s="60">
        <f t="shared" si="148"/>
        <v>137000</v>
      </c>
      <c r="I350" s="60">
        <f t="shared" si="148"/>
        <v>0</v>
      </c>
      <c r="J350" s="60">
        <f t="shared" si="148"/>
        <v>0</v>
      </c>
      <c r="K350" s="60">
        <f t="shared" si="148"/>
        <v>0</v>
      </c>
      <c r="L350" s="60">
        <f t="shared" si="148"/>
        <v>0</v>
      </c>
      <c r="M350" s="60">
        <f t="shared" si="148"/>
        <v>0</v>
      </c>
      <c r="N350" s="60">
        <f t="shared" si="148"/>
        <v>0</v>
      </c>
      <c r="O350" s="60">
        <f t="shared" si="148"/>
        <v>0</v>
      </c>
      <c r="P350" s="60">
        <f t="shared" si="148"/>
        <v>0</v>
      </c>
      <c r="Q350" s="64"/>
    </row>
    <row r="351" spans="1:17" s="65" customFormat="1" ht="12.75" hidden="1">
      <c r="A351" s="799">
        <v>90007</v>
      </c>
      <c r="B351" s="795" t="s">
        <v>65</v>
      </c>
      <c r="C351" s="38" t="s">
        <v>13</v>
      </c>
      <c r="D351" s="59">
        <f>E351+M351</f>
        <v>59000</v>
      </c>
      <c r="E351" s="68">
        <f>F351+I351+J351+K351+L351</f>
        <v>59000</v>
      </c>
      <c r="F351" s="68">
        <f>G351+H351</f>
        <v>59000</v>
      </c>
      <c r="G351" s="68">
        <v>0</v>
      </c>
      <c r="H351" s="60">
        <v>59000</v>
      </c>
      <c r="I351" s="60">
        <v>0</v>
      </c>
      <c r="J351" s="60">
        <v>0</v>
      </c>
      <c r="K351" s="60">
        <v>0</v>
      </c>
      <c r="L351" s="60">
        <v>0</v>
      </c>
      <c r="M351" s="60">
        <f t="shared" si="147"/>
        <v>0</v>
      </c>
      <c r="N351" s="60">
        <v>0</v>
      </c>
      <c r="O351" s="68">
        <v>0</v>
      </c>
      <c r="P351" s="68">
        <v>0</v>
      </c>
      <c r="Q351" s="64"/>
    </row>
    <row r="352" spans="1:17" s="65" customFormat="1" ht="12.75" hidden="1">
      <c r="A352" s="799"/>
      <c r="B352" s="795"/>
      <c r="C352" s="38" t="s">
        <v>14</v>
      </c>
      <c r="D352" s="59">
        <f>E352+M352</f>
        <v>0</v>
      </c>
      <c r="E352" s="68">
        <f>F352+I352+J352+K352+L352</f>
        <v>0</v>
      </c>
      <c r="F352" s="68">
        <f>G352+H352</f>
        <v>0</v>
      </c>
      <c r="G352" s="68"/>
      <c r="H352" s="60"/>
      <c r="I352" s="60"/>
      <c r="J352" s="60"/>
      <c r="K352" s="60"/>
      <c r="L352" s="60"/>
      <c r="M352" s="60">
        <f t="shared" si="147"/>
        <v>0</v>
      </c>
      <c r="N352" s="60"/>
      <c r="O352" s="68"/>
      <c r="P352" s="68"/>
      <c r="Q352" s="64"/>
    </row>
    <row r="353" spans="1:17" s="65" customFormat="1" ht="12.75" hidden="1">
      <c r="A353" s="799"/>
      <c r="B353" s="795"/>
      <c r="C353" s="38" t="s">
        <v>15</v>
      </c>
      <c r="D353" s="59">
        <f>D351+D352</f>
        <v>59000</v>
      </c>
      <c r="E353" s="60">
        <f aca="true" t="shared" si="149" ref="E353:P353">E351+E352</f>
        <v>59000</v>
      </c>
      <c r="F353" s="60">
        <f t="shared" si="149"/>
        <v>59000</v>
      </c>
      <c r="G353" s="60">
        <f t="shared" si="149"/>
        <v>0</v>
      </c>
      <c r="H353" s="60">
        <f t="shared" si="149"/>
        <v>59000</v>
      </c>
      <c r="I353" s="60">
        <f t="shared" si="149"/>
        <v>0</v>
      </c>
      <c r="J353" s="60">
        <f t="shared" si="149"/>
        <v>0</v>
      </c>
      <c r="K353" s="60">
        <f t="shared" si="149"/>
        <v>0</v>
      </c>
      <c r="L353" s="60">
        <f t="shared" si="149"/>
        <v>0</v>
      </c>
      <c r="M353" s="60">
        <f t="shared" si="149"/>
        <v>0</v>
      </c>
      <c r="N353" s="60">
        <f t="shared" si="149"/>
        <v>0</v>
      </c>
      <c r="O353" s="60">
        <f t="shared" si="149"/>
        <v>0</v>
      </c>
      <c r="P353" s="60">
        <f t="shared" si="149"/>
        <v>0</v>
      </c>
      <c r="Q353" s="64"/>
    </row>
    <row r="354" spans="1:17" s="65" customFormat="1" ht="13.5" customHeight="1">
      <c r="A354" s="799">
        <v>90015</v>
      </c>
      <c r="B354" s="795" t="s">
        <v>363</v>
      </c>
      <c r="C354" s="38" t="s">
        <v>13</v>
      </c>
      <c r="D354" s="59">
        <f>E354+M354</f>
        <v>0</v>
      </c>
      <c r="E354" s="68">
        <f>F354+I354+J354+K354+L354</f>
        <v>0</v>
      </c>
      <c r="F354" s="68">
        <f>G354+H354</f>
        <v>0</v>
      </c>
      <c r="G354" s="68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f>N354+P354</f>
        <v>0</v>
      </c>
      <c r="N354" s="60">
        <v>0</v>
      </c>
      <c r="O354" s="68">
        <v>0</v>
      </c>
      <c r="P354" s="68">
        <v>0</v>
      </c>
      <c r="Q354" s="64"/>
    </row>
    <row r="355" spans="1:17" s="65" customFormat="1" ht="13.5" customHeight="1">
      <c r="A355" s="799"/>
      <c r="B355" s="795"/>
      <c r="C355" s="38" t="s">
        <v>14</v>
      </c>
      <c r="D355" s="59">
        <f>E355+M355</f>
        <v>15909</v>
      </c>
      <c r="E355" s="60">
        <f>F355+I355+J355+K355+L355</f>
        <v>0</v>
      </c>
      <c r="F355" s="60">
        <f>G355+H355</f>
        <v>0</v>
      </c>
      <c r="G355" s="60"/>
      <c r="H355" s="60"/>
      <c r="I355" s="60"/>
      <c r="J355" s="60"/>
      <c r="K355" s="60"/>
      <c r="L355" s="60"/>
      <c r="M355" s="60">
        <f>N355+P355</f>
        <v>15909</v>
      </c>
      <c r="N355" s="60">
        <v>15909</v>
      </c>
      <c r="O355" s="60"/>
      <c r="P355" s="60"/>
      <c r="Q355" s="64"/>
    </row>
    <row r="356" spans="1:17" s="65" customFormat="1" ht="13.5" customHeight="1">
      <c r="A356" s="799"/>
      <c r="B356" s="795"/>
      <c r="C356" s="38" t="s">
        <v>15</v>
      </c>
      <c r="D356" s="59">
        <f>D354+D355</f>
        <v>15909</v>
      </c>
      <c r="E356" s="60">
        <f aca="true" t="shared" si="150" ref="E356:P356">E354+E355</f>
        <v>0</v>
      </c>
      <c r="F356" s="60">
        <f t="shared" si="150"/>
        <v>0</v>
      </c>
      <c r="G356" s="60">
        <f t="shared" si="150"/>
        <v>0</v>
      </c>
      <c r="H356" s="60">
        <f t="shared" si="150"/>
        <v>0</v>
      </c>
      <c r="I356" s="60">
        <f t="shared" si="150"/>
        <v>0</v>
      </c>
      <c r="J356" s="60">
        <f t="shared" si="150"/>
        <v>0</v>
      </c>
      <c r="K356" s="60">
        <f t="shared" si="150"/>
        <v>0</v>
      </c>
      <c r="L356" s="60">
        <f t="shared" si="150"/>
        <v>0</v>
      </c>
      <c r="M356" s="60">
        <f t="shared" si="150"/>
        <v>15909</v>
      </c>
      <c r="N356" s="60">
        <f t="shared" si="150"/>
        <v>15909</v>
      </c>
      <c r="O356" s="60">
        <f t="shared" si="150"/>
        <v>0</v>
      </c>
      <c r="P356" s="60">
        <f t="shared" si="150"/>
        <v>0</v>
      </c>
      <c r="Q356" s="64"/>
    </row>
    <row r="357" spans="1:17" s="35" customFormat="1" ht="13.5" customHeight="1">
      <c r="A357" s="799">
        <v>90019</v>
      </c>
      <c r="B357" s="795" t="s">
        <v>192</v>
      </c>
      <c r="C357" s="38" t="s">
        <v>13</v>
      </c>
      <c r="D357" s="59">
        <f>E357+M357</f>
        <v>869873</v>
      </c>
      <c r="E357" s="68">
        <f>F357+I357+J357+K357+L357</f>
        <v>869873</v>
      </c>
      <c r="F357" s="68">
        <f>G357+H357</f>
        <v>869873</v>
      </c>
      <c r="G357" s="68">
        <v>647253</v>
      </c>
      <c r="H357" s="60">
        <v>222620</v>
      </c>
      <c r="I357" s="60">
        <v>0</v>
      </c>
      <c r="J357" s="60">
        <v>0</v>
      </c>
      <c r="K357" s="60">
        <v>0</v>
      </c>
      <c r="L357" s="60">
        <v>0</v>
      </c>
      <c r="M357" s="60">
        <f t="shared" si="147"/>
        <v>0</v>
      </c>
      <c r="N357" s="60">
        <v>0</v>
      </c>
      <c r="O357" s="68">
        <v>0</v>
      </c>
      <c r="P357" s="68">
        <v>0</v>
      </c>
      <c r="Q357" s="45"/>
    </row>
    <row r="358" spans="1:17" s="35" customFormat="1" ht="13.5" customHeight="1">
      <c r="A358" s="799"/>
      <c r="B358" s="795"/>
      <c r="C358" s="38" t="s">
        <v>14</v>
      </c>
      <c r="D358" s="59">
        <f>E358+M358</f>
        <v>0</v>
      </c>
      <c r="E358" s="68">
        <f>F358+I358+J358+K358+L358</f>
        <v>0</v>
      </c>
      <c r="F358" s="68">
        <f>G358+H358</f>
        <v>0</v>
      </c>
      <c r="G358" s="68">
        <v>-45000</v>
      </c>
      <c r="H358" s="60">
        <v>45000</v>
      </c>
      <c r="I358" s="60"/>
      <c r="J358" s="60"/>
      <c r="K358" s="60"/>
      <c r="L358" s="60"/>
      <c r="M358" s="60">
        <f t="shared" si="147"/>
        <v>0</v>
      </c>
      <c r="N358" s="60"/>
      <c r="O358" s="68"/>
      <c r="P358" s="68"/>
      <c r="Q358" s="45"/>
    </row>
    <row r="359" spans="1:17" s="35" customFormat="1" ht="13.5" customHeight="1">
      <c r="A359" s="799"/>
      <c r="B359" s="795"/>
      <c r="C359" s="38" t="s">
        <v>15</v>
      </c>
      <c r="D359" s="59">
        <f>D357+D358</f>
        <v>869873</v>
      </c>
      <c r="E359" s="60">
        <f aca="true" t="shared" si="151" ref="E359:P359">E357+E358</f>
        <v>869873</v>
      </c>
      <c r="F359" s="60">
        <f t="shared" si="151"/>
        <v>869873</v>
      </c>
      <c r="G359" s="60">
        <f t="shared" si="151"/>
        <v>602253</v>
      </c>
      <c r="H359" s="60">
        <f t="shared" si="151"/>
        <v>267620</v>
      </c>
      <c r="I359" s="60">
        <f t="shared" si="151"/>
        <v>0</v>
      </c>
      <c r="J359" s="60">
        <f t="shared" si="151"/>
        <v>0</v>
      </c>
      <c r="K359" s="60">
        <f t="shared" si="151"/>
        <v>0</v>
      </c>
      <c r="L359" s="60">
        <f t="shared" si="151"/>
        <v>0</v>
      </c>
      <c r="M359" s="60">
        <f t="shared" si="151"/>
        <v>0</v>
      </c>
      <c r="N359" s="60">
        <f t="shared" si="151"/>
        <v>0</v>
      </c>
      <c r="O359" s="60">
        <f t="shared" si="151"/>
        <v>0</v>
      </c>
      <c r="P359" s="60">
        <f t="shared" si="151"/>
        <v>0</v>
      </c>
      <c r="Q359" s="45"/>
    </row>
    <row r="360" spans="1:17" s="35" customFormat="1" ht="12.75" hidden="1">
      <c r="A360" s="794">
        <v>90020</v>
      </c>
      <c r="B360" s="795" t="s">
        <v>193</v>
      </c>
      <c r="C360" s="38" t="s">
        <v>13</v>
      </c>
      <c r="D360" s="59">
        <f>E360+M360</f>
        <v>6200</v>
      </c>
      <c r="E360" s="60">
        <f>F360+I360+J360+K360+L360</f>
        <v>6200</v>
      </c>
      <c r="F360" s="60">
        <f>G360+H360</f>
        <v>6200</v>
      </c>
      <c r="G360" s="60">
        <v>0</v>
      </c>
      <c r="H360" s="60">
        <v>6200</v>
      </c>
      <c r="I360" s="60">
        <v>0</v>
      </c>
      <c r="J360" s="60">
        <v>0</v>
      </c>
      <c r="K360" s="60">
        <v>0</v>
      </c>
      <c r="L360" s="60">
        <v>0</v>
      </c>
      <c r="M360" s="60">
        <f t="shared" si="147"/>
        <v>0</v>
      </c>
      <c r="N360" s="60">
        <v>0</v>
      </c>
      <c r="O360" s="60">
        <v>0</v>
      </c>
      <c r="P360" s="60">
        <v>0</v>
      </c>
      <c r="Q360" s="45"/>
    </row>
    <row r="361" spans="1:17" s="35" customFormat="1" ht="12.75" hidden="1">
      <c r="A361" s="794"/>
      <c r="B361" s="795"/>
      <c r="C361" s="38" t="s">
        <v>14</v>
      </c>
      <c r="D361" s="59">
        <f>E361+M361</f>
        <v>0</v>
      </c>
      <c r="E361" s="60">
        <f>F361+I361+J361+K361+L361</f>
        <v>0</v>
      </c>
      <c r="F361" s="60">
        <f>G361+H361</f>
        <v>0</v>
      </c>
      <c r="G361" s="60"/>
      <c r="H361" s="60"/>
      <c r="I361" s="60"/>
      <c r="J361" s="60"/>
      <c r="K361" s="60"/>
      <c r="L361" s="60"/>
      <c r="M361" s="60">
        <f t="shared" si="147"/>
        <v>0</v>
      </c>
      <c r="N361" s="60"/>
      <c r="O361" s="60"/>
      <c r="P361" s="60"/>
      <c r="Q361" s="45"/>
    </row>
    <row r="362" spans="1:17" s="35" customFormat="1" ht="12.75" hidden="1">
      <c r="A362" s="794"/>
      <c r="B362" s="795"/>
      <c r="C362" s="38" t="s">
        <v>15</v>
      </c>
      <c r="D362" s="59">
        <f>D360+D361</f>
        <v>6200</v>
      </c>
      <c r="E362" s="60">
        <f aca="true" t="shared" si="152" ref="E362:P362">E360+E361</f>
        <v>6200</v>
      </c>
      <c r="F362" s="60">
        <f t="shared" si="152"/>
        <v>6200</v>
      </c>
      <c r="G362" s="60">
        <f t="shared" si="152"/>
        <v>0</v>
      </c>
      <c r="H362" s="60">
        <f t="shared" si="152"/>
        <v>6200</v>
      </c>
      <c r="I362" s="60">
        <f t="shared" si="152"/>
        <v>0</v>
      </c>
      <c r="J362" s="60">
        <f t="shared" si="152"/>
        <v>0</v>
      </c>
      <c r="K362" s="60">
        <f t="shared" si="152"/>
        <v>0</v>
      </c>
      <c r="L362" s="60">
        <f t="shared" si="152"/>
        <v>0</v>
      </c>
      <c r="M362" s="60">
        <f t="shared" si="152"/>
        <v>0</v>
      </c>
      <c r="N362" s="60">
        <f t="shared" si="152"/>
        <v>0</v>
      </c>
      <c r="O362" s="60">
        <f t="shared" si="152"/>
        <v>0</v>
      </c>
      <c r="P362" s="60">
        <f t="shared" si="152"/>
        <v>0</v>
      </c>
      <c r="Q362" s="45"/>
    </row>
    <row r="363" spans="1:17" s="35" customFormat="1" ht="12.75" hidden="1">
      <c r="A363" s="794">
        <v>90024</v>
      </c>
      <c r="B363" s="795" t="s">
        <v>194</v>
      </c>
      <c r="C363" s="38" t="s">
        <v>13</v>
      </c>
      <c r="D363" s="59">
        <f>E363+M363</f>
        <v>2000</v>
      </c>
      <c r="E363" s="60">
        <f>F363+I363+J363+K363+L363</f>
        <v>2000</v>
      </c>
      <c r="F363" s="60">
        <f>G363+H363</f>
        <v>2000</v>
      </c>
      <c r="G363" s="60">
        <v>0</v>
      </c>
      <c r="H363" s="60">
        <v>2000</v>
      </c>
      <c r="I363" s="60">
        <v>0</v>
      </c>
      <c r="J363" s="60">
        <v>0</v>
      </c>
      <c r="K363" s="60">
        <v>0</v>
      </c>
      <c r="L363" s="60">
        <v>0</v>
      </c>
      <c r="M363" s="60">
        <f t="shared" si="147"/>
        <v>0</v>
      </c>
      <c r="N363" s="60">
        <v>0</v>
      </c>
      <c r="O363" s="60">
        <v>0</v>
      </c>
      <c r="P363" s="60">
        <v>0</v>
      </c>
      <c r="Q363" s="45"/>
    </row>
    <row r="364" spans="1:17" s="35" customFormat="1" ht="12.75" hidden="1">
      <c r="A364" s="794"/>
      <c r="B364" s="795"/>
      <c r="C364" s="38" t="s">
        <v>14</v>
      </c>
      <c r="D364" s="59">
        <f>E364+M364</f>
        <v>0</v>
      </c>
      <c r="E364" s="60">
        <f>F364+I364+J364+K364+L364</f>
        <v>0</v>
      </c>
      <c r="F364" s="60">
        <f>G364+H364</f>
        <v>0</v>
      </c>
      <c r="G364" s="60"/>
      <c r="H364" s="60"/>
      <c r="I364" s="60"/>
      <c r="J364" s="60"/>
      <c r="K364" s="60"/>
      <c r="L364" s="60"/>
      <c r="M364" s="60">
        <f t="shared" si="147"/>
        <v>0</v>
      </c>
      <c r="N364" s="60"/>
      <c r="O364" s="60"/>
      <c r="P364" s="60"/>
      <c r="Q364" s="45"/>
    </row>
    <row r="365" spans="1:17" s="35" customFormat="1" ht="12.75" hidden="1">
      <c r="A365" s="794"/>
      <c r="B365" s="795"/>
      <c r="C365" s="38" t="s">
        <v>15</v>
      </c>
      <c r="D365" s="59">
        <f>D363+D364</f>
        <v>2000</v>
      </c>
      <c r="E365" s="60">
        <f aca="true" t="shared" si="153" ref="E365:P365">E363+E364</f>
        <v>2000</v>
      </c>
      <c r="F365" s="60">
        <f t="shared" si="153"/>
        <v>2000</v>
      </c>
      <c r="G365" s="60">
        <f t="shared" si="153"/>
        <v>0</v>
      </c>
      <c r="H365" s="60">
        <f t="shared" si="153"/>
        <v>2000</v>
      </c>
      <c r="I365" s="60">
        <f t="shared" si="153"/>
        <v>0</v>
      </c>
      <c r="J365" s="60">
        <f t="shared" si="153"/>
        <v>0</v>
      </c>
      <c r="K365" s="60">
        <f t="shared" si="153"/>
        <v>0</v>
      </c>
      <c r="L365" s="60">
        <f t="shared" si="153"/>
        <v>0</v>
      </c>
      <c r="M365" s="60">
        <f t="shared" si="153"/>
        <v>0</v>
      </c>
      <c r="N365" s="60">
        <f t="shared" si="153"/>
        <v>0</v>
      </c>
      <c r="O365" s="60">
        <f t="shared" si="153"/>
        <v>0</v>
      </c>
      <c r="P365" s="60">
        <f t="shared" si="153"/>
        <v>0</v>
      </c>
      <c r="Q365" s="45"/>
    </row>
    <row r="366" spans="1:17" s="35" customFormat="1" ht="13.5" customHeight="1">
      <c r="A366" s="794">
        <v>90026</v>
      </c>
      <c r="B366" s="795" t="s">
        <v>214</v>
      </c>
      <c r="C366" s="38" t="s">
        <v>13</v>
      </c>
      <c r="D366" s="59">
        <f>E366+M366</f>
        <v>5490458</v>
      </c>
      <c r="E366" s="60">
        <f>F366+I366+J366+K366+L366</f>
        <v>1548917</v>
      </c>
      <c r="F366" s="60">
        <f>G366+H366</f>
        <v>100</v>
      </c>
      <c r="G366" s="60">
        <v>0</v>
      </c>
      <c r="H366" s="60">
        <f>100</f>
        <v>100</v>
      </c>
      <c r="I366" s="60">
        <v>0</v>
      </c>
      <c r="J366" s="60">
        <v>0</v>
      </c>
      <c r="K366" s="60">
        <v>1548817</v>
      </c>
      <c r="L366" s="60">
        <v>0</v>
      </c>
      <c r="M366" s="60">
        <f t="shared" si="147"/>
        <v>3941541</v>
      </c>
      <c r="N366" s="60">
        <v>3941541</v>
      </c>
      <c r="O366" s="60">
        <v>3941541</v>
      </c>
      <c r="P366" s="60">
        <v>0</v>
      </c>
      <c r="Q366" s="45"/>
    </row>
    <row r="367" spans="1:17" s="35" customFormat="1" ht="13.5" customHeight="1">
      <c r="A367" s="794"/>
      <c r="B367" s="795"/>
      <c r="C367" s="38" t="s">
        <v>14</v>
      </c>
      <c r="D367" s="59">
        <f>E367+M367</f>
        <v>45000</v>
      </c>
      <c r="E367" s="60">
        <f>F367+I367+J367+K367+L367</f>
        <v>45000</v>
      </c>
      <c r="F367" s="60">
        <f>G367+H367</f>
        <v>45000</v>
      </c>
      <c r="G367" s="60">
        <v>45000</v>
      </c>
      <c r="H367" s="60"/>
      <c r="I367" s="60"/>
      <c r="J367" s="60"/>
      <c r="K367" s="60"/>
      <c r="L367" s="60"/>
      <c r="M367" s="60">
        <f t="shared" si="147"/>
        <v>0</v>
      </c>
      <c r="N367" s="60"/>
      <c r="O367" s="60"/>
      <c r="P367" s="60"/>
      <c r="Q367" s="45"/>
    </row>
    <row r="368" spans="1:17" s="35" customFormat="1" ht="13.5" customHeight="1">
      <c r="A368" s="794"/>
      <c r="B368" s="795"/>
      <c r="C368" s="38" t="s">
        <v>15</v>
      </c>
      <c r="D368" s="59">
        <f>D366+D367</f>
        <v>5535458</v>
      </c>
      <c r="E368" s="60">
        <f aca="true" t="shared" si="154" ref="E368:P368">E366+E367</f>
        <v>1593917</v>
      </c>
      <c r="F368" s="60">
        <f t="shared" si="154"/>
        <v>45100</v>
      </c>
      <c r="G368" s="60">
        <f t="shared" si="154"/>
        <v>45000</v>
      </c>
      <c r="H368" s="60">
        <f t="shared" si="154"/>
        <v>100</v>
      </c>
      <c r="I368" s="60">
        <f t="shared" si="154"/>
        <v>0</v>
      </c>
      <c r="J368" s="60">
        <f t="shared" si="154"/>
        <v>0</v>
      </c>
      <c r="K368" s="60">
        <f t="shared" si="154"/>
        <v>1548817</v>
      </c>
      <c r="L368" s="60">
        <f t="shared" si="154"/>
        <v>0</v>
      </c>
      <c r="M368" s="60">
        <f t="shared" si="154"/>
        <v>3941541</v>
      </c>
      <c r="N368" s="60">
        <f t="shared" si="154"/>
        <v>3941541</v>
      </c>
      <c r="O368" s="60">
        <f t="shared" si="154"/>
        <v>3941541</v>
      </c>
      <c r="P368" s="60">
        <f t="shared" si="154"/>
        <v>0</v>
      </c>
      <c r="Q368" s="45"/>
    </row>
    <row r="369" spans="1:17" s="65" customFormat="1" ht="13.5" customHeight="1">
      <c r="A369" s="794">
        <v>90095</v>
      </c>
      <c r="B369" s="795" t="s">
        <v>52</v>
      </c>
      <c r="C369" s="38" t="s">
        <v>13</v>
      </c>
      <c r="D369" s="59">
        <f>E369+M369</f>
        <v>12875231</v>
      </c>
      <c r="E369" s="68">
        <f>F369+I369+J369+K369+L369</f>
        <v>2765140</v>
      </c>
      <c r="F369" s="68">
        <f>G369+H369</f>
        <v>1007678</v>
      </c>
      <c r="G369" s="68">
        <v>673328</v>
      </c>
      <c r="H369" s="60">
        <f>10000+10350+201000+93000+20000</f>
        <v>334350</v>
      </c>
      <c r="I369" s="60">
        <v>0</v>
      </c>
      <c r="J369" s="60">
        <v>0</v>
      </c>
      <c r="K369" s="60">
        <f>21938+26812+2925+3575+2825+3575+1463+1787+196650+91322+256466+18900+4502+23895+46102+16472+59255+5715+2348+7399+11520+25500+18580+9000+11000+2475+22192+6941+3375+4125+288258+69563+364591+3150+3850+4250+750+4500+5500+22950+850+28200+34609+6107+225+425+350+4770+5830+100</f>
        <v>1757462</v>
      </c>
      <c r="L369" s="60">
        <v>0</v>
      </c>
      <c r="M369" s="60">
        <f t="shared" si="147"/>
        <v>10110091</v>
      </c>
      <c r="N369" s="60">
        <v>8610091</v>
      </c>
      <c r="O369" s="68">
        <v>8610091</v>
      </c>
      <c r="P369" s="68">
        <v>1500000</v>
      </c>
      <c r="Q369" s="64"/>
    </row>
    <row r="370" spans="1:17" s="65" customFormat="1" ht="13.5" customHeight="1">
      <c r="A370" s="794"/>
      <c r="B370" s="795"/>
      <c r="C370" s="38" t="s">
        <v>14</v>
      </c>
      <c r="D370" s="59">
        <f>E370+M370</f>
        <v>-4143849</v>
      </c>
      <c r="E370" s="68">
        <f>F370+I370+J370+K370+L370</f>
        <v>95000</v>
      </c>
      <c r="F370" s="68">
        <f>G370+H370</f>
        <v>95000</v>
      </c>
      <c r="G370" s="68">
        <f>-7736-500</f>
        <v>-8236</v>
      </c>
      <c r="H370" s="60">
        <f>-10000-10000+140236-17000</f>
        <v>103236</v>
      </c>
      <c r="I370" s="60"/>
      <c r="J370" s="60"/>
      <c r="K370" s="60"/>
      <c r="L370" s="60"/>
      <c r="M370" s="60">
        <f t="shared" si="147"/>
        <v>-4238849</v>
      </c>
      <c r="N370" s="60">
        <f>-4312500+73651</f>
        <v>-4238849</v>
      </c>
      <c r="O370" s="68">
        <v>-4238849</v>
      </c>
      <c r="P370" s="68"/>
      <c r="Q370" s="64"/>
    </row>
    <row r="371" spans="1:17" s="65" customFormat="1" ht="13.5" customHeight="1">
      <c r="A371" s="794"/>
      <c r="B371" s="795"/>
      <c r="C371" s="38" t="s">
        <v>15</v>
      </c>
      <c r="D371" s="59">
        <f>D370+D369</f>
        <v>8731382</v>
      </c>
      <c r="E371" s="60">
        <f aca="true" t="shared" si="155" ref="E371:P371">E370+E369</f>
        <v>2860140</v>
      </c>
      <c r="F371" s="60">
        <f t="shared" si="155"/>
        <v>1102678</v>
      </c>
      <c r="G371" s="60">
        <f t="shared" si="155"/>
        <v>665092</v>
      </c>
      <c r="H371" s="60">
        <f t="shared" si="155"/>
        <v>437586</v>
      </c>
      <c r="I371" s="60">
        <f t="shared" si="155"/>
        <v>0</v>
      </c>
      <c r="J371" s="60">
        <f t="shared" si="155"/>
        <v>0</v>
      </c>
      <c r="K371" s="60">
        <f t="shared" si="155"/>
        <v>1757462</v>
      </c>
      <c r="L371" s="60">
        <f t="shared" si="155"/>
        <v>0</v>
      </c>
      <c r="M371" s="60">
        <f t="shared" si="155"/>
        <v>5871242</v>
      </c>
      <c r="N371" s="60">
        <f t="shared" si="155"/>
        <v>4371242</v>
      </c>
      <c r="O371" s="60">
        <f t="shared" si="155"/>
        <v>4371242</v>
      </c>
      <c r="P371" s="60">
        <f t="shared" si="155"/>
        <v>1500000</v>
      </c>
      <c r="Q371" s="64"/>
    </row>
    <row r="372" spans="1:17" s="40" customFormat="1" ht="15" customHeight="1">
      <c r="A372" s="796">
        <v>921</v>
      </c>
      <c r="B372" s="797" t="s">
        <v>39</v>
      </c>
      <c r="C372" s="37" t="s">
        <v>13</v>
      </c>
      <c r="D372" s="70">
        <f>D378+D381+D384+D387+D390+D393+D396+D402+D399+D375</f>
        <v>110255906</v>
      </c>
      <c r="E372" s="58">
        <f>E378+E381+E384+E387+E390+E393+E396+E402+E399+E375</f>
        <v>87737907</v>
      </c>
      <c r="F372" s="58">
        <f aca="true" t="shared" si="156" ref="F372:P373">F378+F381+F384+F387+F390+F393+F396+F402+F399+F375</f>
        <v>2403563</v>
      </c>
      <c r="G372" s="58">
        <f t="shared" si="156"/>
        <v>65000</v>
      </c>
      <c r="H372" s="58">
        <f t="shared" si="156"/>
        <v>2338563</v>
      </c>
      <c r="I372" s="58">
        <f t="shared" si="156"/>
        <v>82134935</v>
      </c>
      <c r="J372" s="58">
        <f t="shared" si="156"/>
        <v>330000</v>
      </c>
      <c r="K372" s="58">
        <f t="shared" si="156"/>
        <v>2869409</v>
      </c>
      <c r="L372" s="58">
        <f t="shared" si="156"/>
        <v>0</v>
      </c>
      <c r="M372" s="58">
        <f t="shared" si="156"/>
        <v>22517999</v>
      </c>
      <c r="N372" s="58">
        <f t="shared" si="156"/>
        <v>22517999</v>
      </c>
      <c r="O372" s="58">
        <f t="shared" si="156"/>
        <v>13081259</v>
      </c>
      <c r="P372" s="58">
        <f t="shared" si="156"/>
        <v>0</v>
      </c>
      <c r="Q372" s="47"/>
    </row>
    <row r="373" spans="1:17" s="40" customFormat="1" ht="15" customHeight="1">
      <c r="A373" s="796"/>
      <c r="B373" s="797"/>
      <c r="C373" s="37" t="s">
        <v>14</v>
      </c>
      <c r="D373" s="70">
        <f>D379+D382+D385+D388+D391+D394+D397+D403+D400+D376</f>
        <v>7289299</v>
      </c>
      <c r="E373" s="58">
        <f>E379+E382+E385+E388+E391+E394+E397+E403+E400+E376</f>
        <v>4391234</v>
      </c>
      <c r="F373" s="58">
        <f t="shared" si="156"/>
        <v>350000</v>
      </c>
      <c r="G373" s="58">
        <f t="shared" si="156"/>
        <v>0</v>
      </c>
      <c r="H373" s="58">
        <f t="shared" si="156"/>
        <v>350000</v>
      </c>
      <c r="I373" s="58">
        <f t="shared" si="156"/>
        <v>2066219</v>
      </c>
      <c r="J373" s="58">
        <f t="shared" si="156"/>
        <v>30000</v>
      </c>
      <c r="K373" s="58">
        <f t="shared" si="156"/>
        <v>1945015</v>
      </c>
      <c r="L373" s="58">
        <f t="shared" si="156"/>
        <v>0</v>
      </c>
      <c r="M373" s="58">
        <f t="shared" si="156"/>
        <v>2898065</v>
      </c>
      <c r="N373" s="58">
        <f t="shared" si="156"/>
        <v>2898065</v>
      </c>
      <c r="O373" s="58">
        <f t="shared" si="156"/>
        <v>0</v>
      </c>
      <c r="P373" s="58">
        <f t="shared" si="156"/>
        <v>0</v>
      </c>
      <c r="Q373" s="47"/>
    </row>
    <row r="374" spans="1:17" s="40" customFormat="1" ht="15" customHeight="1">
      <c r="A374" s="796"/>
      <c r="B374" s="797"/>
      <c r="C374" s="37" t="s">
        <v>15</v>
      </c>
      <c r="D374" s="70">
        <f aca="true" t="shared" si="157" ref="D374:O374">D373+D372</f>
        <v>117545205</v>
      </c>
      <c r="E374" s="58">
        <f t="shared" si="157"/>
        <v>92129141</v>
      </c>
      <c r="F374" s="58">
        <f t="shared" si="157"/>
        <v>2753563</v>
      </c>
      <c r="G374" s="58">
        <f t="shared" si="157"/>
        <v>65000</v>
      </c>
      <c r="H374" s="58">
        <f t="shared" si="157"/>
        <v>2688563</v>
      </c>
      <c r="I374" s="58">
        <f t="shared" si="157"/>
        <v>84201154</v>
      </c>
      <c r="J374" s="58">
        <f t="shared" si="157"/>
        <v>360000</v>
      </c>
      <c r="K374" s="58">
        <f t="shared" si="157"/>
        <v>4814424</v>
      </c>
      <c r="L374" s="58">
        <f t="shared" si="157"/>
        <v>0</v>
      </c>
      <c r="M374" s="58">
        <f t="shared" si="157"/>
        <v>25416064</v>
      </c>
      <c r="N374" s="58">
        <f t="shared" si="157"/>
        <v>25416064</v>
      </c>
      <c r="O374" s="58">
        <f t="shared" si="157"/>
        <v>13081259</v>
      </c>
      <c r="P374" s="58">
        <f>P373+P372</f>
        <v>0</v>
      </c>
      <c r="Q374" s="47"/>
    </row>
    <row r="375" spans="1:17" s="65" customFormat="1" ht="13.5" customHeight="1">
      <c r="A375" s="794">
        <v>92105</v>
      </c>
      <c r="B375" s="795" t="s">
        <v>208</v>
      </c>
      <c r="C375" s="38" t="s">
        <v>13</v>
      </c>
      <c r="D375" s="59">
        <f>E375+M375</f>
        <v>1000000</v>
      </c>
      <c r="E375" s="68">
        <f>F375+I375+J375+K375+L375</f>
        <v>0</v>
      </c>
      <c r="F375" s="68">
        <f>G375+H375</f>
        <v>0</v>
      </c>
      <c r="G375" s="68">
        <v>0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f aca="true" t="shared" si="158" ref="M375:M403">N375+P375</f>
        <v>1000000</v>
      </c>
      <c r="N375" s="60">
        <v>1000000</v>
      </c>
      <c r="O375" s="68">
        <v>0</v>
      </c>
      <c r="P375" s="68">
        <v>0</v>
      </c>
      <c r="Q375" s="64"/>
    </row>
    <row r="376" spans="1:17" s="65" customFormat="1" ht="13.5" customHeight="1">
      <c r="A376" s="794"/>
      <c r="B376" s="795"/>
      <c r="C376" s="38" t="s">
        <v>14</v>
      </c>
      <c r="D376" s="59">
        <f>E376+M376</f>
        <v>814988</v>
      </c>
      <c r="E376" s="68">
        <f>F376+I376+J376+K376+L376</f>
        <v>470000</v>
      </c>
      <c r="F376" s="68">
        <f>G376+H376</f>
        <v>0</v>
      </c>
      <c r="G376" s="68"/>
      <c r="H376" s="60"/>
      <c r="I376" s="60">
        <v>470000</v>
      </c>
      <c r="J376" s="60"/>
      <c r="K376" s="60"/>
      <c r="L376" s="60"/>
      <c r="M376" s="60">
        <f t="shared" si="158"/>
        <v>344988</v>
      </c>
      <c r="N376" s="60">
        <v>344988</v>
      </c>
      <c r="O376" s="68"/>
      <c r="P376" s="68"/>
      <c r="Q376" s="64"/>
    </row>
    <row r="377" spans="1:17" s="65" customFormat="1" ht="13.5" customHeight="1">
      <c r="A377" s="794"/>
      <c r="B377" s="795"/>
      <c r="C377" s="38" t="s">
        <v>15</v>
      </c>
      <c r="D377" s="59">
        <f>D375+D376</f>
        <v>1814988</v>
      </c>
      <c r="E377" s="60">
        <f aca="true" t="shared" si="159" ref="E377:P377">E375+E376</f>
        <v>470000</v>
      </c>
      <c r="F377" s="60">
        <f t="shared" si="159"/>
        <v>0</v>
      </c>
      <c r="G377" s="60">
        <f t="shared" si="159"/>
        <v>0</v>
      </c>
      <c r="H377" s="60">
        <f t="shared" si="159"/>
        <v>0</v>
      </c>
      <c r="I377" s="60">
        <f t="shared" si="159"/>
        <v>470000</v>
      </c>
      <c r="J377" s="60">
        <f t="shared" si="159"/>
        <v>0</v>
      </c>
      <c r="K377" s="60">
        <f t="shared" si="159"/>
        <v>0</v>
      </c>
      <c r="L377" s="60">
        <f t="shared" si="159"/>
        <v>0</v>
      </c>
      <c r="M377" s="60">
        <f t="shared" si="159"/>
        <v>1344988</v>
      </c>
      <c r="N377" s="60">
        <f t="shared" si="159"/>
        <v>1344988</v>
      </c>
      <c r="O377" s="60">
        <f t="shared" si="159"/>
        <v>0</v>
      </c>
      <c r="P377" s="60">
        <f t="shared" si="159"/>
        <v>0</v>
      </c>
      <c r="Q377" s="64"/>
    </row>
    <row r="378" spans="1:17" s="65" customFormat="1" ht="13.5" customHeight="1">
      <c r="A378" s="794">
        <v>92106</v>
      </c>
      <c r="B378" s="795" t="s">
        <v>195</v>
      </c>
      <c r="C378" s="38" t="s">
        <v>13</v>
      </c>
      <c r="D378" s="59">
        <f>E378+M378</f>
        <v>28192598</v>
      </c>
      <c r="E378" s="68">
        <f>F378+I378+J378+K378+L378</f>
        <v>26907300</v>
      </c>
      <c r="F378" s="68">
        <f>G378+H378</f>
        <v>0</v>
      </c>
      <c r="G378" s="68">
        <v>0</v>
      </c>
      <c r="H378" s="60">
        <v>0</v>
      </c>
      <c r="I378" s="60">
        <v>26907300</v>
      </c>
      <c r="J378" s="60">
        <v>0</v>
      </c>
      <c r="K378" s="60">
        <v>0</v>
      </c>
      <c r="L378" s="60">
        <v>0</v>
      </c>
      <c r="M378" s="60">
        <f t="shared" si="158"/>
        <v>1285298</v>
      </c>
      <c r="N378" s="60">
        <v>1285298</v>
      </c>
      <c r="O378" s="68">
        <v>0</v>
      </c>
      <c r="P378" s="68">
        <v>0</v>
      </c>
      <c r="Q378" s="64"/>
    </row>
    <row r="379" spans="1:17" s="65" customFormat="1" ht="13.5" customHeight="1">
      <c r="A379" s="794"/>
      <c r="B379" s="795"/>
      <c r="C379" s="38" t="s">
        <v>14</v>
      </c>
      <c r="D379" s="59">
        <f>E379+M379</f>
        <v>2389820</v>
      </c>
      <c r="E379" s="68">
        <f>F379+I379+J379+K379+L379</f>
        <v>809820</v>
      </c>
      <c r="F379" s="68">
        <f>G379+H379</f>
        <v>0</v>
      </c>
      <c r="G379" s="68"/>
      <c r="H379" s="60"/>
      <c r="I379" s="60">
        <f>760000+49820</f>
        <v>809820</v>
      </c>
      <c r="J379" s="60"/>
      <c r="K379" s="60"/>
      <c r="L379" s="60"/>
      <c r="M379" s="60">
        <f t="shared" si="158"/>
        <v>1580000</v>
      </c>
      <c r="N379" s="60">
        <v>1580000</v>
      </c>
      <c r="O379" s="68"/>
      <c r="P379" s="68"/>
      <c r="Q379" s="64"/>
    </row>
    <row r="380" spans="1:17" s="65" customFormat="1" ht="13.5" customHeight="1">
      <c r="A380" s="794"/>
      <c r="B380" s="795"/>
      <c r="C380" s="38" t="s">
        <v>15</v>
      </c>
      <c r="D380" s="59">
        <f>D378+D379</f>
        <v>30582418</v>
      </c>
      <c r="E380" s="60">
        <f aca="true" t="shared" si="160" ref="E380:P380">E378+E379</f>
        <v>27717120</v>
      </c>
      <c r="F380" s="60">
        <f t="shared" si="160"/>
        <v>0</v>
      </c>
      <c r="G380" s="60">
        <f t="shared" si="160"/>
        <v>0</v>
      </c>
      <c r="H380" s="60">
        <f t="shared" si="160"/>
        <v>0</v>
      </c>
      <c r="I380" s="60">
        <f t="shared" si="160"/>
        <v>27717120</v>
      </c>
      <c r="J380" s="60">
        <f t="shared" si="160"/>
        <v>0</v>
      </c>
      <c r="K380" s="60">
        <f t="shared" si="160"/>
        <v>0</v>
      </c>
      <c r="L380" s="60">
        <f t="shared" si="160"/>
        <v>0</v>
      </c>
      <c r="M380" s="60">
        <f t="shared" si="160"/>
        <v>2865298</v>
      </c>
      <c r="N380" s="60">
        <f t="shared" si="160"/>
        <v>2865298</v>
      </c>
      <c r="O380" s="60">
        <f t="shared" si="160"/>
        <v>0</v>
      </c>
      <c r="P380" s="60">
        <f t="shared" si="160"/>
        <v>0</v>
      </c>
      <c r="Q380" s="64"/>
    </row>
    <row r="381" spans="1:17" s="65" customFormat="1" ht="13.5" customHeight="1">
      <c r="A381" s="794">
        <v>92108</v>
      </c>
      <c r="B381" s="795" t="s">
        <v>196</v>
      </c>
      <c r="C381" s="38" t="s">
        <v>13</v>
      </c>
      <c r="D381" s="59">
        <f>E381+M381</f>
        <v>12668216</v>
      </c>
      <c r="E381" s="60">
        <f>F381+I381+J381+K381+L381</f>
        <v>8785464</v>
      </c>
      <c r="F381" s="60">
        <f>G381+H381</f>
        <v>0</v>
      </c>
      <c r="G381" s="60">
        <v>0</v>
      </c>
      <c r="H381" s="60">
        <v>0</v>
      </c>
      <c r="I381" s="60">
        <v>8785464</v>
      </c>
      <c r="J381" s="60">
        <v>0</v>
      </c>
      <c r="K381" s="60">
        <v>0</v>
      </c>
      <c r="L381" s="60">
        <v>0</v>
      </c>
      <c r="M381" s="60">
        <f t="shared" si="158"/>
        <v>3882752</v>
      </c>
      <c r="N381" s="60">
        <v>3882752</v>
      </c>
      <c r="O381" s="60">
        <v>0</v>
      </c>
      <c r="P381" s="60">
        <v>0</v>
      </c>
      <c r="Q381" s="64"/>
    </row>
    <row r="382" spans="1:17" s="65" customFormat="1" ht="13.5" customHeight="1">
      <c r="A382" s="794"/>
      <c r="B382" s="795"/>
      <c r="C382" s="38" t="s">
        <v>14</v>
      </c>
      <c r="D382" s="59">
        <f>E382+M382</f>
        <v>691709</v>
      </c>
      <c r="E382" s="60">
        <f>F382+I382+J382+K382+L382</f>
        <v>126192</v>
      </c>
      <c r="F382" s="60">
        <f>G382+H382</f>
        <v>0</v>
      </c>
      <c r="G382" s="60"/>
      <c r="H382" s="60"/>
      <c r="I382" s="60">
        <f>59094+67098</f>
        <v>126192</v>
      </c>
      <c r="J382" s="60"/>
      <c r="K382" s="60"/>
      <c r="L382" s="60"/>
      <c r="M382" s="60">
        <f t="shared" si="158"/>
        <v>565517</v>
      </c>
      <c r="N382" s="60">
        <v>565517</v>
      </c>
      <c r="O382" s="60"/>
      <c r="P382" s="60"/>
      <c r="Q382" s="64"/>
    </row>
    <row r="383" spans="1:17" s="65" customFormat="1" ht="13.5" customHeight="1">
      <c r="A383" s="794"/>
      <c r="B383" s="795"/>
      <c r="C383" s="38" t="s">
        <v>15</v>
      </c>
      <c r="D383" s="59">
        <f>D381+D382</f>
        <v>13359925</v>
      </c>
      <c r="E383" s="60">
        <f aca="true" t="shared" si="161" ref="E383:P383">E381+E382</f>
        <v>8911656</v>
      </c>
      <c r="F383" s="60">
        <f t="shared" si="161"/>
        <v>0</v>
      </c>
      <c r="G383" s="60">
        <f t="shared" si="161"/>
        <v>0</v>
      </c>
      <c r="H383" s="60">
        <f t="shared" si="161"/>
        <v>0</v>
      </c>
      <c r="I383" s="60">
        <f t="shared" si="161"/>
        <v>8911656</v>
      </c>
      <c r="J383" s="60">
        <f t="shared" si="161"/>
        <v>0</v>
      </c>
      <c r="K383" s="60">
        <f t="shared" si="161"/>
        <v>0</v>
      </c>
      <c r="L383" s="60">
        <f t="shared" si="161"/>
        <v>0</v>
      </c>
      <c r="M383" s="60">
        <f t="shared" si="161"/>
        <v>4448269</v>
      </c>
      <c r="N383" s="60">
        <f t="shared" si="161"/>
        <v>4448269</v>
      </c>
      <c r="O383" s="60">
        <f t="shared" si="161"/>
        <v>0</v>
      </c>
      <c r="P383" s="60">
        <f t="shared" si="161"/>
        <v>0</v>
      </c>
      <c r="Q383" s="64"/>
    </row>
    <row r="384" spans="1:17" s="65" customFormat="1" ht="13.5" customHeight="1">
      <c r="A384" s="794">
        <v>92109</v>
      </c>
      <c r="B384" s="795" t="s">
        <v>197</v>
      </c>
      <c r="C384" s="38" t="s">
        <v>13</v>
      </c>
      <c r="D384" s="59">
        <f>E384+M384</f>
        <v>6731661</v>
      </c>
      <c r="E384" s="68">
        <f>F384+I384+J384+K384+L384</f>
        <v>6671661</v>
      </c>
      <c r="F384" s="68">
        <f>G384+H384</f>
        <v>0</v>
      </c>
      <c r="G384" s="68">
        <v>0</v>
      </c>
      <c r="H384" s="60">
        <v>0</v>
      </c>
      <c r="I384" s="60">
        <v>6671661</v>
      </c>
      <c r="J384" s="60">
        <v>0</v>
      </c>
      <c r="K384" s="60">
        <v>0</v>
      </c>
      <c r="L384" s="60">
        <v>0</v>
      </c>
      <c r="M384" s="60">
        <f t="shared" si="158"/>
        <v>60000</v>
      </c>
      <c r="N384" s="60">
        <v>60000</v>
      </c>
      <c r="O384" s="68">
        <v>0</v>
      </c>
      <c r="P384" s="68">
        <v>0</v>
      </c>
      <c r="Q384" s="64"/>
    </row>
    <row r="385" spans="1:17" s="65" customFormat="1" ht="13.5" customHeight="1">
      <c r="A385" s="794"/>
      <c r="B385" s="795"/>
      <c r="C385" s="38" t="s">
        <v>14</v>
      </c>
      <c r="D385" s="59">
        <f>E385+M385</f>
        <v>174378</v>
      </c>
      <c r="E385" s="68">
        <f>F385+I385+J385+K385+L385</f>
        <v>66928</v>
      </c>
      <c r="F385" s="68">
        <f>G385+H385</f>
        <v>0</v>
      </c>
      <c r="G385" s="68"/>
      <c r="H385" s="60"/>
      <c r="I385" s="60">
        <v>66928</v>
      </c>
      <c r="J385" s="60"/>
      <c r="K385" s="60"/>
      <c r="L385" s="60"/>
      <c r="M385" s="60">
        <f t="shared" si="158"/>
        <v>107450</v>
      </c>
      <c r="N385" s="60">
        <f>103200+4250</f>
        <v>107450</v>
      </c>
      <c r="O385" s="68"/>
      <c r="P385" s="68"/>
      <c r="Q385" s="64"/>
    </row>
    <row r="386" spans="1:17" s="65" customFormat="1" ht="13.5" customHeight="1">
      <c r="A386" s="794"/>
      <c r="B386" s="795"/>
      <c r="C386" s="38" t="s">
        <v>15</v>
      </c>
      <c r="D386" s="59">
        <f>D384+D385</f>
        <v>6906039</v>
      </c>
      <c r="E386" s="60">
        <f aca="true" t="shared" si="162" ref="E386:P386">E384+E385</f>
        <v>6738589</v>
      </c>
      <c r="F386" s="60">
        <f t="shared" si="162"/>
        <v>0</v>
      </c>
      <c r="G386" s="60">
        <f t="shared" si="162"/>
        <v>0</v>
      </c>
      <c r="H386" s="60">
        <f t="shared" si="162"/>
        <v>0</v>
      </c>
      <c r="I386" s="60">
        <f t="shared" si="162"/>
        <v>6738589</v>
      </c>
      <c r="J386" s="60">
        <f t="shared" si="162"/>
        <v>0</v>
      </c>
      <c r="K386" s="60">
        <f t="shared" si="162"/>
        <v>0</v>
      </c>
      <c r="L386" s="60">
        <f t="shared" si="162"/>
        <v>0</v>
      </c>
      <c r="M386" s="60">
        <f t="shared" si="162"/>
        <v>167450</v>
      </c>
      <c r="N386" s="60">
        <f t="shared" si="162"/>
        <v>167450</v>
      </c>
      <c r="O386" s="60">
        <f t="shared" si="162"/>
        <v>0</v>
      </c>
      <c r="P386" s="60">
        <f t="shared" si="162"/>
        <v>0</v>
      </c>
      <c r="Q386" s="64"/>
    </row>
    <row r="387" spans="1:17" s="65" customFormat="1" ht="13.5" customHeight="1">
      <c r="A387" s="794">
        <v>92110</v>
      </c>
      <c r="B387" s="795" t="s">
        <v>198</v>
      </c>
      <c r="C387" s="38" t="s">
        <v>13</v>
      </c>
      <c r="D387" s="59">
        <f>E387+M387</f>
        <v>2350220</v>
      </c>
      <c r="E387" s="60">
        <f>F387+I387+J387+K387+L387</f>
        <v>2350220</v>
      </c>
      <c r="F387" s="60">
        <f>G387+H387</f>
        <v>0</v>
      </c>
      <c r="G387" s="60">
        <v>0</v>
      </c>
      <c r="H387" s="60">
        <v>0</v>
      </c>
      <c r="I387" s="60">
        <v>2350220</v>
      </c>
      <c r="J387" s="60">
        <v>0</v>
      </c>
      <c r="K387" s="60">
        <v>0</v>
      </c>
      <c r="L387" s="60">
        <v>0</v>
      </c>
      <c r="M387" s="60">
        <f t="shared" si="158"/>
        <v>0</v>
      </c>
      <c r="N387" s="60">
        <v>0</v>
      </c>
      <c r="O387" s="60">
        <v>0</v>
      </c>
      <c r="P387" s="60">
        <v>0</v>
      </c>
      <c r="Q387" s="64"/>
    </row>
    <row r="388" spans="1:17" s="65" customFormat="1" ht="13.5" customHeight="1">
      <c r="A388" s="794"/>
      <c r="B388" s="795"/>
      <c r="C388" s="38" t="s">
        <v>14</v>
      </c>
      <c r="D388" s="59">
        <f>E388+M388</f>
        <v>136200</v>
      </c>
      <c r="E388" s="60">
        <f>F388+I388+J388+K388+L388</f>
        <v>136200</v>
      </c>
      <c r="F388" s="60">
        <f>G388+H388</f>
        <v>0</v>
      </c>
      <c r="G388" s="60"/>
      <c r="H388" s="60"/>
      <c r="I388" s="60">
        <v>136200</v>
      </c>
      <c r="J388" s="60"/>
      <c r="K388" s="60"/>
      <c r="L388" s="60"/>
      <c r="M388" s="60">
        <f t="shared" si="158"/>
        <v>0</v>
      </c>
      <c r="N388" s="60"/>
      <c r="O388" s="60"/>
      <c r="P388" s="60"/>
      <c r="Q388" s="64"/>
    </row>
    <row r="389" spans="1:17" s="65" customFormat="1" ht="13.5" customHeight="1">
      <c r="A389" s="794"/>
      <c r="B389" s="795"/>
      <c r="C389" s="38" t="s">
        <v>15</v>
      </c>
      <c r="D389" s="59">
        <f>D387+D388</f>
        <v>2486420</v>
      </c>
      <c r="E389" s="60">
        <f aca="true" t="shared" si="163" ref="E389:P389">E387+E388</f>
        <v>2486420</v>
      </c>
      <c r="F389" s="60">
        <f t="shared" si="163"/>
        <v>0</v>
      </c>
      <c r="G389" s="60">
        <f t="shared" si="163"/>
        <v>0</v>
      </c>
      <c r="H389" s="60">
        <f t="shared" si="163"/>
        <v>0</v>
      </c>
      <c r="I389" s="60">
        <f t="shared" si="163"/>
        <v>2486420</v>
      </c>
      <c r="J389" s="60">
        <f t="shared" si="163"/>
        <v>0</v>
      </c>
      <c r="K389" s="60">
        <f t="shared" si="163"/>
        <v>0</v>
      </c>
      <c r="L389" s="60">
        <f t="shared" si="163"/>
        <v>0</v>
      </c>
      <c r="M389" s="60">
        <f t="shared" si="163"/>
        <v>0</v>
      </c>
      <c r="N389" s="60">
        <f t="shared" si="163"/>
        <v>0</v>
      </c>
      <c r="O389" s="60">
        <f t="shared" si="163"/>
        <v>0</v>
      </c>
      <c r="P389" s="60">
        <f t="shared" si="163"/>
        <v>0</v>
      </c>
      <c r="Q389" s="64"/>
    </row>
    <row r="390" spans="1:17" s="65" customFormat="1" ht="12.75" hidden="1">
      <c r="A390" s="794">
        <v>92113</v>
      </c>
      <c r="B390" s="795" t="s">
        <v>199</v>
      </c>
      <c r="C390" s="38" t="s">
        <v>13</v>
      </c>
      <c r="D390" s="59">
        <f>E390+M390</f>
        <v>1299500</v>
      </c>
      <c r="E390" s="60">
        <f>F390+I390+J390+K390+L390</f>
        <v>1299500</v>
      </c>
      <c r="F390" s="60">
        <f>G390+H390</f>
        <v>0</v>
      </c>
      <c r="G390" s="60">
        <v>0</v>
      </c>
      <c r="H390" s="60">
        <v>0</v>
      </c>
      <c r="I390" s="60">
        <v>1299500</v>
      </c>
      <c r="J390" s="60">
        <v>0</v>
      </c>
      <c r="K390" s="60">
        <v>0</v>
      </c>
      <c r="L390" s="60">
        <v>0</v>
      </c>
      <c r="M390" s="60">
        <f t="shared" si="158"/>
        <v>0</v>
      </c>
      <c r="N390" s="60">
        <v>0</v>
      </c>
      <c r="O390" s="60">
        <v>0</v>
      </c>
      <c r="P390" s="60">
        <v>0</v>
      </c>
      <c r="Q390" s="64"/>
    </row>
    <row r="391" spans="1:17" s="65" customFormat="1" ht="12.75" hidden="1">
      <c r="A391" s="794"/>
      <c r="B391" s="795"/>
      <c r="C391" s="38" t="s">
        <v>14</v>
      </c>
      <c r="D391" s="59">
        <f>E391+M391</f>
        <v>0</v>
      </c>
      <c r="E391" s="60">
        <f>F391+I391+J391+K391+L391</f>
        <v>0</v>
      </c>
      <c r="F391" s="60">
        <f>G391+H391</f>
        <v>0</v>
      </c>
      <c r="G391" s="60"/>
      <c r="H391" s="60"/>
      <c r="I391" s="60"/>
      <c r="J391" s="60"/>
      <c r="K391" s="60"/>
      <c r="L391" s="60"/>
      <c r="M391" s="60">
        <f t="shared" si="158"/>
        <v>0</v>
      </c>
      <c r="N391" s="60"/>
      <c r="O391" s="60"/>
      <c r="P391" s="60"/>
      <c r="Q391" s="64"/>
    </row>
    <row r="392" spans="1:17" s="65" customFormat="1" ht="12.75" hidden="1">
      <c r="A392" s="794"/>
      <c r="B392" s="795"/>
      <c r="C392" s="38" t="s">
        <v>15</v>
      </c>
      <c r="D392" s="59">
        <f>D390+D391</f>
        <v>1299500</v>
      </c>
      <c r="E392" s="60">
        <f>E390+E391</f>
        <v>1299500</v>
      </c>
      <c r="F392" s="60">
        <f aca="true" t="shared" si="164" ref="F392:P392">F390+F391</f>
        <v>0</v>
      </c>
      <c r="G392" s="60">
        <f t="shared" si="164"/>
        <v>0</v>
      </c>
      <c r="H392" s="60">
        <f t="shared" si="164"/>
        <v>0</v>
      </c>
      <c r="I392" s="60">
        <f t="shared" si="164"/>
        <v>1299500</v>
      </c>
      <c r="J392" s="60">
        <f t="shared" si="164"/>
        <v>0</v>
      </c>
      <c r="K392" s="60">
        <f t="shared" si="164"/>
        <v>0</v>
      </c>
      <c r="L392" s="60">
        <f t="shared" si="164"/>
        <v>0</v>
      </c>
      <c r="M392" s="60">
        <f t="shared" si="164"/>
        <v>0</v>
      </c>
      <c r="N392" s="60">
        <f t="shared" si="164"/>
        <v>0</v>
      </c>
      <c r="O392" s="60">
        <f t="shared" si="164"/>
        <v>0</v>
      </c>
      <c r="P392" s="60">
        <f t="shared" si="164"/>
        <v>0</v>
      </c>
      <c r="Q392" s="64"/>
    </row>
    <row r="393" spans="1:17" s="65" customFormat="1" ht="13.5" customHeight="1">
      <c r="A393" s="794">
        <v>92116</v>
      </c>
      <c r="B393" s="795" t="s">
        <v>200</v>
      </c>
      <c r="C393" s="38" t="s">
        <v>13</v>
      </c>
      <c r="D393" s="59">
        <f>E393+M393</f>
        <v>19345790</v>
      </c>
      <c r="E393" s="68">
        <f>F393+I393+J393+K393+L393</f>
        <v>19345790</v>
      </c>
      <c r="F393" s="68">
        <f>G393+H393</f>
        <v>0</v>
      </c>
      <c r="G393" s="68">
        <v>0</v>
      </c>
      <c r="H393" s="60">
        <v>0</v>
      </c>
      <c r="I393" s="60">
        <v>19345790</v>
      </c>
      <c r="J393" s="60">
        <v>0</v>
      </c>
      <c r="K393" s="60">
        <v>0</v>
      </c>
      <c r="L393" s="60">
        <v>0</v>
      </c>
      <c r="M393" s="60">
        <f t="shared" si="158"/>
        <v>0</v>
      </c>
      <c r="N393" s="60">
        <v>0</v>
      </c>
      <c r="O393" s="68">
        <v>0</v>
      </c>
      <c r="P393" s="68">
        <v>0</v>
      </c>
      <c r="Q393" s="64"/>
    </row>
    <row r="394" spans="1:17" s="65" customFormat="1" ht="13.5" customHeight="1">
      <c r="A394" s="794"/>
      <c r="B394" s="795"/>
      <c r="C394" s="38" t="s">
        <v>14</v>
      </c>
      <c r="D394" s="59">
        <f>E394+M394</f>
        <v>144131</v>
      </c>
      <c r="E394" s="68">
        <f>F394+I394+J394+K394+L394</f>
        <v>144131</v>
      </c>
      <c r="F394" s="68">
        <f>G394+H394</f>
        <v>0</v>
      </c>
      <c r="G394" s="68"/>
      <c r="H394" s="60"/>
      <c r="I394" s="60">
        <f>51631+92500</f>
        <v>144131</v>
      </c>
      <c r="J394" s="60"/>
      <c r="K394" s="60"/>
      <c r="L394" s="60"/>
      <c r="M394" s="60">
        <f t="shared" si="158"/>
        <v>0</v>
      </c>
      <c r="N394" s="60"/>
      <c r="O394" s="68"/>
      <c r="P394" s="68"/>
      <c r="Q394" s="64"/>
    </row>
    <row r="395" spans="1:17" s="65" customFormat="1" ht="13.5" customHeight="1">
      <c r="A395" s="794"/>
      <c r="B395" s="795"/>
      <c r="C395" s="38" t="s">
        <v>15</v>
      </c>
      <c r="D395" s="59">
        <f>D393+D394</f>
        <v>19489921</v>
      </c>
      <c r="E395" s="68">
        <f>E393+E394</f>
        <v>19489921</v>
      </c>
      <c r="F395" s="68">
        <f aca="true" t="shared" si="165" ref="F395:P395">F393+F394</f>
        <v>0</v>
      </c>
      <c r="G395" s="68">
        <f t="shared" si="165"/>
        <v>0</v>
      </c>
      <c r="H395" s="68">
        <f t="shared" si="165"/>
        <v>0</v>
      </c>
      <c r="I395" s="68">
        <f t="shared" si="165"/>
        <v>19489921</v>
      </c>
      <c r="J395" s="68">
        <f t="shared" si="165"/>
        <v>0</v>
      </c>
      <c r="K395" s="68">
        <f t="shared" si="165"/>
        <v>0</v>
      </c>
      <c r="L395" s="68">
        <f t="shared" si="165"/>
        <v>0</v>
      </c>
      <c r="M395" s="68">
        <f t="shared" si="165"/>
        <v>0</v>
      </c>
      <c r="N395" s="68">
        <f t="shared" si="165"/>
        <v>0</v>
      </c>
      <c r="O395" s="68">
        <f t="shared" si="165"/>
        <v>0</v>
      </c>
      <c r="P395" s="68">
        <f t="shared" si="165"/>
        <v>0</v>
      </c>
      <c r="Q395" s="64"/>
    </row>
    <row r="396" spans="1:17" s="65" customFormat="1" ht="13.5" customHeight="1">
      <c r="A396" s="794">
        <v>92118</v>
      </c>
      <c r="B396" s="795" t="s">
        <v>201</v>
      </c>
      <c r="C396" s="38" t="s">
        <v>13</v>
      </c>
      <c r="D396" s="59">
        <f>E396+M396</f>
        <v>13004000</v>
      </c>
      <c r="E396" s="68">
        <f>F396+I396+J396+K396+L396</f>
        <v>12904000</v>
      </c>
      <c r="F396" s="68">
        <f>G396+H396</f>
        <v>0</v>
      </c>
      <c r="G396" s="68">
        <v>0</v>
      </c>
      <c r="H396" s="60">
        <v>0</v>
      </c>
      <c r="I396" s="60">
        <v>12904000</v>
      </c>
      <c r="J396" s="60">
        <v>0</v>
      </c>
      <c r="K396" s="60">
        <v>0</v>
      </c>
      <c r="L396" s="60">
        <v>0</v>
      </c>
      <c r="M396" s="60">
        <f t="shared" si="158"/>
        <v>100000</v>
      </c>
      <c r="N396" s="60">
        <v>100000</v>
      </c>
      <c r="O396" s="68">
        <v>0</v>
      </c>
      <c r="P396" s="68">
        <v>0</v>
      </c>
      <c r="Q396" s="64"/>
    </row>
    <row r="397" spans="1:17" s="65" customFormat="1" ht="13.5" customHeight="1">
      <c r="A397" s="794"/>
      <c r="B397" s="795"/>
      <c r="C397" s="38" t="s">
        <v>14</v>
      </c>
      <c r="D397" s="59">
        <f>E397+M397</f>
        <v>314786</v>
      </c>
      <c r="E397" s="68">
        <f>F397+I397+J397+K397+L397</f>
        <v>14676</v>
      </c>
      <c r="F397" s="68">
        <f>G397+H397</f>
        <v>0</v>
      </c>
      <c r="G397" s="68"/>
      <c r="H397" s="60"/>
      <c r="I397" s="60">
        <f>9883+4793</f>
        <v>14676</v>
      </c>
      <c r="J397" s="60"/>
      <c r="K397" s="60"/>
      <c r="L397" s="60"/>
      <c r="M397" s="60">
        <f t="shared" si="158"/>
        <v>300110</v>
      </c>
      <c r="N397" s="60">
        <v>300110</v>
      </c>
      <c r="O397" s="68"/>
      <c r="P397" s="68"/>
      <c r="Q397" s="64"/>
    </row>
    <row r="398" spans="1:17" s="65" customFormat="1" ht="13.5" customHeight="1">
      <c r="A398" s="794"/>
      <c r="B398" s="795"/>
      <c r="C398" s="38" t="s">
        <v>15</v>
      </c>
      <c r="D398" s="59">
        <f>D396+D397</f>
        <v>13318786</v>
      </c>
      <c r="E398" s="68">
        <f>E396+E397</f>
        <v>12918676</v>
      </c>
      <c r="F398" s="68">
        <f aca="true" t="shared" si="166" ref="F398:P398">F396+F397</f>
        <v>0</v>
      </c>
      <c r="G398" s="68">
        <f t="shared" si="166"/>
        <v>0</v>
      </c>
      <c r="H398" s="68">
        <f t="shared" si="166"/>
        <v>0</v>
      </c>
      <c r="I398" s="68">
        <f t="shared" si="166"/>
        <v>12918676</v>
      </c>
      <c r="J398" s="68">
        <f t="shared" si="166"/>
        <v>0</v>
      </c>
      <c r="K398" s="68">
        <f t="shared" si="166"/>
        <v>0</v>
      </c>
      <c r="L398" s="68">
        <f t="shared" si="166"/>
        <v>0</v>
      </c>
      <c r="M398" s="68">
        <f t="shared" si="166"/>
        <v>400110</v>
      </c>
      <c r="N398" s="68">
        <f t="shared" si="166"/>
        <v>400110</v>
      </c>
      <c r="O398" s="68">
        <f t="shared" si="166"/>
        <v>0</v>
      </c>
      <c r="P398" s="68">
        <f t="shared" si="166"/>
        <v>0</v>
      </c>
      <c r="Q398" s="64"/>
    </row>
    <row r="399" spans="1:17" s="65" customFormat="1" ht="13.5" customHeight="1">
      <c r="A399" s="794">
        <v>92120</v>
      </c>
      <c r="B399" s="795" t="s">
        <v>202</v>
      </c>
      <c r="C399" s="38" t="s">
        <v>13</v>
      </c>
      <c r="D399" s="59">
        <f>E399+M399</f>
        <v>3060498</v>
      </c>
      <c r="E399" s="60">
        <f>F399+I399+J399+K399+L399</f>
        <v>3060498</v>
      </c>
      <c r="F399" s="60">
        <f>G399+H399</f>
        <v>75000</v>
      </c>
      <c r="G399" s="60">
        <v>19000</v>
      </c>
      <c r="H399" s="60">
        <f>2000+4000+50000</f>
        <v>56000</v>
      </c>
      <c r="I399" s="60">
        <v>925000</v>
      </c>
      <c r="J399" s="60">
        <v>0</v>
      </c>
      <c r="K399" s="60">
        <f>0+2060498</f>
        <v>2060498</v>
      </c>
      <c r="L399" s="60">
        <v>0</v>
      </c>
      <c r="M399" s="60">
        <f t="shared" si="158"/>
        <v>0</v>
      </c>
      <c r="N399" s="60">
        <v>0</v>
      </c>
      <c r="O399" s="60">
        <v>0</v>
      </c>
      <c r="P399" s="60">
        <v>0</v>
      </c>
      <c r="Q399" s="64"/>
    </row>
    <row r="400" spans="1:17" s="65" customFormat="1" ht="13.5" customHeight="1">
      <c r="A400" s="794"/>
      <c r="B400" s="795"/>
      <c r="C400" s="38" t="s">
        <v>14</v>
      </c>
      <c r="D400" s="59">
        <f>E400+M400</f>
        <v>549706</v>
      </c>
      <c r="E400" s="60">
        <f>F400+I400+J400+K400+L400</f>
        <v>549706</v>
      </c>
      <c r="F400" s="60">
        <f>G400+H400</f>
        <v>0</v>
      </c>
      <c r="G400" s="60"/>
      <c r="H400" s="60"/>
      <c r="I400" s="60">
        <f>283272-55000</f>
        <v>228272</v>
      </c>
      <c r="J400" s="60"/>
      <c r="K400" s="60">
        <f>113942+20108+19587+3457+2793+493+63750+11250+1657+293+71488+12616</f>
        <v>321434</v>
      </c>
      <c r="L400" s="60"/>
      <c r="M400" s="60">
        <f t="shared" si="158"/>
        <v>0</v>
      </c>
      <c r="N400" s="60"/>
      <c r="O400" s="60"/>
      <c r="P400" s="60"/>
      <c r="Q400" s="64"/>
    </row>
    <row r="401" spans="1:17" s="65" customFormat="1" ht="13.5" customHeight="1">
      <c r="A401" s="794"/>
      <c r="B401" s="795"/>
      <c r="C401" s="38" t="s">
        <v>15</v>
      </c>
      <c r="D401" s="59">
        <f>D399+D400</f>
        <v>3610204</v>
      </c>
      <c r="E401" s="60">
        <f>E399+E400</f>
        <v>3610204</v>
      </c>
      <c r="F401" s="60">
        <f aca="true" t="shared" si="167" ref="F401:P401">F399+F400</f>
        <v>75000</v>
      </c>
      <c r="G401" s="60">
        <f t="shared" si="167"/>
        <v>19000</v>
      </c>
      <c r="H401" s="60">
        <f t="shared" si="167"/>
        <v>56000</v>
      </c>
      <c r="I401" s="60">
        <f t="shared" si="167"/>
        <v>1153272</v>
      </c>
      <c r="J401" s="60">
        <f t="shared" si="167"/>
        <v>0</v>
      </c>
      <c r="K401" s="60">
        <f t="shared" si="167"/>
        <v>2381932</v>
      </c>
      <c r="L401" s="60">
        <f t="shared" si="167"/>
        <v>0</v>
      </c>
      <c r="M401" s="60">
        <f t="shared" si="167"/>
        <v>0</v>
      </c>
      <c r="N401" s="60">
        <f t="shared" si="167"/>
        <v>0</v>
      </c>
      <c r="O401" s="60">
        <f t="shared" si="167"/>
        <v>0</v>
      </c>
      <c r="P401" s="60">
        <f t="shared" si="167"/>
        <v>0</v>
      </c>
      <c r="Q401" s="64"/>
    </row>
    <row r="402" spans="1:17" s="65" customFormat="1" ht="13.5" customHeight="1">
      <c r="A402" s="794">
        <v>92195</v>
      </c>
      <c r="B402" s="795" t="s">
        <v>52</v>
      </c>
      <c r="C402" s="38" t="s">
        <v>13</v>
      </c>
      <c r="D402" s="59">
        <f>E402+M402</f>
        <v>22603423</v>
      </c>
      <c r="E402" s="68">
        <f>F402+I402+J402+K402+L402</f>
        <v>6413474</v>
      </c>
      <c r="F402" s="68">
        <f>G402+H402</f>
        <v>2328563</v>
      </c>
      <c r="G402" s="68">
        <v>46000</v>
      </c>
      <c r="H402" s="60">
        <f>71000+13500+2198063</f>
        <v>2282563</v>
      </c>
      <c r="I402" s="60">
        <v>2946000</v>
      </c>
      <c r="J402" s="60">
        <v>330000</v>
      </c>
      <c r="K402" s="60">
        <f>19720+66743+15258+7341+1296+4420+12735+3027+680+1815+440+5100+900+56547+3400+10579+1020+180+294900+129386+74875+5383+950+42500+7500+1700+300+33758+5958+425+75</f>
        <v>808911</v>
      </c>
      <c r="L402" s="60">
        <v>0</v>
      </c>
      <c r="M402" s="60">
        <f t="shared" si="158"/>
        <v>16189949</v>
      </c>
      <c r="N402" s="60">
        <v>16189949</v>
      </c>
      <c r="O402" s="68">
        <f>11119070+1962189</f>
        <v>13081259</v>
      </c>
      <c r="P402" s="68">
        <v>0</v>
      </c>
      <c r="Q402" s="64"/>
    </row>
    <row r="403" spans="1:17" s="65" customFormat="1" ht="13.5" customHeight="1">
      <c r="A403" s="794"/>
      <c r="B403" s="795"/>
      <c r="C403" s="38" t="s">
        <v>14</v>
      </c>
      <c r="D403" s="59">
        <f>E403+M403</f>
        <v>2073581</v>
      </c>
      <c r="E403" s="68">
        <f>F403+I403+J403+K403+L403</f>
        <v>2073581</v>
      </c>
      <c r="F403" s="68">
        <f>G403+H403</f>
        <v>350000</v>
      </c>
      <c r="G403" s="68"/>
      <c r="H403" s="60">
        <v>350000</v>
      </c>
      <c r="I403" s="60">
        <f>20000+50000</f>
        <v>70000</v>
      </c>
      <c r="J403" s="60">
        <v>30000</v>
      </c>
      <c r="K403" s="60">
        <f>1370181+7580+1337+2026+357+239+43+5100+900+13175+2325+1530+270+146407+72111</f>
        <v>1623581</v>
      </c>
      <c r="L403" s="60"/>
      <c r="M403" s="60">
        <f t="shared" si="158"/>
        <v>0</v>
      </c>
      <c r="N403" s="60"/>
      <c r="O403" s="68"/>
      <c r="P403" s="68"/>
      <c r="Q403" s="64"/>
    </row>
    <row r="404" spans="1:17" s="65" customFormat="1" ht="13.5" customHeight="1">
      <c r="A404" s="794"/>
      <c r="B404" s="795"/>
      <c r="C404" s="38" t="s">
        <v>15</v>
      </c>
      <c r="D404" s="59">
        <f>D402+D403</f>
        <v>24677004</v>
      </c>
      <c r="E404" s="68">
        <f>E402+E403</f>
        <v>8487055</v>
      </c>
      <c r="F404" s="68">
        <f aca="true" t="shared" si="168" ref="F404:P404">F402+F403</f>
        <v>2678563</v>
      </c>
      <c r="G404" s="68">
        <f t="shared" si="168"/>
        <v>46000</v>
      </c>
      <c r="H404" s="68">
        <f t="shared" si="168"/>
        <v>2632563</v>
      </c>
      <c r="I404" s="68">
        <f t="shared" si="168"/>
        <v>3016000</v>
      </c>
      <c r="J404" s="68">
        <f t="shared" si="168"/>
        <v>360000</v>
      </c>
      <c r="K404" s="68">
        <f t="shared" si="168"/>
        <v>2432492</v>
      </c>
      <c r="L404" s="68">
        <f t="shared" si="168"/>
        <v>0</v>
      </c>
      <c r="M404" s="68">
        <f t="shared" si="168"/>
        <v>16189949</v>
      </c>
      <c r="N404" s="68">
        <f t="shared" si="168"/>
        <v>16189949</v>
      </c>
      <c r="O404" s="68">
        <f t="shared" si="168"/>
        <v>13081259</v>
      </c>
      <c r="P404" s="68">
        <f t="shared" si="168"/>
        <v>0</v>
      </c>
      <c r="Q404" s="64"/>
    </row>
    <row r="405" spans="1:17" s="40" customFormat="1" ht="22.5" customHeight="1">
      <c r="A405" s="796">
        <v>925</v>
      </c>
      <c r="B405" s="801" t="s">
        <v>40</v>
      </c>
      <c r="C405" s="37" t="s">
        <v>13</v>
      </c>
      <c r="D405" s="57">
        <f aca="true" t="shared" si="169" ref="D405:P406">D408</f>
        <v>13217864</v>
      </c>
      <c r="E405" s="58">
        <f t="shared" si="169"/>
        <v>6433227</v>
      </c>
      <c r="F405" s="58">
        <f t="shared" si="169"/>
        <v>5915727</v>
      </c>
      <c r="G405" s="58">
        <f t="shared" si="169"/>
        <v>3538044</v>
      </c>
      <c r="H405" s="58">
        <f t="shared" si="169"/>
        <v>2377683</v>
      </c>
      <c r="I405" s="58">
        <f t="shared" si="169"/>
        <v>0</v>
      </c>
      <c r="J405" s="58">
        <f t="shared" si="169"/>
        <v>100328</v>
      </c>
      <c r="K405" s="58">
        <f t="shared" si="169"/>
        <v>417172</v>
      </c>
      <c r="L405" s="58">
        <f t="shared" si="169"/>
        <v>0</v>
      </c>
      <c r="M405" s="58">
        <f t="shared" si="169"/>
        <v>6784637</v>
      </c>
      <c r="N405" s="58">
        <f t="shared" si="169"/>
        <v>6784637</v>
      </c>
      <c r="O405" s="58">
        <f>O408</f>
        <v>6779853</v>
      </c>
      <c r="P405" s="58">
        <f t="shared" si="169"/>
        <v>0</v>
      </c>
      <c r="Q405" s="47"/>
    </row>
    <row r="406" spans="1:17" s="40" customFormat="1" ht="22.5" customHeight="1">
      <c r="A406" s="796"/>
      <c r="B406" s="801"/>
      <c r="C406" s="37" t="s">
        <v>14</v>
      </c>
      <c r="D406" s="57">
        <f t="shared" si="169"/>
        <v>1009605</v>
      </c>
      <c r="E406" s="58">
        <f t="shared" si="169"/>
        <v>209605</v>
      </c>
      <c r="F406" s="58">
        <f t="shared" si="169"/>
        <v>209005</v>
      </c>
      <c r="G406" s="58">
        <f t="shared" si="169"/>
        <v>55463</v>
      </c>
      <c r="H406" s="58">
        <f t="shared" si="169"/>
        <v>153542</v>
      </c>
      <c r="I406" s="58">
        <f t="shared" si="169"/>
        <v>0</v>
      </c>
      <c r="J406" s="58">
        <f t="shared" si="169"/>
        <v>600</v>
      </c>
      <c r="K406" s="58">
        <f t="shared" si="169"/>
        <v>0</v>
      </c>
      <c r="L406" s="58">
        <f t="shared" si="169"/>
        <v>0</v>
      </c>
      <c r="M406" s="58">
        <f t="shared" si="169"/>
        <v>800000</v>
      </c>
      <c r="N406" s="58">
        <f t="shared" si="169"/>
        <v>800000</v>
      </c>
      <c r="O406" s="58">
        <f>O409</f>
        <v>0</v>
      </c>
      <c r="P406" s="58">
        <f t="shared" si="169"/>
        <v>0</v>
      </c>
      <c r="Q406" s="47"/>
    </row>
    <row r="407" spans="1:17" s="40" customFormat="1" ht="22.5" customHeight="1">
      <c r="A407" s="796"/>
      <c r="B407" s="801"/>
      <c r="C407" s="37" t="s">
        <v>15</v>
      </c>
      <c r="D407" s="70">
        <f aca="true" t="shared" si="170" ref="D407:O407">D405+D406</f>
        <v>14227469</v>
      </c>
      <c r="E407" s="58">
        <f t="shared" si="170"/>
        <v>6642832</v>
      </c>
      <c r="F407" s="58">
        <f t="shared" si="170"/>
        <v>6124732</v>
      </c>
      <c r="G407" s="58">
        <f t="shared" si="170"/>
        <v>3593507</v>
      </c>
      <c r="H407" s="58">
        <f t="shared" si="170"/>
        <v>2531225</v>
      </c>
      <c r="I407" s="58">
        <f t="shared" si="170"/>
        <v>0</v>
      </c>
      <c r="J407" s="58">
        <f t="shared" si="170"/>
        <v>100928</v>
      </c>
      <c r="K407" s="58">
        <f t="shared" si="170"/>
        <v>417172</v>
      </c>
      <c r="L407" s="58">
        <f t="shared" si="170"/>
        <v>0</v>
      </c>
      <c r="M407" s="58">
        <f t="shared" si="170"/>
        <v>7584637</v>
      </c>
      <c r="N407" s="58">
        <f t="shared" si="170"/>
        <v>7584637</v>
      </c>
      <c r="O407" s="58">
        <f t="shared" si="170"/>
        <v>6779853</v>
      </c>
      <c r="P407" s="58">
        <f>P405+P406</f>
        <v>0</v>
      </c>
      <c r="Q407" s="47"/>
    </row>
    <row r="408" spans="1:17" s="65" customFormat="1" ht="12.75">
      <c r="A408" s="794">
        <v>92502</v>
      </c>
      <c r="B408" s="795" t="s">
        <v>203</v>
      </c>
      <c r="C408" s="61" t="s">
        <v>13</v>
      </c>
      <c r="D408" s="298">
        <f>E408+M408</f>
        <v>13217864</v>
      </c>
      <c r="E408" s="299">
        <f>F408+I408+J408+K408+L408</f>
        <v>6433227</v>
      </c>
      <c r="F408" s="299">
        <f>G408+H408</f>
        <v>5915727</v>
      </c>
      <c r="G408" s="299">
        <v>3538044</v>
      </c>
      <c r="H408" s="300">
        <v>2377683</v>
      </c>
      <c r="I408" s="300">
        <v>0</v>
      </c>
      <c r="J408" s="300">
        <v>100328</v>
      </c>
      <c r="K408" s="300">
        <f>13206+16371+2388+2961+330+408+5100+900+3126+3875+298406+70101</f>
        <v>417172</v>
      </c>
      <c r="L408" s="300">
        <v>0</v>
      </c>
      <c r="M408" s="300">
        <f>N408+P408</f>
        <v>6784637</v>
      </c>
      <c r="N408" s="300">
        <v>6784637</v>
      </c>
      <c r="O408" s="299">
        <f>5775843+1004010</f>
        <v>6779853</v>
      </c>
      <c r="P408" s="299">
        <v>0</v>
      </c>
      <c r="Q408" s="64"/>
    </row>
    <row r="409" spans="1:17" s="65" customFormat="1" ht="17.25" customHeight="1">
      <c r="A409" s="794"/>
      <c r="B409" s="795"/>
      <c r="C409" s="61" t="s">
        <v>14</v>
      </c>
      <c r="D409" s="298">
        <f>E409+M409</f>
        <v>1009605</v>
      </c>
      <c r="E409" s="299">
        <f>F409+I409+J409+K409+L409</f>
        <v>209605</v>
      </c>
      <c r="F409" s="299">
        <f>G409+H409</f>
        <v>209005</v>
      </c>
      <c r="G409" s="299">
        <f>33600+6025+824+15014</f>
        <v>55463</v>
      </c>
      <c r="H409" s="300">
        <f>1670+22666+200+127276+1230+300+200</f>
        <v>153542</v>
      </c>
      <c r="I409" s="300"/>
      <c r="J409" s="300">
        <v>600</v>
      </c>
      <c r="K409" s="300"/>
      <c r="L409" s="300"/>
      <c r="M409" s="300">
        <f>N409+P409</f>
        <v>800000</v>
      </c>
      <c r="N409" s="300">
        <v>800000</v>
      </c>
      <c r="O409" s="299"/>
      <c r="P409" s="299"/>
      <c r="Q409" s="64"/>
    </row>
    <row r="410" spans="1:17" s="65" customFormat="1" ht="12.75">
      <c r="A410" s="794"/>
      <c r="B410" s="795"/>
      <c r="C410" s="61" t="s">
        <v>15</v>
      </c>
      <c r="D410" s="298">
        <f>D408+D409</f>
        <v>14227469</v>
      </c>
      <c r="E410" s="299">
        <f>E408+E409</f>
        <v>6642832</v>
      </c>
      <c r="F410" s="299">
        <f aca="true" t="shared" si="171" ref="F410:P410">F408+F409</f>
        <v>6124732</v>
      </c>
      <c r="G410" s="299">
        <f t="shared" si="171"/>
        <v>3593507</v>
      </c>
      <c r="H410" s="299">
        <f t="shared" si="171"/>
        <v>2531225</v>
      </c>
      <c r="I410" s="299">
        <f t="shared" si="171"/>
        <v>0</v>
      </c>
      <c r="J410" s="299">
        <f t="shared" si="171"/>
        <v>100928</v>
      </c>
      <c r="K410" s="299">
        <f t="shared" si="171"/>
        <v>417172</v>
      </c>
      <c r="L410" s="299">
        <f t="shared" si="171"/>
        <v>0</v>
      </c>
      <c r="M410" s="299">
        <f t="shared" si="171"/>
        <v>7584637</v>
      </c>
      <c r="N410" s="299">
        <f t="shared" si="171"/>
        <v>7584637</v>
      </c>
      <c r="O410" s="299">
        <f t="shared" si="171"/>
        <v>6779853</v>
      </c>
      <c r="P410" s="299">
        <f t="shared" si="171"/>
        <v>0</v>
      </c>
      <c r="Q410" s="64"/>
    </row>
    <row r="411" spans="1:17" s="40" customFormat="1" ht="14.25" hidden="1">
      <c r="A411" s="796">
        <v>926</v>
      </c>
      <c r="B411" s="801" t="s">
        <v>204</v>
      </c>
      <c r="C411" s="37" t="s">
        <v>13</v>
      </c>
      <c r="D411" s="57">
        <f aca="true" t="shared" si="172" ref="D411:P412">D414</f>
        <v>6920000</v>
      </c>
      <c r="E411" s="58">
        <f t="shared" si="172"/>
        <v>4920000</v>
      </c>
      <c r="F411" s="58">
        <f t="shared" si="172"/>
        <v>250000</v>
      </c>
      <c r="G411" s="58">
        <f t="shared" si="172"/>
        <v>3000</v>
      </c>
      <c r="H411" s="58">
        <f t="shared" si="172"/>
        <v>247000</v>
      </c>
      <c r="I411" s="58">
        <f t="shared" si="172"/>
        <v>3900000</v>
      </c>
      <c r="J411" s="58">
        <f t="shared" si="172"/>
        <v>770000</v>
      </c>
      <c r="K411" s="58">
        <f t="shared" si="172"/>
        <v>0</v>
      </c>
      <c r="L411" s="58">
        <f t="shared" si="172"/>
        <v>0</v>
      </c>
      <c r="M411" s="58">
        <f t="shared" si="172"/>
        <v>2000000</v>
      </c>
      <c r="N411" s="58">
        <f t="shared" si="172"/>
        <v>2000000</v>
      </c>
      <c r="O411" s="58">
        <f>O414</f>
        <v>0</v>
      </c>
      <c r="P411" s="58">
        <f t="shared" si="172"/>
        <v>0</v>
      </c>
      <c r="Q411" s="47"/>
    </row>
    <row r="412" spans="1:17" s="40" customFormat="1" ht="14.25" hidden="1">
      <c r="A412" s="796"/>
      <c r="B412" s="801"/>
      <c r="C412" s="37" t="s">
        <v>14</v>
      </c>
      <c r="D412" s="57">
        <f t="shared" si="172"/>
        <v>0</v>
      </c>
      <c r="E412" s="58">
        <f t="shared" si="172"/>
        <v>0</v>
      </c>
      <c r="F412" s="58">
        <f t="shared" si="172"/>
        <v>0</v>
      </c>
      <c r="G412" s="58">
        <f t="shared" si="172"/>
        <v>0</v>
      </c>
      <c r="H412" s="58">
        <f t="shared" si="172"/>
        <v>0</v>
      </c>
      <c r="I412" s="58">
        <f t="shared" si="172"/>
        <v>0</v>
      </c>
      <c r="J412" s="58">
        <f t="shared" si="172"/>
        <v>0</v>
      </c>
      <c r="K412" s="58">
        <f t="shared" si="172"/>
        <v>0</v>
      </c>
      <c r="L412" s="58">
        <f t="shared" si="172"/>
        <v>0</v>
      </c>
      <c r="M412" s="58">
        <f t="shared" si="172"/>
        <v>0</v>
      </c>
      <c r="N412" s="58">
        <f t="shared" si="172"/>
        <v>0</v>
      </c>
      <c r="O412" s="58">
        <f>O415</f>
        <v>0</v>
      </c>
      <c r="P412" s="58">
        <f t="shared" si="172"/>
        <v>0</v>
      </c>
      <c r="Q412" s="47"/>
    </row>
    <row r="413" spans="1:17" s="40" customFormat="1" ht="14.25" hidden="1">
      <c r="A413" s="796"/>
      <c r="B413" s="801"/>
      <c r="C413" s="37" t="s">
        <v>15</v>
      </c>
      <c r="D413" s="70">
        <f aca="true" t="shared" si="173" ref="D413:O413">D412+D411</f>
        <v>6920000</v>
      </c>
      <c r="E413" s="58">
        <f t="shared" si="173"/>
        <v>4920000</v>
      </c>
      <c r="F413" s="58">
        <f t="shared" si="173"/>
        <v>250000</v>
      </c>
      <c r="G413" s="58">
        <f t="shared" si="173"/>
        <v>3000</v>
      </c>
      <c r="H413" s="58">
        <f t="shared" si="173"/>
        <v>247000</v>
      </c>
      <c r="I413" s="58">
        <f t="shared" si="173"/>
        <v>3900000</v>
      </c>
      <c r="J413" s="58">
        <f t="shared" si="173"/>
        <v>770000</v>
      </c>
      <c r="K413" s="58">
        <f t="shared" si="173"/>
        <v>0</v>
      </c>
      <c r="L413" s="58">
        <f t="shared" si="173"/>
        <v>0</v>
      </c>
      <c r="M413" s="58">
        <f t="shared" si="173"/>
        <v>2000000</v>
      </c>
      <c r="N413" s="58">
        <f t="shared" si="173"/>
        <v>2000000</v>
      </c>
      <c r="O413" s="58">
        <f t="shared" si="173"/>
        <v>0</v>
      </c>
      <c r="P413" s="58">
        <f>P412+P411</f>
        <v>0</v>
      </c>
      <c r="Q413" s="47"/>
    </row>
    <row r="414" spans="1:17" s="65" customFormat="1" ht="14.25" customHeight="1" hidden="1">
      <c r="A414" s="794">
        <v>92605</v>
      </c>
      <c r="B414" s="795" t="s">
        <v>205</v>
      </c>
      <c r="C414" s="38" t="s">
        <v>13</v>
      </c>
      <c r="D414" s="59">
        <f>E414+M414</f>
        <v>6920000</v>
      </c>
      <c r="E414" s="60">
        <f>F414+I414+J414+K414+L414</f>
        <v>4920000</v>
      </c>
      <c r="F414" s="60">
        <f>G414+H414</f>
        <v>250000</v>
      </c>
      <c r="G414" s="60">
        <v>3000</v>
      </c>
      <c r="H414" s="60">
        <f>23000+40000+2000+180000+2000</f>
        <v>247000</v>
      </c>
      <c r="I414" s="60">
        <f>3700000+100000+100000</f>
        <v>3900000</v>
      </c>
      <c r="J414" s="60">
        <v>770000</v>
      </c>
      <c r="K414" s="60">
        <v>0</v>
      </c>
      <c r="L414" s="60">
        <v>0</v>
      </c>
      <c r="M414" s="60">
        <f>N414+P414</f>
        <v>2000000</v>
      </c>
      <c r="N414" s="60">
        <v>2000000</v>
      </c>
      <c r="O414" s="60">
        <v>0</v>
      </c>
      <c r="P414" s="60">
        <v>0</v>
      </c>
      <c r="Q414" s="64"/>
    </row>
    <row r="415" spans="1:17" s="65" customFormat="1" ht="23.25" customHeight="1" hidden="1">
      <c r="A415" s="794"/>
      <c r="B415" s="795"/>
      <c r="C415" s="38" t="s">
        <v>14</v>
      </c>
      <c r="D415" s="59">
        <f>E415+M415</f>
        <v>0</v>
      </c>
      <c r="E415" s="60">
        <f>F415+I415+J415+K415+L415</f>
        <v>0</v>
      </c>
      <c r="F415" s="60">
        <f>G415+H415</f>
        <v>0</v>
      </c>
      <c r="G415" s="60"/>
      <c r="H415" s="60"/>
      <c r="I415" s="60"/>
      <c r="J415" s="60"/>
      <c r="K415" s="60"/>
      <c r="L415" s="60"/>
      <c r="M415" s="60">
        <f>N415+P415</f>
        <v>0</v>
      </c>
      <c r="N415" s="60"/>
      <c r="O415" s="60"/>
      <c r="P415" s="60"/>
      <c r="Q415" s="64"/>
    </row>
    <row r="416" spans="1:17" s="65" customFormat="1" ht="4.5" customHeight="1" hidden="1">
      <c r="A416" s="794"/>
      <c r="B416" s="795"/>
      <c r="C416" s="38" t="s">
        <v>15</v>
      </c>
      <c r="D416" s="59">
        <f>D414+D415</f>
        <v>6920000</v>
      </c>
      <c r="E416" s="60">
        <f aca="true" t="shared" si="174" ref="E416:P416">E414+E415</f>
        <v>4920000</v>
      </c>
      <c r="F416" s="60">
        <f t="shared" si="174"/>
        <v>250000</v>
      </c>
      <c r="G416" s="60">
        <f t="shared" si="174"/>
        <v>3000</v>
      </c>
      <c r="H416" s="60">
        <f t="shared" si="174"/>
        <v>247000</v>
      </c>
      <c r="I416" s="60">
        <f t="shared" si="174"/>
        <v>3900000</v>
      </c>
      <c r="J416" s="60">
        <f t="shared" si="174"/>
        <v>770000</v>
      </c>
      <c r="K416" s="60">
        <f t="shared" si="174"/>
        <v>0</v>
      </c>
      <c r="L416" s="60">
        <f t="shared" si="174"/>
        <v>0</v>
      </c>
      <c r="M416" s="60">
        <f t="shared" si="174"/>
        <v>2000000</v>
      </c>
      <c r="N416" s="60">
        <f t="shared" si="174"/>
        <v>2000000</v>
      </c>
      <c r="O416" s="60">
        <f t="shared" si="174"/>
        <v>0</v>
      </c>
      <c r="P416" s="60">
        <f t="shared" si="174"/>
        <v>0</v>
      </c>
      <c r="Q416" s="64"/>
    </row>
    <row r="417" spans="1:17" s="35" customFormat="1" ht="8.25" customHeight="1">
      <c r="A417" s="717"/>
      <c r="B417" s="721"/>
      <c r="C417" s="38"/>
      <c r="D417" s="59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45"/>
    </row>
    <row r="418" spans="1:17" s="43" customFormat="1" ht="15.75">
      <c r="A418" s="810"/>
      <c r="B418" s="811" t="s">
        <v>12</v>
      </c>
      <c r="C418" s="71" t="s">
        <v>13</v>
      </c>
      <c r="D418" s="72">
        <f aca="true" t="shared" si="175" ref="D418:P418">D14</f>
        <v>1129075463</v>
      </c>
      <c r="E418" s="72">
        <f t="shared" si="175"/>
        <v>652970946</v>
      </c>
      <c r="F418" s="72">
        <f t="shared" si="175"/>
        <v>268831464</v>
      </c>
      <c r="G418" s="72">
        <f t="shared" si="175"/>
        <v>141805090</v>
      </c>
      <c r="H418" s="72">
        <f t="shared" si="175"/>
        <v>127026374</v>
      </c>
      <c r="I418" s="72">
        <f t="shared" si="175"/>
        <v>192293434</v>
      </c>
      <c r="J418" s="72">
        <f t="shared" si="175"/>
        <v>2912276</v>
      </c>
      <c r="K418" s="72">
        <f t="shared" si="175"/>
        <v>147412721</v>
      </c>
      <c r="L418" s="72">
        <f t="shared" si="175"/>
        <v>41521051</v>
      </c>
      <c r="M418" s="72">
        <f t="shared" si="175"/>
        <v>476104517</v>
      </c>
      <c r="N418" s="72">
        <f t="shared" si="175"/>
        <v>448922286</v>
      </c>
      <c r="O418" s="72">
        <f t="shared" si="175"/>
        <v>356977775</v>
      </c>
      <c r="P418" s="72">
        <f t="shared" si="175"/>
        <v>27182231</v>
      </c>
      <c r="Q418" s="50"/>
    </row>
    <row r="419" spans="1:17" s="43" customFormat="1" ht="15.75">
      <c r="A419" s="810"/>
      <c r="B419" s="811"/>
      <c r="C419" s="71" t="s">
        <v>14</v>
      </c>
      <c r="D419" s="72">
        <f aca="true" t="shared" si="176" ref="D419:P419">D15</f>
        <v>-31271590</v>
      </c>
      <c r="E419" s="72">
        <f t="shared" si="176"/>
        <v>8643950</v>
      </c>
      <c r="F419" s="72">
        <f t="shared" si="176"/>
        <v>2130509</v>
      </c>
      <c r="G419" s="72">
        <f t="shared" si="176"/>
        <v>127521</v>
      </c>
      <c r="H419" s="72">
        <f t="shared" si="176"/>
        <v>2002988</v>
      </c>
      <c r="I419" s="72">
        <f t="shared" si="176"/>
        <v>2864271</v>
      </c>
      <c r="J419" s="72">
        <f t="shared" si="176"/>
        <v>30600</v>
      </c>
      <c r="K419" s="72">
        <f t="shared" si="176"/>
        <v>7942400</v>
      </c>
      <c r="L419" s="72">
        <f t="shared" si="176"/>
        <v>-4323830</v>
      </c>
      <c r="M419" s="72">
        <f t="shared" si="176"/>
        <v>-39915540</v>
      </c>
      <c r="N419" s="72">
        <f t="shared" si="176"/>
        <v>-39915540</v>
      </c>
      <c r="O419" s="72">
        <f t="shared" si="176"/>
        <v>-57478666</v>
      </c>
      <c r="P419" s="72">
        <f t="shared" si="176"/>
        <v>0</v>
      </c>
      <c r="Q419" s="50"/>
    </row>
    <row r="420" spans="1:17" s="43" customFormat="1" ht="15.75">
      <c r="A420" s="810"/>
      <c r="B420" s="811"/>
      <c r="C420" s="71" t="s">
        <v>15</v>
      </c>
      <c r="D420" s="72">
        <f>D418+D419</f>
        <v>1097803873</v>
      </c>
      <c r="E420" s="72">
        <f aca="true" t="shared" si="177" ref="E420:P420">E418+E419</f>
        <v>661614896</v>
      </c>
      <c r="F420" s="72">
        <f t="shared" si="177"/>
        <v>270961973</v>
      </c>
      <c r="G420" s="72">
        <f t="shared" si="177"/>
        <v>141932611</v>
      </c>
      <c r="H420" s="72">
        <f t="shared" si="177"/>
        <v>129029362</v>
      </c>
      <c r="I420" s="72">
        <f t="shared" si="177"/>
        <v>195157705</v>
      </c>
      <c r="J420" s="72">
        <f t="shared" si="177"/>
        <v>2942876</v>
      </c>
      <c r="K420" s="72">
        <f t="shared" si="177"/>
        <v>155355121</v>
      </c>
      <c r="L420" s="72">
        <f t="shared" si="177"/>
        <v>37197221</v>
      </c>
      <c r="M420" s="72">
        <f t="shared" si="177"/>
        <v>436188977</v>
      </c>
      <c r="N420" s="72">
        <f t="shared" si="177"/>
        <v>409006746</v>
      </c>
      <c r="O420" s="72">
        <f t="shared" si="177"/>
        <v>299499109</v>
      </c>
      <c r="P420" s="72">
        <f t="shared" si="177"/>
        <v>27182231</v>
      </c>
      <c r="Q420" s="50"/>
    </row>
    <row r="421" spans="4:17" ht="12.75">
      <c r="D421" s="73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51"/>
    </row>
    <row r="422" spans="1:16" ht="12.75">
      <c r="A422" s="32" t="s">
        <v>11</v>
      </c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1:16" ht="12.75">
      <c r="A423" s="32" t="s">
        <v>41</v>
      </c>
      <c r="D423" s="74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75"/>
      <c r="P423" s="35"/>
    </row>
    <row r="424" spans="1:16" ht="12.75">
      <c r="A424" s="32" t="s">
        <v>42</v>
      </c>
      <c r="D424" s="74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1:16" ht="12.75">
      <c r="A425" s="32" t="s">
        <v>43</v>
      </c>
      <c r="D425" s="74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</sheetData>
  <sheetProtection password="C25B" sheet="1"/>
  <mergeCells count="288">
    <mergeCell ref="A345:A347"/>
    <mergeCell ref="B345:B347"/>
    <mergeCell ref="A354:A356"/>
    <mergeCell ref="B354:B356"/>
    <mergeCell ref="A60:A62"/>
    <mergeCell ref="B60:B62"/>
    <mergeCell ref="A63:A65"/>
    <mergeCell ref="B63:B65"/>
    <mergeCell ref="A183:A185"/>
    <mergeCell ref="B183:B185"/>
    <mergeCell ref="A8:A11"/>
    <mergeCell ref="M9:M11"/>
    <mergeCell ref="N9:P9"/>
    <mergeCell ref="F10:F11"/>
    <mergeCell ref="K10:K11"/>
    <mergeCell ref="L10:L11"/>
    <mergeCell ref="N10:N11"/>
    <mergeCell ref="B8:B11"/>
    <mergeCell ref="C8:C11"/>
    <mergeCell ref="E8:P8"/>
    <mergeCell ref="A414:A416"/>
    <mergeCell ref="B414:B416"/>
    <mergeCell ref="A418:A420"/>
    <mergeCell ref="B418:B420"/>
    <mergeCell ref="A405:A407"/>
    <mergeCell ref="B405:B407"/>
    <mergeCell ref="A408:A410"/>
    <mergeCell ref="B408:B410"/>
    <mergeCell ref="A411:A413"/>
    <mergeCell ref="B411:B413"/>
    <mergeCell ref="E9:E11"/>
    <mergeCell ref="F9:L9"/>
    <mergeCell ref="P10:P11"/>
    <mergeCell ref="G10:H10"/>
    <mergeCell ref="I10:I11"/>
    <mergeCell ref="J10:J11"/>
    <mergeCell ref="B336:B338"/>
    <mergeCell ref="D8:D11"/>
    <mergeCell ref="A14:A16"/>
    <mergeCell ref="B14:B16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182"/>
    <mergeCell ref="B180:B182"/>
    <mergeCell ref="A186:A188"/>
    <mergeCell ref="B186:B188"/>
    <mergeCell ref="A189:A191"/>
    <mergeCell ref="B189:B191"/>
    <mergeCell ref="A192:A194"/>
    <mergeCell ref="B192:B194"/>
    <mergeCell ref="A195:A197"/>
    <mergeCell ref="B195:B197"/>
    <mergeCell ref="A198:A200"/>
    <mergeCell ref="B198:B200"/>
    <mergeCell ref="A201:A203"/>
    <mergeCell ref="B201:B203"/>
    <mergeCell ref="A204:A206"/>
    <mergeCell ref="B204:B206"/>
    <mergeCell ref="A207:A209"/>
    <mergeCell ref="B207:B209"/>
    <mergeCell ref="A210:A212"/>
    <mergeCell ref="B210:B212"/>
    <mergeCell ref="A213:A215"/>
    <mergeCell ref="B213:B215"/>
    <mergeCell ref="A216:A218"/>
    <mergeCell ref="B216:B218"/>
    <mergeCell ref="A219:A221"/>
    <mergeCell ref="B219:B221"/>
    <mergeCell ref="A222:A224"/>
    <mergeCell ref="B222:B224"/>
    <mergeCell ref="A225:A227"/>
    <mergeCell ref="B225:B227"/>
    <mergeCell ref="A228:A230"/>
    <mergeCell ref="B228:B230"/>
    <mergeCell ref="A231:A233"/>
    <mergeCell ref="B231:B233"/>
    <mergeCell ref="A234:A236"/>
    <mergeCell ref="B234:B236"/>
    <mergeCell ref="A237:A239"/>
    <mergeCell ref="B237:B239"/>
    <mergeCell ref="A240:A242"/>
    <mergeCell ref="B240:B242"/>
    <mergeCell ref="A243:A245"/>
    <mergeCell ref="B243:B245"/>
    <mergeCell ref="A246:A248"/>
    <mergeCell ref="B246:B248"/>
    <mergeCell ref="A249:A251"/>
    <mergeCell ref="B249:B251"/>
    <mergeCell ref="A252:A254"/>
    <mergeCell ref="B252:B254"/>
    <mergeCell ref="A255:A257"/>
    <mergeCell ref="B255:B257"/>
    <mergeCell ref="A258:A260"/>
    <mergeCell ref="B258:B260"/>
    <mergeCell ref="A261:A263"/>
    <mergeCell ref="B261:B263"/>
    <mergeCell ref="A267:A269"/>
    <mergeCell ref="B267:B269"/>
    <mergeCell ref="A264:A266"/>
    <mergeCell ref="B264:B266"/>
    <mergeCell ref="A270:A272"/>
    <mergeCell ref="B270:B272"/>
    <mergeCell ref="A273:A275"/>
    <mergeCell ref="B273:B275"/>
    <mergeCell ref="A276:A278"/>
    <mergeCell ref="B276:B278"/>
    <mergeCell ref="A279:A281"/>
    <mergeCell ref="B279:B281"/>
    <mergeCell ref="A282:A284"/>
    <mergeCell ref="B282:B284"/>
    <mergeCell ref="A285:A287"/>
    <mergeCell ref="B285:B287"/>
    <mergeCell ref="A288:A290"/>
    <mergeCell ref="B288:B290"/>
    <mergeCell ref="A291:A293"/>
    <mergeCell ref="B291:B293"/>
    <mergeCell ref="A294:A296"/>
    <mergeCell ref="B294:B296"/>
    <mergeCell ref="A297:A299"/>
    <mergeCell ref="B297:B299"/>
    <mergeCell ref="A300:A302"/>
    <mergeCell ref="B300:B30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A342:A344"/>
    <mergeCell ref="B342:B344"/>
    <mergeCell ref="A324:A326"/>
    <mergeCell ref="B324:B326"/>
    <mergeCell ref="A327:A329"/>
    <mergeCell ref="B327:B329"/>
    <mergeCell ref="A330:A332"/>
    <mergeCell ref="B330:B332"/>
    <mergeCell ref="A339:A341"/>
    <mergeCell ref="B339:B341"/>
    <mergeCell ref="A5:P5"/>
    <mergeCell ref="A348:A350"/>
    <mergeCell ref="B348:B350"/>
    <mergeCell ref="A351:A353"/>
    <mergeCell ref="B351:B353"/>
    <mergeCell ref="A357:A359"/>
    <mergeCell ref="B357:B359"/>
    <mergeCell ref="A333:A335"/>
    <mergeCell ref="B333:B335"/>
    <mergeCell ref="A336:A338"/>
    <mergeCell ref="A360:A362"/>
    <mergeCell ref="B360:B362"/>
    <mergeCell ref="A363:A365"/>
    <mergeCell ref="B363:B365"/>
    <mergeCell ref="A366:A368"/>
    <mergeCell ref="B366:B368"/>
    <mergeCell ref="A369:A371"/>
    <mergeCell ref="B369:B371"/>
    <mergeCell ref="A372:A374"/>
    <mergeCell ref="B372:B374"/>
    <mergeCell ref="A375:A377"/>
    <mergeCell ref="B375:B377"/>
    <mergeCell ref="A378:A380"/>
    <mergeCell ref="B378:B380"/>
    <mergeCell ref="A381:A383"/>
    <mergeCell ref="B381:B383"/>
    <mergeCell ref="A384:A386"/>
    <mergeCell ref="B384:B386"/>
    <mergeCell ref="A387:A389"/>
    <mergeCell ref="B387:B389"/>
    <mergeCell ref="A390:A392"/>
    <mergeCell ref="B390:B392"/>
    <mergeCell ref="A393:A395"/>
    <mergeCell ref="B393:B395"/>
    <mergeCell ref="A396:A398"/>
    <mergeCell ref="B396:B398"/>
    <mergeCell ref="A399:A401"/>
    <mergeCell ref="B399:B401"/>
    <mergeCell ref="A402:A404"/>
    <mergeCell ref="B402:B404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5"/>
  <sheetViews>
    <sheetView view="pageBreakPreview" zoomScaleSheetLayoutView="100" zoomScalePageLayoutView="0" workbookViewId="0" topLeftCell="A448">
      <selection activeCell="C468" sqref="C468"/>
    </sheetView>
  </sheetViews>
  <sheetFormatPr defaultColWidth="8.796875" defaultRowHeight="14.25"/>
  <cols>
    <col min="1" max="1" width="7.19921875" style="16" customWidth="1"/>
    <col min="2" max="2" width="7.09765625" style="16" customWidth="1"/>
    <col min="3" max="3" width="42.19921875" style="16" customWidth="1"/>
    <col min="4" max="4" width="13.8984375" style="16" customWidth="1"/>
    <col min="5" max="5" width="13.19921875" style="16" customWidth="1"/>
    <col min="6" max="6" width="11.69921875" style="16" customWidth="1"/>
    <col min="7" max="7" width="14.09765625" style="16" customWidth="1"/>
    <col min="8" max="16384" width="9" style="16" customWidth="1"/>
  </cols>
  <sheetData>
    <row r="1" spans="1:7" s="9" customFormat="1" ht="12.75">
      <c r="A1" s="10"/>
      <c r="B1" s="11"/>
      <c r="D1" s="6"/>
      <c r="E1" s="6" t="s">
        <v>490</v>
      </c>
      <c r="F1" s="6"/>
      <c r="G1" s="6"/>
    </row>
    <row r="2" spans="1:7" s="9" customFormat="1" ht="12.75" customHeight="1">
      <c r="A2" s="10"/>
      <c r="B2" s="11"/>
      <c r="D2" s="6"/>
      <c r="E2" s="4" t="s">
        <v>491</v>
      </c>
      <c r="F2" s="6"/>
      <c r="G2" s="6"/>
    </row>
    <row r="3" spans="1:7" s="9" customFormat="1" ht="12.75">
      <c r="A3" s="10"/>
      <c r="B3" s="11"/>
      <c r="D3" s="6"/>
      <c r="E3" s="4" t="s">
        <v>415</v>
      </c>
      <c r="F3" s="6"/>
      <c r="G3" s="6"/>
    </row>
    <row r="4" spans="1:2" s="9" customFormat="1" ht="6" customHeight="1">
      <c r="A4" s="10"/>
      <c r="B4" s="11"/>
    </row>
    <row r="5" spans="1:7" s="301" customFormat="1" ht="31.5" customHeight="1">
      <c r="A5" s="813" t="s">
        <v>331</v>
      </c>
      <c r="B5" s="813"/>
      <c r="C5" s="813"/>
      <c r="D5" s="813"/>
      <c r="E5" s="813"/>
      <c r="F5" s="813"/>
      <c r="G5" s="813"/>
    </row>
    <row r="6" spans="1:7" s="304" customFormat="1" ht="15" customHeight="1">
      <c r="A6" s="302"/>
      <c r="B6" s="302"/>
      <c r="C6" s="303"/>
      <c r="D6" s="303"/>
      <c r="E6" s="303"/>
      <c r="F6" s="303"/>
      <c r="G6" s="302" t="s">
        <v>0</v>
      </c>
    </row>
    <row r="7" spans="1:7" s="12" customFormat="1" ht="12.75">
      <c r="A7" s="17" t="s">
        <v>1</v>
      </c>
      <c r="B7" s="814" t="s">
        <v>2</v>
      </c>
      <c r="C7" s="815" t="s">
        <v>3</v>
      </c>
      <c r="D7" s="18" t="s">
        <v>4</v>
      </c>
      <c r="E7" s="817" t="s">
        <v>5</v>
      </c>
      <c r="F7" s="819" t="s">
        <v>6</v>
      </c>
      <c r="G7" s="19" t="s">
        <v>7</v>
      </c>
    </row>
    <row r="8" spans="1:7" s="12" customFormat="1" ht="14.25" customHeight="1">
      <c r="A8" s="20" t="s">
        <v>8</v>
      </c>
      <c r="B8" s="814"/>
      <c r="C8" s="816"/>
      <c r="D8" s="21" t="s">
        <v>215</v>
      </c>
      <c r="E8" s="818"/>
      <c r="F8" s="820"/>
      <c r="G8" s="22" t="s">
        <v>9</v>
      </c>
    </row>
    <row r="9" spans="1:7" s="13" customFormat="1" ht="12">
      <c r="A9" s="23">
        <v>1</v>
      </c>
      <c r="B9" s="24">
        <v>2</v>
      </c>
      <c r="C9" s="23">
        <v>3</v>
      </c>
      <c r="D9" s="24">
        <v>4</v>
      </c>
      <c r="E9" s="23">
        <v>5</v>
      </c>
      <c r="F9" s="25">
        <v>6</v>
      </c>
      <c r="G9" s="23">
        <v>7</v>
      </c>
    </row>
    <row r="10" spans="1:7" s="15" customFormat="1" ht="19.5" customHeight="1">
      <c r="A10" s="14"/>
      <c r="B10" s="26"/>
      <c r="C10" s="27" t="s">
        <v>10</v>
      </c>
      <c r="D10" s="97">
        <v>1129075463</v>
      </c>
      <c r="E10" s="98">
        <f>E11+E17+E46+E49+E91+E103+E109+E140+E164+E167+E172+E230+E250+E292+E309+E337+E373+E396+E457+E472</f>
        <v>64213252</v>
      </c>
      <c r="F10" s="98">
        <f>F11+F17+F46+F49+F91+F103+F109+F140+F164+F167+F172+F230+F250+F292+F309+F337+F373+F396+F457+F472</f>
        <v>95484842</v>
      </c>
      <c r="G10" s="98">
        <f>D10+E10-F10</f>
        <v>1097803873</v>
      </c>
    </row>
    <row r="11" spans="1:7" s="120" customFormat="1" ht="15" customHeight="1">
      <c r="A11" s="122" t="s">
        <v>16</v>
      </c>
      <c r="B11" s="123" t="s">
        <v>365</v>
      </c>
      <c r="C11" s="124" t="s">
        <v>17</v>
      </c>
      <c r="D11" s="125">
        <v>13693066</v>
      </c>
      <c r="E11" s="126">
        <f>E12+E14</f>
        <v>104411</v>
      </c>
      <c r="F11" s="126">
        <f>F12+F14</f>
        <v>0</v>
      </c>
      <c r="G11" s="126">
        <f>D11+E11-F11</f>
        <v>13797477</v>
      </c>
    </row>
    <row r="12" spans="1:7" s="120" customFormat="1" ht="15" customHeight="1">
      <c r="A12" s="116" t="s">
        <v>66</v>
      </c>
      <c r="B12" s="117" t="s">
        <v>365</v>
      </c>
      <c r="C12" s="118" t="s">
        <v>103</v>
      </c>
      <c r="D12" s="119">
        <v>22045</v>
      </c>
      <c r="E12" s="121">
        <f>E13</f>
        <v>44261</v>
      </c>
      <c r="F12" s="121">
        <f>F13</f>
        <v>0</v>
      </c>
      <c r="G12" s="121">
        <f aca="true" t="shared" si="0" ref="G12:G75">D12+E12-F12</f>
        <v>66306</v>
      </c>
    </row>
    <row r="13" spans="1:7" ht="39.75" customHeight="1">
      <c r="A13" s="106" t="s">
        <v>365</v>
      </c>
      <c r="B13" s="107">
        <v>6300</v>
      </c>
      <c r="C13" s="108" t="s">
        <v>366</v>
      </c>
      <c r="D13" s="109">
        <v>22045</v>
      </c>
      <c r="E13" s="110">
        <v>44261</v>
      </c>
      <c r="F13" s="109">
        <v>0</v>
      </c>
      <c r="G13" s="110">
        <f t="shared" si="0"/>
        <v>66306</v>
      </c>
    </row>
    <row r="14" spans="1:7" s="120" customFormat="1" ht="15.75" customHeight="1">
      <c r="A14" s="116" t="s">
        <v>107</v>
      </c>
      <c r="B14" s="117" t="s">
        <v>365</v>
      </c>
      <c r="C14" s="118" t="s">
        <v>52</v>
      </c>
      <c r="D14" s="119">
        <v>350521</v>
      </c>
      <c r="E14" s="121">
        <f>SUM(E15:E16)</f>
        <v>60150</v>
      </c>
      <c r="F14" s="121">
        <f>SUM(F15:F16)</f>
        <v>0</v>
      </c>
      <c r="G14" s="121">
        <f t="shared" si="0"/>
        <v>410671</v>
      </c>
    </row>
    <row r="15" spans="1:7" ht="15.75" customHeight="1">
      <c r="A15" s="106" t="s">
        <v>365</v>
      </c>
      <c r="B15" s="107">
        <v>4190</v>
      </c>
      <c r="C15" s="108" t="s">
        <v>367</v>
      </c>
      <c r="D15" s="109">
        <v>22000</v>
      </c>
      <c r="E15" s="110">
        <v>60000</v>
      </c>
      <c r="F15" s="109">
        <v>0</v>
      </c>
      <c r="G15" s="110">
        <f t="shared" si="0"/>
        <v>82000</v>
      </c>
    </row>
    <row r="16" spans="1:7" ht="15.75" customHeight="1">
      <c r="A16" s="106" t="s">
        <v>365</v>
      </c>
      <c r="B16" s="107">
        <v>4300</v>
      </c>
      <c r="C16" s="108" t="s">
        <v>368</v>
      </c>
      <c r="D16" s="109">
        <v>224600</v>
      </c>
      <c r="E16" s="110">
        <v>150</v>
      </c>
      <c r="F16" s="109">
        <v>0</v>
      </c>
      <c r="G16" s="110">
        <f t="shared" si="0"/>
        <v>224750</v>
      </c>
    </row>
    <row r="17" spans="1:7" s="120" customFormat="1" ht="15.75" customHeight="1">
      <c r="A17" s="122" t="s">
        <v>110</v>
      </c>
      <c r="B17" s="123" t="s">
        <v>365</v>
      </c>
      <c r="C17" s="124" t="s">
        <v>111</v>
      </c>
      <c r="D17" s="125">
        <v>15839097</v>
      </c>
      <c r="E17" s="126">
        <f>E18+E20+E39</f>
        <v>253907</v>
      </c>
      <c r="F17" s="126">
        <f>F18+F20+F39</f>
        <v>135053</v>
      </c>
      <c r="G17" s="126">
        <f t="shared" si="0"/>
        <v>15957951</v>
      </c>
    </row>
    <row r="18" spans="1:7" s="120" customFormat="1" ht="15.75" customHeight="1">
      <c r="A18" s="116">
        <v>15011</v>
      </c>
      <c r="B18" s="117" t="s">
        <v>365</v>
      </c>
      <c r="C18" s="118" t="s">
        <v>369</v>
      </c>
      <c r="D18" s="119">
        <v>3725178</v>
      </c>
      <c r="E18" s="121">
        <f>E19</f>
        <v>57195</v>
      </c>
      <c r="F18" s="121">
        <f>F19</f>
        <v>0</v>
      </c>
      <c r="G18" s="121">
        <f t="shared" si="0"/>
        <v>3782373</v>
      </c>
    </row>
    <row r="19" spans="1:7" ht="54" customHeight="1">
      <c r="A19" s="106" t="s">
        <v>365</v>
      </c>
      <c r="B19" s="107">
        <v>6668</v>
      </c>
      <c r="C19" s="108" t="s">
        <v>370</v>
      </c>
      <c r="D19" s="109">
        <v>0</v>
      </c>
      <c r="E19" s="110">
        <v>57195</v>
      </c>
      <c r="F19" s="109">
        <v>0</v>
      </c>
      <c r="G19" s="110">
        <f t="shared" si="0"/>
        <v>57195</v>
      </c>
    </row>
    <row r="20" spans="1:7" s="120" customFormat="1" ht="15" customHeight="1">
      <c r="A20" s="116">
        <v>15013</v>
      </c>
      <c r="B20" s="117" t="s">
        <v>365</v>
      </c>
      <c r="C20" s="118" t="s">
        <v>113</v>
      </c>
      <c r="D20" s="119">
        <v>11627259</v>
      </c>
      <c r="E20" s="121">
        <f>SUM(E21:E38)</f>
        <v>176742</v>
      </c>
      <c r="F20" s="121">
        <f>SUM(F21:F38)</f>
        <v>134109</v>
      </c>
      <c r="G20" s="121">
        <f t="shared" si="0"/>
        <v>11669892</v>
      </c>
    </row>
    <row r="21" spans="1:7" ht="66" customHeight="1">
      <c r="A21" s="106" t="s">
        <v>365</v>
      </c>
      <c r="B21" s="107">
        <v>2007</v>
      </c>
      <c r="C21" s="108" t="s">
        <v>371</v>
      </c>
      <c r="D21" s="109">
        <v>9363561</v>
      </c>
      <c r="E21" s="110">
        <v>106369</v>
      </c>
      <c r="F21" s="109">
        <v>0</v>
      </c>
      <c r="G21" s="110">
        <f t="shared" si="0"/>
        <v>9469930</v>
      </c>
    </row>
    <row r="22" spans="1:7" ht="65.25" customHeight="1">
      <c r="A22" s="106" t="s">
        <v>365</v>
      </c>
      <c r="B22" s="107">
        <v>2009</v>
      </c>
      <c r="C22" s="108" t="s">
        <v>371</v>
      </c>
      <c r="D22" s="109">
        <v>1750797</v>
      </c>
      <c r="E22" s="110">
        <v>6254</v>
      </c>
      <c r="F22" s="109">
        <v>0</v>
      </c>
      <c r="G22" s="110">
        <f t="shared" si="0"/>
        <v>1757051</v>
      </c>
    </row>
    <row r="23" spans="1:7" ht="16.5" customHeight="1">
      <c r="A23" s="106" t="s">
        <v>365</v>
      </c>
      <c r="B23" s="107">
        <v>4017</v>
      </c>
      <c r="C23" s="108" t="s">
        <v>372</v>
      </c>
      <c r="D23" s="109">
        <v>152684</v>
      </c>
      <c r="E23" s="110">
        <v>0</v>
      </c>
      <c r="F23" s="109">
        <v>91586</v>
      </c>
      <c r="G23" s="110">
        <f t="shared" si="0"/>
        <v>61098</v>
      </c>
    </row>
    <row r="24" spans="1:7" ht="16.5" customHeight="1">
      <c r="A24" s="106" t="s">
        <v>365</v>
      </c>
      <c r="B24" s="107">
        <v>4019</v>
      </c>
      <c r="C24" s="108" t="s">
        <v>372</v>
      </c>
      <c r="D24" s="109">
        <v>98145</v>
      </c>
      <c r="E24" s="110">
        <v>35615</v>
      </c>
      <c r="F24" s="109">
        <v>0</v>
      </c>
      <c r="G24" s="110">
        <f t="shared" si="0"/>
        <v>133760</v>
      </c>
    </row>
    <row r="25" spans="1:7" ht="16.5" customHeight="1">
      <c r="A25" s="106" t="s">
        <v>365</v>
      </c>
      <c r="B25" s="107">
        <v>4117</v>
      </c>
      <c r="C25" s="108" t="s">
        <v>373</v>
      </c>
      <c r="D25" s="109">
        <v>26247</v>
      </c>
      <c r="E25" s="110">
        <v>0</v>
      </c>
      <c r="F25" s="109">
        <v>15744</v>
      </c>
      <c r="G25" s="110">
        <f t="shared" si="0"/>
        <v>10503</v>
      </c>
    </row>
    <row r="26" spans="1:7" ht="16.5" customHeight="1">
      <c r="A26" s="106" t="s">
        <v>365</v>
      </c>
      <c r="B26" s="107">
        <v>4119</v>
      </c>
      <c r="C26" s="108" t="s">
        <v>373</v>
      </c>
      <c r="D26" s="109">
        <v>16872</v>
      </c>
      <c r="E26" s="110">
        <v>6461</v>
      </c>
      <c r="F26" s="109">
        <v>0</v>
      </c>
      <c r="G26" s="110">
        <f t="shared" si="0"/>
        <v>23333</v>
      </c>
    </row>
    <row r="27" spans="1:7" ht="28.5" customHeight="1">
      <c r="A27" s="106" t="s">
        <v>365</v>
      </c>
      <c r="B27" s="107">
        <v>4127</v>
      </c>
      <c r="C27" s="108" t="s">
        <v>374</v>
      </c>
      <c r="D27" s="109">
        <v>3741</v>
      </c>
      <c r="E27" s="110">
        <v>0</v>
      </c>
      <c r="F27" s="109">
        <v>2244</v>
      </c>
      <c r="G27" s="110">
        <f t="shared" si="0"/>
        <v>1497</v>
      </c>
    </row>
    <row r="28" spans="1:7" ht="28.5" customHeight="1">
      <c r="A28" s="106" t="s">
        <v>365</v>
      </c>
      <c r="B28" s="107">
        <v>4129</v>
      </c>
      <c r="C28" s="108" t="s">
        <v>374</v>
      </c>
      <c r="D28" s="109">
        <v>2404</v>
      </c>
      <c r="E28" s="110">
        <v>920</v>
      </c>
      <c r="F28" s="109">
        <v>0</v>
      </c>
      <c r="G28" s="110">
        <f t="shared" si="0"/>
        <v>3324</v>
      </c>
    </row>
    <row r="29" spans="1:7" ht="16.5" customHeight="1">
      <c r="A29" s="106" t="s">
        <v>365</v>
      </c>
      <c r="B29" s="107">
        <v>4170</v>
      </c>
      <c r="C29" s="108" t="s">
        <v>375</v>
      </c>
      <c r="D29" s="109">
        <v>0</v>
      </c>
      <c r="E29" s="110">
        <v>2500</v>
      </c>
      <c r="F29" s="109">
        <v>0</v>
      </c>
      <c r="G29" s="110">
        <f t="shared" si="0"/>
        <v>2500</v>
      </c>
    </row>
    <row r="30" spans="1:7" ht="16.5" customHeight="1">
      <c r="A30" s="106" t="s">
        <v>365</v>
      </c>
      <c r="B30" s="107">
        <v>4177</v>
      </c>
      <c r="C30" s="108" t="s">
        <v>375</v>
      </c>
      <c r="D30" s="109">
        <v>22667</v>
      </c>
      <c r="E30" s="110">
        <v>0</v>
      </c>
      <c r="F30" s="109">
        <v>14734</v>
      </c>
      <c r="G30" s="110">
        <f t="shared" si="0"/>
        <v>7933</v>
      </c>
    </row>
    <row r="31" spans="1:7" ht="16.5" customHeight="1">
      <c r="A31" s="106" t="s">
        <v>365</v>
      </c>
      <c r="B31" s="107">
        <v>4179</v>
      </c>
      <c r="C31" s="108" t="s">
        <v>375</v>
      </c>
      <c r="D31" s="109">
        <v>1334</v>
      </c>
      <c r="E31" s="110">
        <v>0</v>
      </c>
      <c r="F31" s="109">
        <v>867</v>
      </c>
      <c r="G31" s="110">
        <f t="shared" si="0"/>
        <v>467</v>
      </c>
    </row>
    <row r="32" spans="1:7" ht="16.5" customHeight="1">
      <c r="A32" s="106" t="s">
        <v>365</v>
      </c>
      <c r="B32" s="107">
        <v>4217</v>
      </c>
      <c r="C32" s="108" t="s">
        <v>376</v>
      </c>
      <c r="D32" s="109">
        <v>3098</v>
      </c>
      <c r="E32" s="110">
        <v>1061</v>
      </c>
      <c r="F32" s="109">
        <v>0</v>
      </c>
      <c r="G32" s="110">
        <f t="shared" si="0"/>
        <v>4159</v>
      </c>
    </row>
    <row r="33" spans="1:7" ht="16.5" customHeight="1">
      <c r="A33" s="106" t="s">
        <v>365</v>
      </c>
      <c r="B33" s="107">
        <v>4219</v>
      </c>
      <c r="C33" s="108" t="s">
        <v>376</v>
      </c>
      <c r="D33" s="109">
        <v>183</v>
      </c>
      <c r="E33" s="110">
        <v>62</v>
      </c>
      <c r="F33" s="109">
        <v>0</v>
      </c>
      <c r="G33" s="110">
        <f t="shared" si="0"/>
        <v>245</v>
      </c>
    </row>
    <row r="34" spans="1:7" ht="16.5" customHeight="1">
      <c r="A34" s="106" t="s">
        <v>365</v>
      </c>
      <c r="B34" s="107">
        <v>4267</v>
      </c>
      <c r="C34" s="108" t="s">
        <v>377</v>
      </c>
      <c r="D34" s="109">
        <v>1055</v>
      </c>
      <c r="E34" s="110">
        <v>0</v>
      </c>
      <c r="F34" s="109">
        <v>1055</v>
      </c>
      <c r="G34" s="110">
        <f t="shared" si="0"/>
        <v>0</v>
      </c>
    </row>
    <row r="35" spans="1:7" ht="16.5" customHeight="1">
      <c r="A35" s="106" t="s">
        <v>365</v>
      </c>
      <c r="B35" s="107">
        <v>4269</v>
      </c>
      <c r="C35" s="108" t="s">
        <v>377</v>
      </c>
      <c r="D35" s="109">
        <v>62</v>
      </c>
      <c r="E35" s="110">
        <v>0</v>
      </c>
      <c r="F35" s="109">
        <v>62</v>
      </c>
      <c r="G35" s="110">
        <f t="shared" si="0"/>
        <v>0</v>
      </c>
    </row>
    <row r="36" spans="1:7" ht="16.5" customHeight="1">
      <c r="A36" s="106" t="s">
        <v>365</v>
      </c>
      <c r="B36" s="107">
        <v>4300</v>
      </c>
      <c r="C36" s="108" t="s">
        <v>368</v>
      </c>
      <c r="D36" s="109">
        <v>0</v>
      </c>
      <c r="E36" s="110">
        <v>17500</v>
      </c>
      <c r="F36" s="109">
        <v>0</v>
      </c>
      <c r="G36" s="110">
        <f t="shared" si="0"/>
        <v>17500</v>
      </c>
    </row>
    <row r="37" spans="1:7" ht="28.5" customHeight="1">
      <c r="A37" s="106" t="s">
        <v>365</v>
      </c>
      <c r="B37" s="107">
        <v>4407</v>
      </c>
      <c r="C37" s="108" t="s">
        <v>378</v>
      </c>
      <c r="D37" s="109">
        <v>7382</v>
      </c>
      <c r="E37" s="110">
        <v>0</v>
      </c>
      <c r="F37" s="109">
        <v>7382</v>
      </c>
      <c r="G37" s="110">
        <f t="shared" si="0"/>
        <v>0</v>
      </c>
    </row>
    <row r="38" spans="1:7" ht="28.5" customHeight="1">
      <c r="A38" s="106" t="s">
        <v>365</v>
      </c>
      <c r="B38" s="107">
        <v>4409</v>
      </c>
      <c r="C38" s="108" t="s">
        <v>378</v>
      </c>
      <c r="D38" s="109">
        <v>435</v>
      </c>
      <c r="E38" s="110">
        <v>0</v>
      </c>
      <c r="F38" s="109">
        <v>435</v>
      </c>
      <c r="G38" s="110">
        <f t="shared" si="0"/>
        <v>0</v>
      </c>
    </row>
    <row r="39" spans="1:7" s="120" customFormat="1" ht="16.5" customHeight="1">
      <c r="A39" s="116">
        <v>15095</v>
      </c>
      <c r="B39" s="117" t="s">
        <v>365</v>
      </c>
      <c r="C39" s="118" t="s">
        <v>52</v>
      </c>
      <c r="D39" s="119">
        <v>486660</v>
      </c>
      <c r="E39" s="121">
        <f>SUM(E40:E45)</f>
        <v>19970</v>
      </c>
      <c r="F39" s="121">
        <f>SUM(F40:F45)</f>
        <v>944</v>
      </c>
      <c r="G39" s="121">
        <f t="shared" si="0"/>
        <v>505686</v>
      </c>
    </row>
    <row r="40" spans="1:7" ht="16.5" customHeight="1">
      <c r="A40" s="106" t="s">
        <v>365</v>
      </c>
      <c r="B40" s="107">
        <v>4018</v>
      </c>
      <c r="C40" s="108" t="s">
        <v>372</v>
      </c>
      <c r="D40" s="109">
        <v>150062</v>
      </c>
      <c r="E40" s="110">
        <v>803</v>
      </c>
      <c r="F40" s="109">
        <v>0</v>
      </c>
      <c r="G40" s="110">
        <f t="shared" si="0"/>
        <v>150865</v>
      </c>
    </row>
    <row r="41" spans="1:7" ht="16.5" customHeight="1">
      <c r="A41" s="106" t="s">
        <v>365</v>
      </c>
      <c r="B41" s="107">
        <v>4019</v>
      </c>
      <c r="C41" s="108" t="s">
        <v>372</v>
      </c>
      <c r="D41" s="109">
        <v>26482</v>
      </c>
      <c r="E41" s="110">
        <v>141</v>
      </c>
      <c r="F41" s="109">
        <v>0</v>
      </c>
      <c r="G41" s="110">
        <f t="shared" si="0"/>
        <v>26623</v>
      </c>
    </row>
    <row r="42" spans="1:7" ht="16.5" customHeight="1">
      <c r="A42" s="106" t="s">
        <v>365</v>
      </c>
      <c r="B42" s="107">
        <v>4048</v>
      </c>
      <c r="C42" s="108" t="s">
        <v>379</v>
      </c>
      <c r="D42" s="109">
        <v>11583</v>
      </c>
      <c r="E42" s="110">
        <v>0</v>
      </c>
      <c r="F42" s="109">
        <v>803</v>
      </c>
      <c r="G42" s="110">
        <f t="shared" si="0"/>
        <v>10780</v>
      </c>
    </row>
    <row r="43" spans="1:7" ht="16.5" customHeight="1">
      <c r="A43" s="106" t="s">
        <v>365</v>
      </c>
      <c r="B43" s="107">
        <v>4049</v>
      </c>
      <c r="C43" s="108" t="s">
        <v>379</v>
      </c>
      <c r="D43" s="109">
        <v>2044</v>
      </c>
      <c r="E43" s="110">
        <v>0</v>
      </c>
      <c r="F43" s="109">
        <v>141</v>
      </c>
      <c r="G43" s="110">
        <f t="shared" si="0"/>
        <v>1903</v>
      </c>
    </row>
    <row r="44" spans="1:7" ht="16.5" customHeight="1">
      <c r="A44" s="106" t="s">
        <v>365</v>
      </c>
      <c r="B44" s="107">
        <v>4428</v>
      </c>
      <c r="C44" s="108" t="s">
        <v>380</v>
      </c>
      <c r="D44" s="109">
        <v>49932</v>
      </c>
      <c r="E44" s="110">
        <v>16169</v>
      </c>
      <c r="F44" s="109">
        <v>0</v>
      </c>
      <c r="G44" s="110">
        <f t="shared" si="0"/>
        <v>66101</v>
      </c>
    </row>
    <row r="45" spans="1:7" ht="16.5" customHeight="1">
      <c r="A45" s="111" t="s">
        <v>365</v>
      </c>
      <c r="B45" s="112">
        <v>4429</v>
      </c>
      <c r="C45" s="113" t="s">
        <v>380</v>
      </c>
      <c r="D45" s="114">
        <v>8811</v>
      </c>
      <c r="E45" s="115">
        <v>2857</v>
      </c>
      <c r="F45" s="114">
        <v>0</v>
      </c>
      <c r="G45" s="115">
        <f t="shared" si="0"/>
        <v>11668</v>
      </c>
    </row>
    <row r="46" spans="1:7" s="120" customFormat="1" ht="25.5">
      <c r="A46" s="122" t="s">
        <v>339</v>
      </c>
      <c r="B46" s="123" t="s">
        <v>365</v>
      </c>
      <c r="C46" s="124" t="s">
        <v>340</v>
      </c>
      <c r="D46" s="125">
        <v>0</v>
      </c>
      <c r="E46" s="126">
        <f>E47</f>
        <v>18293</v>
      </c>
      <c r="F46" s="126">
        <f>F47</f>
        <v>0</v>
      </c>
      <c r="G46" s="126">
        <f t="shared" si="0"/>
        <v>18293</v>
      </c>
    </row>
    <row r="47" spans="1:7" s="120" customFormat="1" ht="15" customHeight="1">
      <c r="A47" s="116">
        <v>40002</v>
      </c>
      <c r="B47" s="117" t="s">
        <v>365</v>
      </c>
      <c r="C47" s="118" t="s">
        <v>359</v>
      </c>
      <c r="D47" s="119">
        <v>0</v>
      </c>
      <c r="E47" s="121">
        <f>E48</f>
        <v>18293</v>
      </c>
      <c r="F47" s="121">
        <f>F48</f>
        <v>0</v>
      </c>
      <c r="G47" s="121">
        <f t="shared" si="0"/>
        <v>18293</v>
      </c>
    </row>
    <row r="48" spans="1:7" ht="40.5" customHeight="1">
      <c r="A48" s="111" t="s">
        <v>365</v>
      </c>
      <c r="B48" s="112">
        <v>6300</v>
      </c>
      <c r="C48" s="113" t="s">
        <v>366</v>
      </c>
      <c r="D48" s="114">
        <v>0</v>
      </c>
      <c r="E48" s="115">
        <v>18293</v>
      </c>
      <c r="F48" s="114">
        <v>0</v>
      </c>
      <c r="G48" s="115">
        <f t="shared" si="0"/>
        <v>18293</v>
      </c>
    </row>
    <row r="49" spans="1:7" s="120" customFormat="1" ht="14.25" customHeight="1">
      <c r="A49" s="122" t="s">
        <v>19</v>
      </c>
      <c r="B49" s="123" t="s">
        <v>365</v>
      </c>
      <c r="C49" s="124" t="s">
        <v>20</v>
      </c>
      <c r="D49" s="125">
        <v>473437312</v>
      </c>
      <c r="E49" s="126">
        <f>E50+E52+E70</f>
        <v>20182345</v>
      </c>
      <c r="F49" s="126">
        <f>F50+F52+F70</f>
        <v>60627675</v>
      </c>
      <c r="G49" s="126">
        <f t="shared" si="0"/>
        <v>432991982</v>
      </c>
    </row>
    <row r="50" spans="1:7" s="120" customFormat="1" ht="15" customHeight="1">
      <c r="A50" s="116">
        <v>60002</v>
      </c>
      <c r="B50" s="117" t="s">
        <v>365</v>
      </c>
      <c r="C50" s="118" t="s">
        <v>122</v>
      </c>
      <c r="D50" s="119">
        <v>265129</v>
      </c>
      <c r="E50" s="121">
        <f>E51</f>
        <v>100000</v>
      </c>
      <c r="F50" s="121">
        <f>F51</f>
        <v>0</v>
      </c>
      <c r="G50" s="121">
        <f t="shared" si="0"/>
        <v>365129</v>
      </c>
    </row>
    <row r="51" spans="1:7" ht="15" customHeight="1">
      <c r="A51" s="106" t="s">
        <v>365</v>
      </c>
      <c r="B51" s="107">
        <v>6050</v>
      </c>
      <c r="C51" s="108" t="s">
        <v>381</v>
      </c>
      <c r="D51" s="109">
        <v>250000</v>
      </c>
      <c r="E51" s="110">
        <v>100000</v>
      </c>
      <c r="F51" s="109">
        <v>0</v>
      </c>
      <c r="G51" s="110">
        <f t="shared" si="0"/>
        <v>350000</v>
      </c>
    </row>
    <row r="52" spans="1:7" s="120" customFormat="1" ht="15" customHeight="1">
      <c r="A52" s="116">
        <v>60013</v>
      </c>
      <c r="B52" s="117" t="s">
        <v>365</v>
      </c>
      <c r="C52" s="118" t="s">
        <v>123</v>
      </c>
      <c r="D52" s="119">
        <v>321768968</v>
      </c>
      <c r="E52" s="121">
        <f>SUM(E53:E69)</f>
        <v>19889997</v>
      </c>
      <c r="F52" s="121">
        <f>SUM(F53:F69)</f>
        <v>60627675</v>
      </c>
      <c r="G52" s="121">
        <f t="shared" si="0"/>
        <v>281031290</v>
      </c>
    </row>
    <row r="53" spans="1:7" ht="15" customHeight="1">
      <c r="A53" s="106" t="s">
        <v>365</v>
      </c>
      <c r="B53" s="107">
        <v>4017</v>
      </c>
      <c r="C53" s="108" t="s">
        <v>372</v>
      </c>
      <c r="D53" s="109">
        <v>163795</v>
      </c>
      <c r="E53" s="110">
        <v>354679</v>
      </c>
      <c r="F53" s="109">
        <v>0</v>
      </c>
      <c r="G53" s="110">
        <f t="shared" si="0"/>
        <v>518474</v>
      </c>
    </row>
    <row r="54" spans="1:7" ht="15" customHeight="1">
      <c r="A54" s="106" t="s">
        <v>365</v>
      </c>
      <c r="B54" s="107">
        <v>4019</v>
      </c>
      <c r="C54" s="108" t="s">
        <v>372</v>
      </c>
      <c r="D54" s="109">
        <v>28904</v>
      </c>
      <c r="E54" s="110">
        <v>62587</v>
      </c>
      <c r="F54" s="109">
        <v>0</v>
      </c>
      <c r="G54" s="110">
        <f t="shared" si="0"/>
        <v>91491</v>
      </c>
    </row>
    <row r="55" spans="1:7" ht="15" customHeight="1">
      <c r="A55" s="106" t="s">
        <v>365</v>
      </c>
      <c r="B55" s="107">
        <v>4047</v>
      </c>
      <c r="C55" s="108" t="s">
        <v>379</v>
      </c>
      <c r="D55" s="109">
        <v>59281</v>
      </c>
      <c r="E55" s="110">
        <v>0</v>
      </c>
      <c r="F55" s="109">
        <v>10366</v>
      </c>
      <c r="G55" s="110">
        <f t="shared" si="0"/>
        <v>48915</v>
      </c>
    </row>
    <row r="56" spans="1:7" ht="15" customHeight="1">
      <c r="A56" s="106" t="s">
        <v>365</v>
      </c>
      <c r="B56" s="107">
        <v>4049</v>
      </c>
      <c r="C56" s="108" t="s">
        <v>379</v>
      </c>
      <c r="D56" s="109">
        <v>10461</v>
      </c>
      <c r="E56" s="110">
        <v>0</v>
      </c>
      <c r="F56" s="109">
        <v>1823</v>
      </c>
      <c r="G56" s="110">
        <f t="shared" si="0"/>
        <v>8638</v>
      </c>
    </row>
    <row r="57" spans="1:7" ht="15" customHeight="1">
      <c r="A57" s="106" t="s">
        <v>365</v>
      </c>
      <c r="B57" s="107">
        <v>4117</v>
      </c>
      <c r="C57" s="108" t="s">
        <v>373</v>
      </c>
      <c r="D57" s="109">
        <v>39108</v>
      </c>
      <c r="E57" s="110">
        <v>60188</v>
      </c>
      <c r="F57" s="109">
        <v>0</v>
      </c>
      <c r="G57" s="110">
        <f t="shared" si="0"/>
        <v>99296</v>
      </c>
    </row>
    <row r="58" spans="1:7" ht="15" customHeight="1">
      <c r="A58" s="106" t="s">
        <v>365</v>
      </c>
      <c r="B58" s="107">
        <v>4119</v>
      </c>
      <c r="C58" s="108" t="s">
        <v>373</v>
      </c>
      <c r="D58" s="109">
        <v>6902</v>
      </c>
      <c r="E58" s="110">
        <v>10620</v>
      </c>
      <c r="F58" s="109">
        <v>0</v>
      </c>
      <c r="G58" s="110">
        <f t="shared" si="0"/>
        <v>17522</v>
      </c>
    </row>
    <row r="59" spans="1:7" ht="26.25" customHeight="1">
      <c r="A59" s="106" t="s">
        <v>365</v>
      </c>
      <c r="B59" s="107">
        <v>4127</v>
      </c>
      <c r="C59" s="108" t="s">
        <v>374</v>
      </c>
      <c r="D59" s="109">
        <v>5469</v>
      </c>
      <c r="E59" s="110">
        <v>8368</v>
      </c>
      <c r="F59" s="109">
        <v>0</v>
      </c>
      <c r="G59" s="110">
        <f t="shared" si="0"/>
        <v>13837</v>
      </c>
    </row>
    <row r="60" spans="1:7" ht="27" customHeight="1">
      <c r="A60" s="106" t="s">
        <v>365</v>
      </c>
      <c r="B60" s="107">
        <v>4129</v>
      </c>
      <c r="C60" s="108" t="s">
        <v>374</v>
      </c>
      <c r="D60" s="109">
        <v>964</v>
      </c>
      <c r="E60" s="110">
        <v>1476</v>
      </c>
      <c r="F60" s="109">
        <v>0</v>
      </c>
      <c r="G60" s="110">
        <f t="shared" si="0"/>
        <v>2440</v>
      </c>
    </row>
    <row r="61" spans="1:7" ht="15" customHeight="1">
      <c r="A61" s="106" t="s">
        <v>365</v>
      </c>
      <c r="B61" s="107">
        <v>4210</v>
      </c>
      <c r="C61" s="108" t="s">
        <v>376</v>
      </c>
      <c r="D61" s="109">
        <v>3690000</v>
      </c>
      <c r="E61" s="110">
        <v>9710</v>
      </c>
      <c r="F61" s="109">
        <v>0</v>
      </c>
      <c r="G61" s="110">
        <f t="shared" si="0"/>
        <v>3699710</v>
      </c>
    </row>
    <row r="62" spans="1:7" ht="15" customHeight="1">
      <c r="A62" s="106" t="s">
        <v>365</v>
      </c>
      <c r="B62" s="107">
        <v>4270</v>
      </c>
      <c r="C62" s="108" t="s">
        <v>382</v>
      </c>
      <c r="D62" s="109">
        <v>7814000</v>
      </c>
      <c r="E62" s="110">
        <v>11822</v>
      </c>
      <c r="F62" s="109">
        <v>0</v>
      </c>
      <c r="G62" s="110">
        <f t="shared" si="0"/>
        <v>7825822</v>
      </c>
    </row>
    <row r="63" spans="1:7" ht="15" customHeight="1">
      <c r="A63" s="106" t="s">
        <v>365</v>
      </c>
      <c r="B63" s="107">
        <v>4300</v>
      </c>
      <c r="C63" s="108" t="s">
        <v>368</v>
      </c>
      <c r="D63" s="109">
        <v>12087000</v>
      </c>
      <c r="E63" s="110">
        <v>53188</v>
      </c>
      <c r="F63" s="109">
        <v>0</v>
      </c>
      <c r="G63" s="110">
        <f t="shared" si="0"/>
        <v>12140188</v>
      </c>
    </row>
    <row r="64" spans="1:7" ht="15" customHeight="1">
      <c r="A64" s="106" t="s">
        <v>365</v>
      </c>
      <c r="B64" s="107">
        <v>4307</v>
      </c>
      <c r="C64" s="108" t="s">
        <v>368</v>
      </c>
      <c r="D64" s="109">
        <v>22664</v>
      </c>
      <c r="E64" s="110">
        <v>206604</v>
      </c>
      <c r="F64" s="109">
        <v>0</v>
      </c>
      <c r="G64" s="110">
        <f t="shared" si="0"/>
        <v>229268</v>
      </c>
    </row>
    <row r="65" spans="1:7" ht="15" customHeight="1">
      <c r="A65" s="106" t="s">
        <v>365</v>
      </c>
      <c r="B65" s="107">
        <v>4309</v>
      </c>
      <c r="C65" s="108" t="s">
        <v>368</v>
      </c>
      <c r="D65" s="109">
        <v>4000</v>
      </c>
      <c r="E65" s="110">
        <v>37440</v>
      </c>
      <c r="F65" s="109">
        <v>0</v>
      </c>
      <c r="G65" s="110">
        <f t="shared" si="0"/>
        <v>41440</v>
      </c>
    </row>
    <row r="66" spans="1:7" ht="15" customHeight="1">
      <c r="A66" s="106" t="s">
        <v>365</v>
      </c>
      <c r="B66" s="107">
        <v>6050</v>
      </c>
      <c r="C66" s="108" t="s">
        <v>381</v>
      </c>
      <c r="D66" s="109">
        <v>45192950</v>
      </c>
      <c r="E66" s="110">
        <v>17358224</v>
      </c>
      <c r="F66" s="109">
        <v>0</v>
      </c>
      <c r="G66" s="110">
        <f t="shared" si="0"/>
        <v>62551174</v>
      </c>
    </row>
    <row r="67" spans="1:7" ht="15" customHeight="1">
      <c r="A67" s="106" t="s">
        <v>365</v>
      </c>
      <c r="B67" s="107">
        <v>6057</v>
      </c>
      <c r="C67" s="108" t="s">
        <v>381</v>
      </c>
      <c r="D67" s="109">
        <v>196244887</v>
      </c>
      <c r="E67" s="110">
        <v>0</v>
      </c>
      <c r="F67" s="109">
        <v>60615486</v>
      </c>
      <c r="G67" s="110">
        <f t="shared" si="0"/>
        <v>135629401</v>
      </c>
    </row>
    <row r="68" spans="1:7" ht="15" customHeight="1">
      <c r="A68" s="106" t="s">
        <v>365</v>
      </c>
      <c r="B68" s="107">
        <v>6059</v>
      </c>
      <c r="C68" s="108" t="s">
        <v>381</v>
      </c>
      <c r="D68" s="109">
        <v>37460594</v>
      </c>
      <c r="E68" s="110">
        <v>1071637</v>
      </c>
      <c r="F68" s="109">
        <v>0</v>
      </c>
      <c r="G68" s="110">
        <f t="shared" si="0"/>
        <v>38532231</v>
      </c>
    </row>
    <row r="69" spans="1:7" ht="15" customHeight="1">
      <c r="A69" s="106" t="s">
        <v>365</v>
      </c>
      <c r="B69" s="107">
        <v>6060</v>
      </c>
      <c r="C69" s="108" t="s">
        <v>383</v>
      </c>
      <c r="D69" s="109">
        <v>2000000</v>
      </c>
      <c r="E69" s="110">
        <v>643454</v>
      </c>
      <c r="F69" s="109">
        <v>0</v>
      </c>
      <c r="G69" s="110">
        <f t="shared" si="0"/>
        <v>2643454</v>
      </c>
    </row>
    <row r="70" spans="1:7" s="120" customFormat="1" ht="15" customHeight="1">
      <c r="A70" s="116">
        <v>60095</v>
      </c>
      <c r="B70" s="117" t="s">
        <v>365</v>
      </c>
      <c r="C70" s="118" t="s">
        <v>52</v>
      </c>
      <c r="D70" s="119">
        <v>1174547</v>
      </c>
      <c r="E70" s="121">
        <f>SUM(E71:E90)</f>
        <v>192348</v>
      </c>
      <c r="F70" s="121">
        <f>SUM(F71:F90)</f>
        <v>0</v>
      </c>
      <c r="G70" s="121">
        <f t="shared" si="0"/>
        <v>1366895</v>
      </c>
    </row>
    <row r="71" spans="1:7" ht="15" customHeight="1">
      <c r="A71" s="106" t="s">
        <v>365</v>
      </c>
      <c r="B71" s="107">
        <v>4018</v>
      </c>
      <c r="C71" s="108" t="s">
        <v>372</v>
      </c>
      <c r="D71" s="109">
        <v>22623</v>
      </c>
      <c r="E71" s="110">
        <v>55477</v>
      </c>
      <c r="F71" s="109">
        <v>0</v>
      </c>
      <c r="G71" s="110">
        <f t="shared" si="0"/>
        <v>78100</v>
      </c>
    </row>
    <row r="72" spans="1:7" ht="15" customHeight="1">
      <c r="A72" s="106" t="s">
        <v>365</v>
      </c>
      <c r="B72" s="107">
        <v>4019</v>
      </c>
      <c r="C72" s="108" t="s">
        <v>372</v>
      </c>
      <c r="D72" s="109">
        <v>3993</v>
      </c>
      <c r="E72" s="110">
        <v>9790</v>
      </c>
      <c r="F72" s="109">
        <v>0</v>
      </c>
      <c r="G72" s="110">
        <f t="shared" si="0"/>
        <v>13783</v>
      </c>
    </row>
    <row r="73" spans="1:7" ht="15" customHeight="1">
      <c r="A73" s="106" t="s">
        <v>365</v>
      </c>
      <c r="B73" s="107">
        <v>4118</v>
      </c>
      <c r="C73" s="108" t="s">
        <v>373</v>
      </c>
      <c r="D73" s="109">
        <v>5889</v>
      </c>
      <c r="E73" s="110">
        <v>15005</v>
      </c>
      <c r="F73" s="109">
        <v>0</v>
      </c>
      <c r="G73" s="110">
        <f t="shared" si="0"/>
        <v>20894</v>
      </c>
    </row>
    <row r="74" spans="1:7" ht="15" customHeight="1">
      <c r="A74" s="106" t="s">
        <v>365</v>
      </c>
      <c r="B74" s="107">
        <v>4119</v>
      </c>
      <c r="C74" s="108" t="s">
        <v>373</v>
      </c>
      <c r="D74" s="109">
        <v>1040</v>
      </c>
      <c r="E74" s="110">
        <v>2648</v>
      </c>
      <c r="F74" s="109">
        <v>0</v>
      </c>
      <c r="G74" s="110">
        <f t="shared" si="0"/>
        <v>3688</v>
      </c>
    </row>
    <row r="75" spans="1:7" ht="27" customHeight="1">
      <c r="A75" s="106" t="s">
        <v>365</v>
      </c>
      <c r="B75" s="107">
        <v>4128</v>
      </c>
      <c r="C75" s="108" t="s">
        <v>374</v>
      </c>
      <c r="D75" s="109">
        <v>612</v>
      </c>
      <c r="E75" s="110">
        <v>2139</v>
      </c>
      <c r="F75" s="109">
        <v>0</v>
      </c>
      <c r="G75" s="110">
        <f t="shared" si="0"/>
        <v>2751</v>
      </c>
    </row>
    <row r="76" spans="1:7" ht="26.25" customHeight="1">
      <c r="A76" s="106" t="s">
        <v>365</v>
      </c>
      <c r="B76" s="107">
        <v>4129</v>
      </c>
      <c r="C76" s="108" t="s">
        <v>374</v>
      </c>
      <c r="D76" s="109">
        <v>108</v>
      </c>
      <c r="E76" s="110">
        <v>377</v>
      </c>
      <c r="F76" s="109">
        <v>0</v>
      </c>
      <c r="G76" s="110">
        <f aca="true" t="shared" si="1" ref="G76:G139">D76+E76-F76</f>
        <v>485</v>
      </c>
    </row>
    <row r="77" spans="1:7" ht="15" customHeight="1">
      <c r="A77" s="106" t="s">
        <v>365</v>
      </c>
      <c r="B77" s="107">
        <v>4178</v>
      </c>
      <c r="C77" s="108" t="s">
        <v>375</v>
      </c>
      <c r="D77" s="109">
        <v>0</v>
      </c>
      <c r="E77" s="110">
        <v>31810</v>
      </c>
      <c r="F77" s="109">
        <v>0</v>
      </c>
      <c r="G77" s="110">
        <f t="shared" si="1"/>
        <v>31810</v>
      </c>
    </row>
    <row r="78" spans="1:7" ht="15" customHeight="1">
      <c r="A78" s="106" t="s">
        <v>365</v>
      </c>
      <c r="B78" s="107">
        <v>4179</v>
      </c>
      <c r="C78" s="108" t="s">
        <v>375</v>
      </c>
      <c r="D78" s="109">
        <v>0</v>
      </c>
      <c r="E78" s="110">
        <v>5614</v>
      </c>
      <c r="F78" s="109">
        <v>0</v>
      </c>
      <c r="G78" s="110">
        <f t="shared" si="1"/>
        <v>5614</v>
      </c>
    </row>
    <row r="79" spans="1:7" ht="15" customHeight="1">
      <c r="A79" s="106" t="s">
        <v>365</v>
      </c>
      <c r="B79" s="107">
        <v>4218</v>
      </c>
      <c r="C79" s="108" t="s">
        <v>376</v>
      </c>
      <c r="D79" s="109">
        <v>0</v>
      </c>
      <c r="E79" s="110">
        <v>4250</v>
      </c>
      <c r="F79" s="109">
        <v>0</v>
      </c>
      <c r="G79" s="110">
        <f t="shared" si="1"/>
        <v>4250</v>
      </c>
    </row>
    <row r="80" spans="1:7" ht="15" customHeight="1">
      <c r="A80" s="106" t="s">
        <v>365</v>
      </c>
      <c r="B80" s="107">
        <v>4219</v>
      </c>
      <c r="C80" s="108" t="s">
        <v>376</v>
      </c>
      <c r="D80" s="109">
        <v>0</v>
      </c>
      <c r="E80" s="110">
        <v>750</v>
      </c>
      <c r="F80" s="109">
        <v>0</v>
      </c>
      <c r="G80" s="110">
        <f t="shared" si="1"/>
        <v>750</v>
      </c>
    </row>
    <row r="81" spans="1:7" ht="15" customHeight="1">
      <c r="A81" s="106" t="s">
        <v>365</v>
      </c>
      <c r="B81" s="107">
        <v>4308</v>
      </c>
      <c r="C81" s="108" t="s">
        <v>368</v>
      </c>
      <c r="D81" s="109">
        <v>195690</v>
      </c>
      <c r="E81" s="110">
        <v>26948</v>
      </c>
      <c r="F81" s="109">
        <v>0</v>
      </c>
      <c r="G81" s="110">
        <f t="shared" si="1"/>
        <v>222638</v>
      </c>
    </row>
    <row r="82" spans="1:7" ht="15" customHeight="1">
      <c r="A82" s="106" t="s">
        <v>365</v>
      </c>
      <c r="B82" s="107">
        <v>4309</v>
      </c>
      <c r="C82" s="108" t="s">
        <v>368</v>
      </c>
      <c r="D82" s="109">
        <v>34529</v>
      </c>
      <c r="E82" s="110">
        <v>4755</v>
      </c>
      <c r="F82" s="109">
        <v>0</v>
      </c>
      <c r="G82" s="110">
        <f t="shared" si="1"/>
        <v>39284</v>
      </c>
    </row>
    <row r="83" spans="1:7" ht="15" customHeight="1">
      <c r="A83" s="106" t="s">
        <v>365</v>
      </c>
      <c r="B83" s="107">
        <v>4388</v>
      </c>
      <c r="C83" s="108" t="s">
        <v>411</v>
      </c>
      <c r="D83" s="109">
        <v>2550</v>
      </c>
      <c r="E83" s="110">
        <v>2550</v>
      </c>
      <c r="F83" s="109">
        <v>0</v>
      </c>
      <c r="G83" s="110">
        <f t="shared" si="1"/>
        <v>5100</v>
      </c>
    </row>
    <row r="84" spans="1:7" ht="15" customHeight="1">
      <c r="A84" s="106" t="s">
        <v>365</v>
      </c>
      <c r="B84" s="107">
        <v>4389</v>
      </c>
      <c r="C84" s="108" t="s">
        <v>411</v>
      </c>
      <c r="D84" s="109">
        <v>450</v>
      </c>
      <c r="E84" s="110">
        <v>450</v>
      </c>
      <c r="F84" s="109">
        <v>0</v>
      </c>
      <c r="G84" s="110">
        <f t="shared" si="1"/>
        <v>900</v>
      </c>
    </row>
    <row r="85" spans="1:7" ht="15" customHeight="1">
      <c r="A85" s="106" t="s">
        <v>365</v>
      </c>
      <c r="B85" s="107">
        <v>4418</v>
      </c>
      <c r="C85" s="108" t="s">
        <v>384</v>
      </c>
      <c r="D85" s="109">
        <v>850</v>
      </c>
      <c r="E85" s="110">
        <v>850</v>
      </c>
      <c r="F85" s="109">
        <v>0</v>
      </c>
      <c r="G85" s="110">
        <f t="shared" si="1"/>
        <v>1700</v>
      </c>
    </row>
    <row r="86" spans="1:7" ht="15" customHeight="1">
      <c r="A86" s="106" t="s">
        <v>365</v>
      </c>
      <c r="B86" s="107">
        <v>4419</v>
      </c>
      <c r="C86" s="108" t="s">
        <v>384</v>
      </c>
      <c r="D86" s="109">
        <v>150</v>
      </c>
      <c r="E86" s="110">
        <v>150</v>
      </c>
      <c r="F86" s="109">
        <v>0</v>
      </c>
      <c r="G86" s="110">
        <f t="shared" si="1"/>
        <v>300</v>
      </c>
    </row>
    <row r="87" spans="1:7" ht="15" customHeight="1">
      <c r="A87" s="106" t="s">
        <v>365</v>
      </c>
      <c r="B87" s="107">
        <v>4428</v>
      </c>
      <c r="C87" s="108" t="s">
        <v>380</v>
      </c>
      <c r="D87" s="109">
        <v>3400</v>
      </c>
      <c r="E87" s="110">
        <v>24042</v>
      </c>
      <c r="F87" s="109">
        <v>0</v>
      </c>
      <c r="G87" s="110">
        <f t="shared" si="1"/>
        <v>27442</v>
      </c>
    </row>
    <row r="88" spans="1:7" ht="15" customHeight="1">
      <c r="A88" s="106" t="s">
        <v>365</v>
      </c>
      <c r="B88" s="107">
        <v>4429</v>
      </c>
      <c r="C88" s="108" t="s">
        <v>380</v>
      </c>
      <c r="D88" s="109">
        <v>600</v>
      </c>
      <c r="E88" s="110">
        <v>4243</v>
      </c>
      <c r="F88" s="109">
        <v>0</v>
      </c>
      <c r="G88" s="110">
        <f t="shared" si="1"/>
        <v>4843</v>
      </c>
    </row>
    <row r="89" spans="1:7" ht="15" customHeight="1">
      <c r="A89" s="106" t="s">
        <v>365</v>
      </c>
      <c r="B89" s="107">
        <v>4438</v>
      </c>
      <c r="C89" s="108" t="s">
        <v>385</v>
      </c>
      <c r="D89" s="109">
        <v>54</v>
      </c>
      <c r="E89" s="110">
        <v>425</v>
      </c>
      <c r="F89" s="109">
        <v>0</v>
      </c>
      <c r="G89" s="110">
        <f t="shared" si="1"/>
        <v>479</v>
      </c>
    </row>
    <row r="90" spans="1:7" ht="15" customHeight="1">
      <c r="A90" s="106" t="s">
        <v>365</v>
      </c>
      <c r="B90" s="107">
        <v>4439</v>
      </c>
      <c r="C90" s="108" t="s">
        <v>385</v>
      </c>
      <c r="D90" s="109">
        <v>10</v>
      </c>
      <c r="E90" s="110">
        <v>75</v>
      </c>
      <c r="F90" s="109">
        <v>0</v>
      </c>
      <c r="G90" s="110">
        <f t="shared" si="1"/>
        <v>85</v>
      </c>
    </row>
    <row r="91" spans="1:7" s="120" customFormat="1" ht="13.5" customHeight="1">
      <c r="A91" s="122" t="s">
        <v>69</v>
      </c>
      <c r="B91" s="123" t="s">
        <v>365</v>
      </c>
      <c r="C91" s="124" t="s">
        <v>70</v>
      </c>
      <c r="D91" s="125">
        <v>1834637</v>
      </c>
      <c r="E91" s="126">
        <f>E92</f>
        <v>26749</v>
      </c>
      <c r="F91" s="126">
        <f>F92</f>
        <v>13938</v>
      </c>
      <c r="G91" s="126">
        <f t="shared" si="1"/>
        <v>1847448</v>
      </c>
    </row>
    <row r="92" spans="1:7" s="120" customFormat="1" ht="15" customHeight="1">
      <c r="A92" s="116">
        <v>63095</v>
      </c>
      <c r="B92" s="117" t="s">
        <v>365</v>
      </c>
      <c r="C92" s="118" t="s">
        <v>52</v>
      </c>
      <c r="D92" s="119">
        <v>1184818</v>
      </c>
      <c r="E92" s="121">
        <f>SUM(E93:E102)</f>
        <v>26749</v>
      </c>
      <c r="F92" s="121">
        <f>SUM(F93:F102)</f>
        <v>13938</v>
      </c>
      <c r="G92" s="121">
        <f t="shared" si="1"/>
        <v>1197629</v>
      </c>
    </row>
    <row r="93" spans="1:7" ht="14.25" customHeight="1">
      <c r="A93" s="106" t="s">
        <v>365</v>
      </c>
      <c r="B93" s="107">
        <v>4018</v>
      </c>
      <c r="C93" s="108" t="s">
        <v>372</v>
      </c>
      <c r="D93" s="109">
        <v>320219</v>
      </c>
      <c r="E93" s="110">
        <v>745</v>
      </c>
      <c r="F93" s="109">
        <v>0</v>
      </c>
      <c r="G93" s="110">
        <f t="shared" si="1"/>
        <v>320964</v>
      </c>
    </row>
    <row r="94" spans="1:7" ht="14.25" customHeight="1">
      <c r="A94" s="106" t="s">
        <v>365</v>
      </c>
      <c r="B94" s="107">
        <v>4019</v>
      </c>
      <c r="C94" s="108" t="s">
        <v>372</v>
      </c>
      <c r="D94" s="109">
        <v>56509</v>
      </c>
      <c r="E94" s="110">
        <v>131</v>
      </c>
      <c r="F94" s="109">
        <v>0</v>
      </c>
      <c r="G94" s="110">
        <f t="shared" si="1"/>
        <v>56640</v>
      </c>
    </row>
    <row r="95" spans="1:7" ht="14.25" customHeight="1">
      <c r="A95" s="106" t="s">
        <v>365</v>
      </c>
      <c r="B95" s="107">
        <v>4048</v>
      </c>
      <c r="C95" s="108" t="s">
        <v>379</v>
      </c>
      <c r="D95" s="109">
        <v>9596</v>
      </c>
      <c r="E95" s="110">
        <v>0</v>
      </c>
      <c r="F95" s="109">
        <v>745</v>
      </c>
      <c r="G95" s="110">
        <f t="shared" si="1"/>
        <v>8851</v>
      </c>
    </row>
    <row r="96" spans="1:7" ht="14.25" customHeight="1">
      <c r="A96" s="106" t="s">
        <v>365</v>
      </c>
      <c r="B96" s="107">
        <v>4049</v>
      </c>
      <c r="C96" s="108" t="s">
        <v>379</v>
      </c>
      <c r="D96" s="109">
        <v>1694</v>
      </c>
      <c r="E96" s="110">
        <v>0</v>
      </c>
      <c r="F96" s="109">
        <v>131</v>
      </c>
      <c r="G96" s="110">
        <f t="shared" si="1"/>
        <v>1563</v>
      </c>
    </row>
    <row r="97" spans="1:7" ht="14.25" customHeight="1">
      <c r="A97" s="106" t="s">
        <v>365</v>
      </c>
      <c r="B97" s="107">
        <v>4308</v>
      </c>
      <c r="C97" s="108" t="s">
        <v>368</v>
      </c>
      <c r="D97" s="109">
        <v>256152</v>
      </c>
      <c r="E97" s="110">
        <v>0</v>
      </c>
      <c r="F97" s="109">
        <v>11103</v>
      </c>
      <c r="G97" s="110">
        <f t="shared" si="1"/>
        <v>245049</v>
      </c>
    </row>
    <row r="98" spans="1:7" ht="14.25" customHeight="1">
      <c r="A98" s="106" t="s">
        <v>365</v>
      </c>
      <c r="B98" s="107">
        <v>4309</v>
      </c>
      <c r="C98" s="108" t="s">
        <v>368</v>
      </c>
      <c r="D98" s="109">
        <v>45202</v>
      </c>
      <c r="E98" s="110">
        <v>0</v>
      </c>
      <c r="F98" s="109">
        <v>1959</v>
      </c>
      <c r="G98" s="110">
        <f t="shared" si="1"/>
        <v>43243</v>
      </c>
    </row>
    <row r="99" spans="1:7" ht="14.25" customHeight="1">
      <c r="A99" s="106" t="s">
        <v>365</v>
      </c>
      <c r="B99" s="107">
        <v>4428</v>
      </c>
      <c r="C99" s="108" t="s">
        <v>380</v>
      </c>
      <c r="D99" s="109">
        <v>76449</v>
      </c>
      <c r="E99" s="110">
        <v>21652</v>
      </c>
      <c r="F99" s="109">
        <v>0</v>
      </c>
      <c r="G99" s="110">
        <f t="shared" si="1"/>
        <v>98101</v>
      </c>
    </row>
    <row r="100" spans="1:7" ht="14.25" customHeight="1">
      <c r="A100" s="106" t="s">
        <v>365</v>
      </c>
      <c r="B100" s="107">
        <v>4429</v>
      </c>
      <c r="C100" s="108" t="s">
        <v>380</v>
      </c>
      <c r="D100" s="109">
        <v>13492</v>
      </c>
      <c r="E100" s="110">
        <v>3821</v>
      </c>
      <c r="F100" s="109">
        <v>0</v>
      </c>
      <c r="G100" s="110">
        <f t="shared" si="1"/>
        <v>17313</v>
      </c>
    </row>
    <row r="101" spans="1:7" ht="14.25" customHeight="1">
      <c r="A101" s="106" t="s">
        <v>365</v>
      </c>
      <c r="B101" s="107">
        <v>4438</v>
      </c>
      <c r="C101" s="108" t="s">
        <v>385</v>
      </c>
      <c r="D101" s="109">
        <v>1020</v>
      </c>
      <c r="E101" s="110">
        <v>340</v>
      </c>
      <c r="F101" s="109">
        <v>0</v>
      </c>
      <c r="G101" s="110">
        <f t="shared" si="1"/>
        <v>1360</v>
      </c>
    </row>
    <row r="102" spans="1:7" ht="14.25" customHeight="1">
      <c r="A102" s="106" t="s">
        <v>365</v>
      </c>
      <c r="B102" s="107">
        <v>4439</v>
      </c>
      <c r="C102" s="108" t="s">
        <v>385</v>
      </c>
      <c r="D102" s="109">
        <v>180</v>
      </c>
      <c r="E102" s="110">
        <v>60</v>
      </c>
      <c r="F102" s="109">
        <v>0</v>
      </c>
      <c r="G102" s="110">
        <f t="shared" si="1"/>
        <v>240</v>
      </c>
    </row>
    <row r="103" spans="1:7" s="120" customFormat="1" ht="13.5" customHeight="1">
      <c r="A103" s="122" t="s">
        <v>25</v>
      </c>
      <c r="B103" s="123" t="s">
        <v>365</v>
      </c>
      <c r="C103" s="124" t="s">
        <v>26</v>
      </c>
      <c r="D103" s="125">
        <v>4861054</v>
      </c>
      <c r="E103" s="126">
        <f>E104+E106</f>
        <v>54000</v>
      </c>
      <c r="F103" s="126">
        <f>F104+F106</f>
        <v>14000</v>
      </c>
      <c r="G103" s="126">
        <f t="shared" si="1"/>
        <v>4901054</v>
      </c>
    </row>
    <row r="104" spans="1:7" s="120" customFormat="1" ht="15" customHeight="1">
      <c r="A104" s="116">
        <v>71004</v>
      </c>
      <c r="B104" s="117" t="s">
        <v>365</v>
      </c>
      <c r="C104" s="118" t="s">
        <v>131</v>
      </c>
      <c r="D104" s="119">
        <v>23000</v>
      </c>
      <c r="E104" s="121">
        <f>E105</f>
        <v>40000</v>
      </c>
      <c r="F104" s="121">
        <f>F105</f>
        <v>0</v>
      </c>
      <c r="G104" s="121">
        <f t="shared" si="1"/>
        <v>63000</v>
      </c>
    </row>
    <row r="105" spans="1:7" ht="14.25" customHeight="1">
      <c r="A105" s="106" t="s">
        <v>365</v>
      </c>
      <c r="B105" s="107">
        <v>4170</v>
      </c>
      <c r="C105" s="108" t="s">
        <v>375</v>
      </c>
      <c r="D105" s="109">
        <v>5400</v>
      </c>
      <c r="E105" s="110">
        <v>40000</v>
      </c>
      <c r="F105" s="109">
        <v>0</v>
      </c>
      <c r="G105" s="110">
        <f t="shared" si="1"/>
        <v>45400</v>
      </c>
    </row>
    <row r="106" spans="1:7" s="120" customFormat="1" ht="15" customHeight="1">
      <c r="A106" s="116">
        <v>71012</v>
      </c>
      <c r="B106" s="117" t="s">
        <v>365</v>
      </c>
      <c r="C106" s="118" t="s">
        <v>84</v>
      </c>
      <c r="D106" s="119">
        <v>172000</v>
      </c>
      <c r="E106" s="121">
        <f>SUM(E107:E108)</f>
        <v>14000</v>
      </c>
      <c r="F106" s="121">
        <f>SUM(F107:F108)</f>
        <v>14000</v>
      </c>
      <c r="G106" s="121">
        <f t="shared" si="1"/>
        <v>172000</v>
      </c>
    </row>
    <row r="107" spans="1:7" ht="15" customHeight="1">
      <c r="A107" s="106" t="s">
        <v>365</v>
      </c>
      <c r="B107" s="107">
        <v>4210</v>
      </c>
      <c r="C107" s="108" t="s">
        <v>376</v>
      </c>
      <c r="D107" s="109">
        <v>12500</v>
      </c>
      <c r="E107" s="110">
        <v>14000</v>
      </c>
      <c r="F107" s="109">
        <v>0</v>
      </c>
      <c r="G107" s="110">
        <f t="shared" si="1"/>
        <v>26500</v>
      </c>
    </row>
    <row r="108" spans="1:7" ht="15" customHeight="1">
      <c r="A108" s="106" t="s">
        <v>365</v>
      </c>
      <c r="B108" s="107">
        <v>6060</v>
      </c>
      <c r="C108" s="108" t="s">
        <v>383</v>
      </c>
      <c r="D108" s="109">
        <v>14000</v>
      </c>
      <c r="E108" s="110">
        <v>0</v>
      </c>
      <c r="F108" s="109">
        <v>14000</v>
      </c>
      <c r="G108" s="110">
        <f t="shared" si="1"/>
        <v>0</v>
      </c>
    </row>
    <row r="109" spans="1:7" s="120" customFormat="1" ht="13.5" customHeight="1">
      <c r="A109" s="122" t="s">
        <v>71</v>
      </c>
      <c r="B109" s="123" t="s">
        <v>365</v>
      </c>
      <c r="C109" s="124" t="s">
        <v>72</v>
      </c>
      <c r="D109" s="125">
        <v>75878487</v>
      </c>
      <c r="E109" s="126">
        <f>E110</f>
        <v>16532500</v>
      </c>
      <c r="F109" s="126">
        <f>F110</f>
        <v>5333078</v>
      </c>
      <c r="G109" s="126">
        <f t="shared" si="1"/>
        <v>87077909</v>
      </c>
    </row>
    <row r="110" spans="1:7" s="120" customFormat="1" ht="15" customHeight="1">
      <c r="A110" s="116">
        <v>72095</v>
      </c>
      <c r="B110" s="117" t="s">
        <v>365</v>
      </c>
      <c r="C110" s="118" t="s">
        <v>52</v>
      </c>
      <c r="D110" s="119">
        <v>75878487</v>
      </c>
      <c r="E110" s="121">
        <f>SUM(E111:E139)</f>
        <v>16532500</v>
      </c>
      <c r="F110" s="121">
        <f>SUM(F111:F139)</f>
        <v>5333078</v>
      </c>
      <c r="G110" s="121">
        <f t="shared" si="1"/>
        <v>87077909</v>
      </c>
    </row>
    <row r="111" spans="1:7" ht="15" customHeight="1">
      <c r="A111" s="111" t="s">
        <v>365</v>
      </c>
      <c r="B111" s="112">
        <v>4047</v>
      </c>
      <c r="C111" s="113" t="s">
        <v>379</v>
      </c>
      <c r="D111" s="114">
        <v>135940</v>
      </c>
      <c r="E111" s="115">
        <v>0</v>
      </c>
      <c r="F111" s="114">
        <v>15733</v>
      </c>
      <c r="G111" s="115">
        <f t="shared" si="1"/>
        <v>120207</v>
      </c>
    </row>
    <row r="112" spans="1:7" ht="15" customHeight="1">
      <c r="A112" s="305" t="s">
        <v>365</v>
      </c>
      <c r="B112" s="306">
        <v>4049</v>
      </c>
      <c r="C112" s="307" t="s">
        <v>379</v>
      </c>
      <c r="D112" s="308">
        <v>23990</v>
      </c>
      <c r="E112" s="309">
        <v>0</v>
      </c>
      <c r="F112" s="308">
        <v>2776</v>
      </c>
      <c r="G112" s="309">
        <f t="shared" si="1"/>
        <v>21214</v>
      </c>
    </row>
    <row r="113" spans="1:7" ht="15" customHeight="1">
      <c r="A113" s="106" t="s">
        <v>365</v>
      </c>
      <c r="B113" s="107">
        <v>4150</v>
      </c>
      <c r="C113" s="108" t="s">
        <v>386</v>
      </c>
      <c r="D113" s="109">
        <v>0</v>
      </c>
      <c r="E113" s="110">
        <v>519909</v>
      </c>
      <c r="F113" s="109">
        <v>0</v>
      </c>
      <c r="G113" s="110">
        <f t="shared" si="1"/>
        <v>519909</v>
      </c>
    </row>
    <row r="114" spans="1:7" ht="15" customHeight="1">
      <c r="A114" s="106" t="s">
        <v>365</v>
      </c>
      <c r="B114" s="107">
        <v>4177</v>
      </c>
      <c r="C114" s="108" t="s">
        <v>375</v>
      </c>
      <c r="D114" s="109">
        <v>481870</v>
      </c>
      <c r="E114" s="110">
        <v>0</v>
      </c>
      <c r="F114" s="109">
        <v>193333</v>
      </c>
      <c r="G114" s="110">
        <f t="shared" si="1"/>
        <v>288537</v>
      </c>
    </row>
    <row r="115" spans="1:7" ht="15" customHeight="1">
      <c r="A115" s="106" t="s">
        <v>365</v>
      </c>
      <c r="B115" s="107">
        <v>4179</v>
      </c>
      <c r="C115" s="108" t="s">
        <v>375</v>
      </c>
      <c r="D115" s="109">
        <v>85036</v>
      </c>
      <c r="E115" s="110">
        <v>0</v>
      </c>
      <c r="F115" s="109">
        <v>34117</v>
      </c>
      <c r="G115" s="110">
        <f t="shared" si="1"/>
        <v>50919</v>
      </c>
    </row>
    <row r="116" spans="1:7" ht="15" customHeight="1">
      <c r="A116" s="106" t="s">
        <v>365</v>
      </c>
      <c r="B116" s="107">
        <v>4217</v>
      </c>
      <c r="C116" s="108" t="s">
        <v>376</v>
      </c>
      <c r="D116" s="109">
        <v>126737</v>
      </c>
      <c r="E116" s="110">
        <v>0</v>
      </c>
      <c r="F116" s="109">
        <v>48537</v>
      </c>
      <c r="G116" s="110">
        <f t="shared" si="1"/>
        <v>78200</v>
      </c>
    </row>
    <row r="117" spans="1:7" ht="15" customHeight="1">
      <c r="A117" s="106" t="s">
        <v>365</v>
      </c>
      <c r="B117" s="107">
        <v>4219</v>
      </c>
      <c r="C117" s="108" t="s">
        <v>376</v>
      </c>
      <c r="D117" s="109">
        <v>22366</v>
      </c>
      <c r="E117" s="110">
        <v>0</v>
      </c>
      <c r="F117" s="109">
        <v>8566</v>
      </c>
      <c r="G117" s="110">
        <f t="shared" si="1"/>
        <v>13800</v>
      </c>
    </row>
    <row r="118" spans="1:7" ht="15" customHeight="1">
      <c r="A118" s="106" t="s">
        <v>365</v>
      </c>
      <c r="B118" s="107">
        <v>4227</v>
      </c>
      <c r="C118" s="108" t="s">
        <v>387</v>
      </c>
      <c r="D118" s="109">
        <v>15592</v>
      </c>
      <c r="E118" s="110">
        <v>0</v>
      </c>
      <c r="F118" s="109">
        <v>5950</v>
      </c>
      <c r="G118" s="110">
        <f t="shared" si="1"/>
        <v>9642</v>
      </c>
    </row>
    <row r="119" spans="1:7" ht="15" customHeight="1">
      <c r="A119" s="106" t="s">
        <v>365</v>
      </c>
      <c r="B119" s="107">
        <v>4229</v>
      </c>
      <c r="C119" s="108" t="s">
        <v>387</v>
      </c>
      <c r="D119" s="109">
        <v>2752</v>
      </c>
      <c r="E119" s="110">
        <v>0</v>
      </c>
      <c r="F119" s="109">
        <v>1050</v>
      </c>
      <c r="G119" s="110">
        <f t="shared" si="1"/>
        <v>1702</v>
      </c>
    </row>
    <row r="120" spans="1:7" ht="15" customHeight="1">
      <c r="A120" s="106" t="s">
        <v>365</v>
      </c>
      <c r="B120" s="107">
        <v>4267</v>
      </c>
      <c r="C120" s="108" t="s">
        <v>377</v>
      </c>
      <c r="D120" s="109">
        <v>50095</v>
      </c>
      <c r="E120" s="110">
        <v>0</v>
      </c>
      <c r="F120" s="109">
        <v>25500</v>
      </c>
      <c r="G120" s="110">
        <f t="shared" si="1"/>
        <v>24595</v>
      </c>
    </row>
    <row r="121" spans="1:7" ht="15" customHeight="1">
      <c r="A121" s="106" t="s">
        <v>365</v>
      </c>
      <c r="B121" s="107">
        <v>4269</v>
      </c>
      <c r="C121" s="108" t="s">
        <v>377</v>
      </c>
      <c r="D121" s="109">
        <v>8840</v>
      </c>
      <c r="E121" s="110">
        <v>0</v>
      </c>
      <c r="F121" s="109">
        <v>4500</v>
      </c>
      <c r="G121" s="110">
        <f t="shared" si="1"/>
        <v>4340</v>
      </c>
    </row>
    <row r="122" spans="1:7" ht="15" customHeight="1">
      <c r="A122" s="106" t="s">
        <v>365</v>
      </c>
      <c r="B122" s="107">
        <v>4307</v>
      </c>
      <c r="C122" s="108" t="s">
        <v>368</v>
      </c>
      <c r="D122" s="109">
        <v>697000</v>
      </c>
      <c r="E122" s="110">
        <v>340000</v>
      </c>
      <c r="F122" s="109">
        <v>0</v>
      </c>
      <c r="G122" s="110">
        <f t="shared" si="1"/>
        <v>1037000</v>
      </c>
    </row>
    <row r="123" spans="1:7" ht="15" customHeight="1">
      <c r="A123" s="106" t="s">
        <v>365</v>
      </c>
      <c r="B123" s="107">
        <v>4309</v>
      </c>
      <c r="C123" s="108" t="s">
        <v>368</v>
      </c>
      <c r="D123" s="109">
        <v>123000</v>
      </c>
      <c r="E123" s="110">
        <v>60000</v>
      </c>
      <c r="F123" s="109">
        <v>0</v>
      </c>
      <c r="G123" s="110">
        <f t="shared" si="1"/>
        <v>183000</v>
      </c>
    </row>
    <row r="124" spans="1:7" ht="15" customHeight="1">
      <c r="A124" s="106" t="s">
        <v>365</v>
      </c>
      <c r="B124" s="107">
        <v>4367</v>
      </c>
      <c r="C124" s="108" t="s">
        <v>388</v>
      </c>
      <c r="D124" s="109">
        <v>11050</v>
      </c>
      <c r="E124" s="110">
        <v>4250</v>
      </c>
      <c r="F124" s="109">
        <v>0</v>
      </c>
      <c r="G124" s="110">
        <f t="shared" si="1"/>
        <v>15300</v>
      </c>
    </row>
    <row r="125" spans="1:7" ht="15" customHeight="1">
      <c r="A125" s="106" t="s">
        <v>365</v>
      </c>
      <c r="B125" s="107">
        <v>4369</v>
      </c>
      <c r="C125" s="108" t="s">
        <v>388</v>
      </c>
      <c r="D125" s="109">
        <v>1950</v>
      </c>
      <c r="E125" s="110">
        <v>750</v>
      </c>
      <c r="F125" s="109">
        <v>0</v>
      </c>
      <c r="G125" s="110">
        <f t="shared" si="1"/>
        <v>2700</v>
      </c>
    </row>
    <row r="126" spans="1:7" ht="28.5" customHeight="1">
      <c r="A126" s="106" t="s">
        <v>365</v>
      </c>
      <c r="B126" s="107">
        <v>4407</v>
      </c>
      <c r="C126" s="108" t="s">
        <v>378</v>
      </c>
      <c r="D126" s="109">
        <v>171020</v>
      </c>
      <c r="E126" s="110">
        <v>0</v>
      </c>
      <c r="F126" s="109">
        <v>22270</v>
      </c>
      <c r="G126" s="110">
        <f t="shared" si="1"/>
        <v>148750</v>
      </c>
    </row>
    <row r="127" spans="1:7" ht="28.5" customHeight="1">
      <c r="A127" s="106" t="s">
        <v>365</v>
      </c>
      <c r="B127" s="107">
        <v>4409</v>
      </c>
      <c r="C127" s="108" t="s">
        <v>378</v>
      </c>
      <c r="D127" s="109">
        <v>30180</v>
      </c>
      <c r="E127" s="110">
        <v>0</v>
      </c>
      <c r="F127" s="109">
        <v>3930</v>
      </c>
      <c r="G127" s="110">
        <f t="shared" si="1"/>
        <v>26250</v>
      </c>
    </row>
    <row r="128" spans="1:7" ht="15" customHeight="1">
      <c r="A128" s="106" t="s">
        <v>365</v>
      </c>
      <c r="B128" s="107">
        <v>4417</v>
      </c>
      <c r="C128" s="108" t="s">
        <v>384</v>
      </c>
      <c r="D128" s="109">
        <v>0</v>
      </c>
      <c r="E128" s="110">
        <v>17000</v>
      </c>
      <c r="F128" s="109">
        <v>0</v>
      </c>
      <c r="G128" s="110">
        <f t="shared" si="1"/>
        <v>17000</v>
      </c>
    </row>
    <row r="129" spans="1:7" ht="15" customHeight="1">
      <c r="A129" s="106" t="s">
        <v>365</v>
      </c>
      <c r="B129" s="107">
        <v>4419</v>
      </c>
      <c r="C129" s="108" t="s">
        <v>384</v>
      </c>
      <c r="D129" s="109">
        <v>0</v>
      </c>
      <c r="E129" s="110">
        <v>3000</v>
      </c>
      <c r="F129" s="109">
        <v>0</v>
      </c>
      <c r="G129" s="110">
        <f t="shared" si="1"/>
        <v>3000</v>
      </c>
    </row>
    <row r="130" spans="1:7" ht="15" customHeight="1">
      <c r="A130" s="106" t="s">
        <v>365</v>
      </c>
      <c r="B130" s="107">
        <v>4427</v>
      </c>
      <c r="C130" s="108" t="s">
        <v>380</v>
      </c>
      <c r="D130" s="109">
        <v>0</v>
      </c>
      <c r="E130" s="110">
        <v>17850</v>
      </c>
      <c r="F130" s="109">
        <v>0</v>
      </c>
      <c r="G130" s="110">
        <f t="shared" si="1"/>
        <v>17850</v>
      </c>
    </row>
    <row r="131" spans="1:7" ht="15" customHeight="1">
      <c r="A131" s="106" t="s">
        <v>365</v>
      </c>
      <c r="B131" s="107">
        <v>4429</v>
      </c>
      <c r="C131" s="108" t="s">
        <v>380</v>
      </c>
      <c r="D131" s="109">
        <v>0</v>
      </c>
      <c r="E131" s="110">
        <v>3150</v>
      </c>
      <c r="F131" s="109">
        <v>0</v>
      </c>
      <c r="G131" s="110">
        <f t="shared" si="1"/>
        <v>3150</v>
      </c>
    </row>
    <row r="132" spans="1:7" ht="28.5" customHeight="1">
      <c r="A132" s="106" t="s">
        <v>365</v>
      </c>
      <c r="B132" s="107">
        <v>4707</v>
      </c>
      <c r="C132" s="108" t="s">
        <v>389</v>
      </c>
      <c r="D132" s="109">
        <v>0</v>
      </c>
      <c r="E132" s="110">
        <v>34475</v>
      </c>
      <c r="F132" s="109">
        <v>0</v>
      </c>
      <c r="G132" s="110">
        <f t="shared" si="1"/>
        <v>34475</v>
      </c>
    </row>
    <row r="133" spans="1:7" ht="28.5" customHeight="1">
      <c r="A133" s="106" t="s">
        <v>365</v>
      </c>
      <c r="B133" s="107">
        <v>4709</v>
      </c>
      <c r="C133" s="108" t="s">
        <v>389</v>
      </c>
      <c r="D133" s="109">
        <v>0</v>
      </c>
      <c r="E133" s="110">
        <v>6084</v>
      </c>
      <c r="F133" s="109">
        <v>0</v>
      </c>
      <c r="G133" s="110">
        <f t="shared" si="1"/>
        <v>6084</v>
      </c>
    </row>
    <row r="134" spans="1:7" ht="15" customHeight="1">
      <c r="A134" s="106" t="s">
        <v>365</v>
      </c>
      <c r="B134" s="107">
        <v>6059</v>
      </c>
      <c r="C134" s="108" t="s">
        <v>381</v>
      </c>
      <c r="D134" s="109">
        <v>454513</v>
      </c>
      <c r="E134" s="110">
        <v>53</v>
      </c>
      <c r="F134" s="109">
        <v>0</v>
      </c>
      <c r="G134" s="110">
        <f t="shared" si="1"/>
        <v>454566</v>
      </c>
    </row>
    <row r="135" spans="1:7" ht="15" customHeight="1">
      <c r="A135" s="106" t="s">
        <v>365</v>
      </c>
      <c r="B135" s="107">
        <v>6067</v>
      </c>
      <c r="C135" s="108" t="s">
        <v>383</v>
      </c>
      <c r="D135" s="109">
        <v>395477</v>
      </c>
      <c r="E135" s="110">
        <v>4568593</v>
      </c>
      <c r="F135" s="109">
        <v>0</v>
      </c>
      <c r="G135" s="110">
        <f t="shared" si="1"/>
        <v>4964070</v>
      </c>
    </row>
    <row r="136" spans="1:7" ht="15" customHeight="1">
      <c r="A136" s="106" t="s">
        <v>365</v>
      </c>
      <c r="B136" s="107">
        <v>6069</v>
      </c>
      <c r="C136" s="108" t="s">
        <v>383</v>
      </c>
      <c r="D136" s="109">
        <v>69790</v>
      </c>
      <c r="E136" s="110">
        <v>806223</v>
      </c>
      <c r="F136" s="109">
        <v>0</v>
      </c>
      <c r="G136" s="110">
        <f t="shared" si="1"/>
        <v>876013</v>
      </c>
    </row>
    <row r="137" spans="1:7" ht="69.75" customHeight="1">
      <c r="A137" s="106" t="s">
        <v>365</v>
      </c>
      <c r="B137" s="107">
        <v>6207</v>
      </c>
      <c r="C137" s="108" t="s">
        <v>390</v>
      </c>
      <c r="D137" s="109">
        <v>26334270</v>
      </c>
      <c r="E137" s="110">
        <v>10033963</v>
      </c>
      <c r="F137" s="109">
        <v>0</v>
      </c>
      <c r="G137" s="110">
        <f t="shared" si="1"/>
        <v>36368233</v>
      </c>
    </row>
    <row r="138" spans="1:7" ht="44.25" customHeight="1">
      <c r="A138" s="106" t="s">
        <v>365</v>
      </c>
      <c r="B138" s="107">
        <v>6229</v>
      </c>
      <c r="C138" s="108" t="s">
        <v>391</v>
      </c>
      <c r="D138" s="109">
        <v>779472</v>
      </c>
      <c r="E138" s="110">
        <v>117200</v>
      </c>
      <c r="F138" s="109">
        <v>0</v>
      </c>
      <c r="G138" s="110">
        <f t="shared" si="1"/>
        <v>896672</v>
      </c>
    </row>
    <row r="139" spans="1:7" ht="71.25" customHeight="1">
      <c r="A139" s="106" t="s">
        <v>365</v>
      </c>
      <c r="B139" s="107">
        <v>6257</v>
      </c>
      <c r="C139" s="108" t="s">
        <v>392</v>
      </c>
      <c r="D139" s="109">
        <v>35228423</v>
      </c>
      <c r="E139" s="110">
        <v>0</v>
      </c>
      <c r="F139" s="109">
        <v>4966816</v>
      </c>
      <c r="G139" s="110">
        <f t="shared" si="1"/>
        <v>30261607</v>
      </c>
    </row>
    <row r="140" spans="1:7" s="120" customFormat="1" ht="15" customHeight="1">
      <c r="A140" s="122" t="s">
        <v>28</v>
      </c>
      <c r="B140" s="123" t="s">
        <v>365</v>
      </c>
      <c r="C140" s="124" t="s">
        <v>29</v>
      </c>
      <c r="D140" s="125">
        <v>109835609</v>
      </c>
      <c r="E140" s="126">
        <f>E141+E151+E162</f>
        <v>3144019</v>
      </c>
      <c r="F140" s="126">
        <f>F141+F151+F162</f>
        <v>104611</v>
      </c>
      <c r="G140" s="126">
        <f aca="true" t="shared" si="2" ref="G140:G203">D140+E140-F140</f>
        <v>112875017</v>
      </c>
    </row>
    <row r="141" spans="1:7" s="120" customFormat="1" ht="15" customHeight="1">
      <c r="A141" s="116">
        <v>75018</v>
      </c>
      <c r="B141" s="117" t="s">
        <v>365</v>
      </c>
      <c r="C141" s="118" t="s">
        <v>134</v>
      </c>
      <c r="D141" s="119">
        <v>77946432</v>
      </c>
      <c r="E141" s="121">
        <f>SUM(E142:E150)</f>
        <v>1640497</v>
      </c>
      <c r="F141" s="121">
        <f>SUM(F142:F150)</f>
        <v>104611</v>
      </c>
      <c r="G141" s="121">
        <f t="shared" si="2"/>
        <v>79482318</v>
      </c>
    </row>
    <row r="142" spans="1:7" ht="15" customHeight="1">
      <c r="A142" s="106" t="s">
        <v>365</v>
      </c>
      <c r="B142" s="107">
        <v>4018</v>
      </c>
      <c r="C142" s="108" t="s">
        <v>372</v>
      </c>
      <c r="D142" s="109">
        <v>18667250</v>
      </c>
      <c r="E142" s="110">
        <v>567783</v>
      </c>
      <c r="F142" s="109">
        <v>0</v>
      </c>
      <c r="G142" s="110">
        <f t="shared" si="2"/>
        <v>19235033</v>
      </c>
    </row>
    <row r="143" spans="1:7" ht="15" customHeight="1">
      <c r="A143" s="106" t="s">
        <v>365</v>
      </c>
      <c r="B143" s="107">
        <v>4019</v>
      </c>
      <c r="C143" s="108" t="s">
        <v>372</v>
      </c>
      <c r="D143" s="109">
        <v>3294220</v>
      </c>
      <c r="E143" s="110">
        <v>100196</v>
      </c>
      <c r="F143" s="109">
        <v>0</v>
      </c>
      <c r="G143" s="110">
        <f t="shared" si="2"/>
        <v>3394416</v>
      </c>
    </row>
    <row r="144" spans="1:7" ht="15" customHeight="1">
      <c r="A144" s="106" t="s">
        <v>365</v>
      </c>
      <c r="B144" s="107">
        <v>4048</v>
      </c>
      <c r="C144" s="108" t="s">
        <v>379</v>
      </c>
      <c r="D144" s="109">
        <v>1559750</v>
      </c>
      <c r="E144" s="110">
        <v>0</v>
      </c>
      <c r="F144" s="109">
        <v>37920</v>
      </c>
      <c r="G144" s="110">
        <f t="shared" si="2"/>
        <v>1521830</v>
      </c>
    </row>
    <row r="145" spans="1:7" ht="15" customHeight="1">
      <c r="A145" s="106" t="s">
        <v>365</v>
      </c>
      <c r="B145" s="107">
        <v>4049</v>
      </c>
      <c r="C145" s="108" t="s">
        <v>379</v>
      </c>
      <c r="D145" s="109">
        <v>275250</v>
      </c>
      <c r="E145" s="110">
        <v>0</v>
      </c>
      <c r="F145" s="109">
        <v>6691</v>
      </c>
      <c r="G145" s="110">
        <f t="shared" si="2"/>
        <v>268559</v>
      </c>
    </row>
    <row r="146" spans="1:7" ht="15" customHeight="1">
      <c r="A146" s="106" t="s">
        <v>365</v>
      </c>
      <c r="B146" s="107">
        <v>4118</v>
      </c>
      <c r="C146" s="108" t="s">
        <v>373</v>
      </c>
      <c r="D146" s="109">
        <v>3145000</v>
      </c>
      <c r="E146" s="110">
        <v>255000</v>
      </c>
      <c r="F146" s="109">
        <v>0</v>
      </c>
      <c r="G146" s="110">
        <f t="shared" si="2"/>
        <v>3400000</v>
      </c>
    </row>
    <row r="147" spans="1:7" ht="15" customHeight="1">
      <c r="A147" s="106" t="s">
        <v>365</v>
      </c>
      <c r="B147" s="107">
        <v>4119</v>
      </c>
      <c r="C147" s="108" t="s">
        <v>373</v>
      </c>
      <c r="D147" s="109">
        <v>555000</v>
      </c>
      <c r="E147" s="110">
        <v>45000</v>
      </c>
      <c r="F147" s="109">
        <v>0</v>
      </c>
      <c r="G147" s="110">
        <f t="shared" si="2"/>
        <v>600000</v>
      </c>
    </row>
    <row r="148" spans="1:7" ht="28.5" customHeight="1">
      <c r="A148" s="106" t="s">
        <v>365</v>
      </c>
      <c r="B148" s="107">
        <v>4128</v>
      </c>
      <c r="C148" s="108" t="s">
        <v>374</v>
      </c>
      <c r="D148" s="109">
        <v>476000</v>
      </c>
      <c r="E148" s="110">
        <v>0</v>
      </c>
      <c r="F148" s="109">
        <v>51000</v>
      </c>
      <c r="G148" s="110">
        <f t="shared" si="2"/>
        <v>425000</v>
      </c>
    </row>
    <row r="149" spans="1:7" ht="28.5" customHeight="1">
      <c r="A149" s="106" t="s">
        <v>365</v>
      </c>
      <c r="B149" s="107">
        <v>4129</v>
      </c>
      <c r="C149" s="108" t="s">
        <v>374</v>
      </c>
      <c r="D149" s="109">
        <v>84000</v>
      </c>
      <c r="E149" s="110">
        <v>0</v>
      </c>
      <c r="F149" s="109">
        <v>9000</v>
      </c>
      <c r="G149" s="110">
        <f t="shared" si="2"/>
        <v>75000</v>
      </c>
    </row>
    <row r="150" spans="1:7" ht="15" customHeight="1">
      <c r="A150" s="106" t="s">
        <v>365</v>
      </c>
      <c r="B150" s="107">
        <v>6050</v>
      </c>
      <c r="C150" s="108" t="s">
        <v>381</v>
      </c>
      <c r="D150" s="109">
        <v>350000</v>
      </c>
      <c r="E150" s="110">
        <v>672518</v>
      </c>
      <c r="F150" s="109">
        <v>0</v>
      </c>
      <c r="G150" s="110">
        <f t="shared" si="2"/>
        <v>1022518</v>
      </c>
    </row>
    <row r="151" spans="1:7" s="120" customFormat="1" ht="15" customHeight="1">
      <c r="A151" s="116">
        <v>75075</v>
      </c>
      <c r="B151" s="117" t="s">
        <v>365</v>
      </c>
      <c r="C151" s="118" t="s">
        <v>138</v>
      </c>
      <c r="D151" s="119">
        <v>26739147</v>
      </c>
      <c r="E151" s="121">
        <f>SUM(E152:E161)</f>
        <v>1103522</v>
      </c>
      <c r="F151" s="121">
        <f>SUM(F152:F161)</f>
        <v>0</v>
      </c>
      <c r="G151" s="121">
        <f t="shared" si="2"/>
        <v>27842669</v>
      </c>
    </row>
    <row r="152" spans="1:7" ht="66.75" customHeight="1">
      <c r="A152" s="106" t="s">
        <v>365</v>
      </c>
      <c r="B152" s="107">
        <v>2007</v>
      </c>
      <c r="C152" s="108" t="s">
        <v>371</v>
      </c>
      <c r="D152" s="109">
        <v>3248020</v>
      </c>
      <c r="E152" s="110">
        <v>390000</v>
      </c>
      <c r="F152" s="109">
        <v>0</v>
      </c>
      <c r="G152" s="110">
        <f t="shared" si="2"/>
        <v>3638020</v>
      </c>
    </row>
    <row r="153" spans="1:7" ht="15" customHeight="1">
      <c r="A153" s="106" t="s">
        <v>365</v>
      </c>
      <c r="B153" s="107">
        <v>4017</v>
      </c>
      <c r="C153" s="108" t="s">
        <v>372</v>
      </c>
      <c r="D153" s="109">
        <v>747172</v>
      </c>
      <c r="E153" s="110">
        <v>8892</v>
      </c>
      <c r="F153" s="109">
        <v>0</v>
      </c>
      <c r="G153" s="110">
        <f t="shared" si="2"/>
        <v>756064</v>
      </c>
    </row>
    <row r="154" spans="1:7" ht="15" customHeight="1">
      <c r="A154" s="106" t="s">
        <v>365</v>
      </c>
      <c r="B154" s="107">
        <v>4019</v>
      </c>
      <c r="C154" s="108" t="s">
        <v>372</v>
      </c>
      <c r="D154" s="109">
        <v>131855</v>
      </c>
      <c r="E154" s="110">
        <v>1570</v>
      </c>
      <c r="F154" s="109">
        <v>0</v>
      </c>
      <c r="G154" s="110">
        <f t="shared" si="2"/>
        <v>133425</v>
      </c>
    </row>
    <row r="155" spans="1:7" ht="15" customHeight="1">
      <c r="A155" s="106" t="s">
        <v>365</v>
      </c>
      <c r="B155" s="107">
        <v>4117</v>
      </c>
      <c r="C155" s="108" t="s">
        <v>373</v>
      </c>
      <c r="D155" s="109">
        <v>132986</v>
      </c>
      <c r="E155" s="110">
        <v>1561</v>
      </c>
      <c r="F155" s="109">
        <v>0</v>
      </c>
      <c r="G155" s="110">
        <f t="shared" si="2"/>
        <v>134547</v>
      </c>
    </row>
    <row r="156" spans="1:7" ht="15" customHeight="1">
      <c r="A156" s="106" t="s">
        <v>365</v>
      </c>
      <c r="B156" s="107">
        <v>4119</v>
      </c>
      <c r="C156" s="108" t="s">
        <v>373</v>
      </c>
      <c r="D156" s="109">
        <v>23469</v>
      </c>
      <c r="E156" s="110">
        <v>276</v>
      </c>
      <c r="F156" s="109">
        <v>0</v>
      </c>
      <c r="G156" s="110">
        <f t="shared" si="2"/>
        <v>23745</v>
      </c>
    </row>
    <row r="157" spans="1:7" ht="28.5" customHeight="1">
      <c r="A157" s="111" t="s">
        <v>365</v>
      </c>
      <c r="B157" s="112">
        <v>4127</v>
      </c>
      <c r="C157" s="113" t="s">
        <v>374</v>
      </c>
      <c r="D157" s="114">
        <v>18954</v>
      </c>
      <c r="E157" s="115">
        <v>333</v>
      </c>
      <c r="F157" s="114">
        <v>0</v>
      </c>
      <c r="G157" s="115">
        <f t="shared" si="2"/>
        <v>19287</v>
      </c>
    </row>
    <row r="158" spans="1:7" ht="27" customHeight="1">
      <c r="A158" s="305" t="s">
        <v>365</v>
      </c>
      <c r="B158" s="306">
        <v>4129</v>
      </c>
      <c r="C158" s="307" t="s">
        <v>374</v>
      </c>
      <c r="D158" s="308">
        <v>3348</v>
      </c>
      <c r="E158" s="309">
        <v>59</v>
      </c>
      <c r="F158" s="308">
        <v>0</v>
      </c>
      <c r="G158" s="309">
        <f t="shared" si="2"/>
        <v>3407</v>
      </c>
    </row>
    <row r="159" spans="1:7" ht="15" customHeight="1">
      <c r="A159" s="106" t="s">
        <v>365</v>
      </c>
      <c r="B159" s="107">
        <v>4300</v>
      </c>
      <c r="C159" s="108" t="s">
        <v>368</v>
      </c>
      <c r="D159" s="109">
        <v>6633000</v>
      </c>
      <c r="E159" s="110">
        <v>350000</v>
      </c>
      <c r="F159" s="109">
        <v>0</v>
      </c>
      <c r="G159" s="110">
        <f t="shared" si="2"/>
        <v>6983000</v>
      </c>
    </row>
    <row r="160" spans="1:7" ht="15" customHeight="1">
      <c r="A160" s="106" t="s">
        <v>365</v>
      </c>
      <c r="B160" s="107">
        <v>4307</v>
      </c>
      <c r="C160" s="108" t="s">
        <v>368</v>
      </c>
      <c r="D160" s="109">
        <v>12134866</v>
      </c>
      <c r="E160" s="110">
        <v>239707</v>
      </c>
      <c r="F160" s="109">
        <v>0</v>
      </c>
      <c r="G160" s="110">
        <f t="shared" si="2"/>
        <v>12374573</v>
      </c>
    </row>
    <row r="161" spans="1:7" ht="15" customHeight="1">
      <c r="A161" s="106" t="s">
        <v>365</v>
      </c>
      <c r="B161" s="107">
        <v>4309</v>
      </c>
      <c r="C161" s="108" t="s">
        <v>368</v>
      </c>
      <c r="D161" s="109">
        <v>2721722</v>
      </c>
      <c r="E161" s="110">
        <v>111124</v>
      </c>
      <c r="F161" s="109">
        <v>0</v>
      </c>
      <c r="G161" s="110">
        <f t="shared" si="2"/>
        <v>2832846</v>
      </c>
    </row>
    <row r="162" spans="1:7" s="120" customFormat="1" ht="15" customHeight="1">
      <c r="A162" s="116">
        <v>75095</v>
      </c>
      <c r="B162" s="117" t="s">
        <v>365</v>
      </c>
      <c r="C162" s="118" t="s">
        <v>52</v>
      </c>
      <c r="D162" s="119">
        <v>3060850</v>
      </c>
      <c r="E162" s="121">
        <f>E163</f>
        <v>400000</v>
      </c>
      <c r="F162" s="121">
        <f>F163</f>
        <v>0</v>
      </c>
      <c r="G162" s="121">
        <f t="shared" si="2"/>
        <v>3460850</v>
      </c>
    </row>
    <row r="163" spans="1:7" ht="15" customHeight="1">
      <c r="A163" s="106" t="s">
        <v>365</v>
      </c>
      <c r="B163" s="107">
        <v>4300</v>
      </c>
      <c r="C163" s="108" t="s">
        <v>368</v>
      </c>
      <c r="D163" s="109">
        <v>855550</v>
      </c>
      <c r="E163" s="110">
        <v>400000</v>
      </c>
      <c r="F163" s="109">
        <v>0</v>
      </c>
      <c r="G163" s="110">
        <f t="shared" si="2"/>
        <v>1255550</v>
      </c>
    </row>
    <row r="164" spans="1:7" s="120" customFormat="1" ht="15" customHeight="1">
      <c r="A164" s="122" t="s">
        <v>143</v>
      </c>
      <c r="B164" s="123" t="s">
        <v>365</v>
      </c>
      <c r="C164" s="124" t="s">
        <v>144</v>
      </c>
      <c r="D164" s="125">
        <v>41521051</v>
      </c>
      <c r="E164" s="126">
        <f>E165</f>
        <v>0</v>
      </c>
      <c r="F164" s="126">
        <f>F165</f>
        <v>4323830</v>
      </c>
      <c r="G164" s="126">
        <f t="shared" si="2"/>
        <v>37197221</v>
      </c>
    </row>
    <row r="165" spans="1:7" s="120" customFormat="1" ht="42.75" customHeight="1">
      <c r="A165" s="116">
        <v>75704</v>
      </c>
      <c r="B165" s="117" t="s">
        <v>365</v>
      </c>
      <c r="C165" s="118" t="s">
        <v>148</v>
      </c>
      <c r="D165" s="119">
        <v>34082675</v>
      </c>
      <c r="E165" s="121">
        <f>E166</f>
        <v>0</v>
      </c>
      <c r="F165" s="121">
        <f>F166</f>
        <v>4323830</v>
      </c>
      <c r="G165" s="121">
        <f t="shared" si="2"/>
        <v>29758845</v>
      </c>
    </row>
    <row r="166" spans="1:7" ht="15" customHeight="1">
      <c r="A166" s="106" t="s">
        <v>365</v>
      </c>
      <c r="B166" s="107">
        <v>8020</v>
      </c>
      <c r="C166" s="108" t="s">
        <v>393</v>
      </c>
      <c r="D166" s="109">
        <v>33762675</v>
      </c>
      <c r="E166" s="110">
        <v>0</v>
      </c>
      <c r="F166" s="109">
        <v>4323830</v>
      </c>
      <c r="G166" s="110">
        <f t="shared" si="2"/>
        <v>29438845</v>
      </c>
    </row>
    <row r="167" spans="1:7" s="120" customFormat="1" ht="15" customHeight="1">
      <c r="A167" s="122" t="s">
        <v>149</v>
      </c>
      <c r="B167" s="123" t="s">
        <v>365</v>
      </c>
      <c r="C167" s="124" t="s">
        <v>150</v>
      </c>
      <c r="D167" s="125">
        <v>13538944</v>
      </c>
      <c r="E167" s="126">
        <f>E168+E170</f>
        <v>798052</v>
      </c>
      <c r="F167" s="126">
        <f>F168+F170</f>
        <v>5100000</v>
      </c>
      <c r="G167" s="126">
        <f t="shared" si="2"/>
        <v>9236996</v>
      </c>
    </row>
    <row r="168" spans="1:7" s="120" customFormat="1" ht="27.75" customHeight="1">
      <c r="A168" s="116">
        <v>75801</v>
      </c>
      <c r="B168" s="117" t="s">
        <v>365</v>
      </c>
      <c r="C168" s="118" t="s">
        <v>361</v>
      </c>
      <c r="D168" s="119">
        <v>0</v>
      </c>
      <c r="E168" s="121">
        <f>E169</f>
        <v>798052</v>
      </c>
      <c r="F168" s="121">
        <f>F169</f>
        <v>0</v>
      </c>
      <c r="G168" s="121">
        <f t="shared" si="2"/>
        <v>798052</v>
      </c>
    </row>
    <row r="169" spans="1:7" ht="27.75" customHeight="1">
      <c r="A169" s="106" t="s">
        <v>365</v>
      </c>
      <c r="B169" s="107">
        <v>2940</v>
      </c>
      <c r="C169" s="108" t="s">
        <v>394</v>
      </c>
      <c r="D169" s="109">
        <v>0</v>
      </c>
      <c r="E169" s="110">
        <v>798052</v>
      </c>
      <c r="F169" s="109">
        <v>0</v>
      </c>
      <c r="G169" s="110">
        <f t="shared" si="2"/>
        <v>798052</v>
      </c>
    </row>
    <row r="170" spans="1:7" s="120" customFormat="1" ht="15" customHeight="1">
      <c r="A170" s="116">
        <v>75818</v>
      </c>
      <c r="B170" s="117" t="s">
        <v>365</v>
      </c>
      <c r="C170" s="118" t="s">
        <v>152</v>
      </c>
      <c r="D170" s="119">
        <v>13538944</v>
      </c>
      <c r="E170" s="121">
        <f>E171</f>
        <v>0</v>
      </c>
      <c r="F170" s="121">
        <f>F171</f>
        <v>5100000</v>
      </c>
      <c r="G170" s="121">
        <f t="shared" si="2"/>
        <v>8438944</v>
      </c>
    </row>
    <row r="171" spans="1:7" ht="15" customHeight="1">
      <c r="A171" s="106" t="s">
        <v>365</v>
      </c>
      <c r="B171" s="107">
        <v>6800</v>
      </c>
      <c r="C171" s="108" t="s">
        <v>395</v>
      </c>
      <c r="D171" s="109">
        <v>6349447</v>
      </c>
      <c r="E171" s="110">
        <v>0</v>
      </c>
      <c r="F171" s="109">
        <v>5100000</v>
      </c>
      <c r="G171" s="110">
        <f t="shared" si="2"/>
        <v>1249447</v>
      </c>
    </row>
    <row r="172" spans="1:7" s="120" customFormat="1" ht="15" customHeight="1">
      <c r="A172" s="122" t="s">
        <v>31</v>
      </c>
      <c r="B172" s="123" t="s">
        <v>365</v>
      </c>
      <c r="C172" s="124" t="s">
        <v>32</v>
      </c>
      <c r="D172" s="125">
        <v>78639221</v>
      </c>
      <c r="E172" s="126">
        <f>E173+E191+E206+E208</f>
        <v>548971</v>
      </c>
      <c r="F172" s="126">
        <f>F173+F191+F206+F208</f>
        <v>7789617</v>
      </c>
      <c r="G172" s="126">
        <f t="shared" si="2"/>
        <v>71398575</v>
      </c>
    </row>
    <row r="173" spans="1:7" s="120" customFormat="1" ht="15" customHeight="1">
      <c r="A173" s="116">
        <v>80116</v>
      </c>
      <c r="B173" s="117" t="s">
        <v>365</v>
      </c>
      <c r="C173" s="118" t="s">
        <v>162</v>
      </c>
      <c r="D173" s="119">
        <v>10651816</v>
      </c>
      <c r="E173" s="121">
        <f>SUM(E174:E190)</f>
        <v>120000</v>
      </c>
      <c r="F173" s="121">
        <f>SUM(F174:F190)</f>
        <v>4857042</v>
      </c>
      <c r="G173" s="121">
        <f t="shared" si="2"/>
        <v>5914774</v>
      </c>
    </row>
    <row r="174" spans="1:7" ht="15" customHeight="1">
      <c r="A174" s="106" t="s">
        <v>365</v>
      </c>
      <c r="B174" s="107">
        <v>4017</v>
      </c>
      <c r="C174" s="108" t="s">
        <v>372</v>
      </c>
      <c r="D174" s="109">
        <v>111687</v>
      </c>
      <c r="E174" s="110">
        <v>0</v>
      </c>
      <c r="F174" s="109">
        <v>81071</v>
      </c>
      <c r="G174" s="110">
        <f t="shared" si="2"/>
        <v>30616</v>
      </c>
    </row>
    <row r="175" spans="1:7" ht="15" customHeight="1">
      <c r="A175" s="106" t="s">
        <v>365</v>
      </c>
      <c r="B175" s="107">
        <v>4019</v>
      </c>
      <c r="C175" s="108" t="s">
        <v>372</v>
      </c>
      <c r="D175" s="109">
        <v>19709</v>
      </c>
      <c r="E175" s="110">
        <v>0</v>
      </c>
      <c r="F175" s="109">
        <v>14306</v>
      </c>
      <c r="G175" s="110">
        <f t="shared" si="2"/>
        <v>5403</v>
      </c>
    </row>
    <row r="176" spans="1:7" ht="15" customHeight="1">
      <c r="A176" s="106" t="s">
        <v>365</v>
      </c>
      <c r="B176" s="107">
        <v>4047</v>
      </c>
      <c r="C176" s="108" t="s">
        <v>379</v>
      </c>
      <c r="D176" s="109">
        <v>11133</v>
      </c>
      <c r="E176" s="110">
        <v>0</v>
      </c>
      <c r="F176" s="109">
        <v>11133</v>
      </c>
      <c r="G176" s="110">
        <f t="shared" si="2"/>
        <v>0</v>
      </c>
    </row>
    <row r="177" spans="1:7" ht="15" customHeight="1">
      <c r="A177" s="106" t="s">
        <v>365</v>
      </c>
      <c r="B177" s="107">
        <v>4049</v>
      </c>
      <c r="C177" s="108" t="s">
        <v>379</v>
      </c>
      <c r="D177" s="109">
        <v>1964</v>
      </c>
      <c r="E177" s="110">
        <v>0</v>
      </c>
      <c r="F177" s="109">
        <v>1964</v>
      </c>
      <c r="G177" s="110">
        <f t="shared" si="2"/>
        <v>0</v>
      </c>
    </row>
    <row r="178" spans="1:7" ht="15" customHeight="1">
      <c r="A178" s="106" t="s">
        <v>365</v>
      </c>
      <c r="B178" s="107">
        <v>4117</v>
      </c>
      <c r="C178" s="108" t="s">
        <v>373</v>
      </c>
      <c r="D178" s="109">
        <v>19199</v>
      </c>
      <c r="E178" s="110">
        <v>0</v>
      </c>
      <c r="F178" s="109">
        <v>13936</v>
      </c>
      <c r="G178" s="110">
        <f t="shared" si="2"/>
        <v>5263</v>
      </c>
    </row>
    <row r="179" spans="1:7" ht="15" customHeight="1">
      <c r="A179" s="106" t="s">
        <v>365</v>
      </c>
      <c r="B179" s="107">
        <v>4119</v>
      </c>
      <c r="C179" s="108" t="s">
        <v>373</v>
      </c>
      <c r="D179" s="109">
        <v>3388</v>
      </c>
      <c r="E179" s="110">
        <v>0</v>
      </c>
      <c r="F179" s="109">
        <v>2459</v>
      </c>
      <c r="G179" s="110">
        <f t="shared" si="2"/>
        <v>929</v>
      </c>
    </row>
    <row r="180" spans="1:7" ht="28.5" customHeight="1">
      <c r="A180" s="106" t="s">
        <v>365</v>
      </c>
      <c r="B180" s="107">
        <v>4127</v>
      </c>
      <c r="C180" s="108" t="s">
        <v>374</v>
      </c>
      <c r="D180" s="109">
        <v>2737</v>
      </c>
      <c r="E180" s="110">
        <v>0</v>
      </c>
      <c r="F180" s="109">
        <v>1987</v>
      </c>
      <c r="G180" s="110">
        <f t="shared" si="2"/>
        <v>750</v>
      </c>
    </row>
    <row r="181" spans="1:7" ht="28.5" customHeight="1">
      <c r="A181" s="106" t="s">
        <v>365</v>
      </c>
      <c r="B181" s="107">
        <v>4129</v>
      </c>
      <c r="C181" s="108" t="s">
        <v>374</v>
      </c>
      <c r="D181" s="109">
        <v>483</v>
      </c>
      <c r="E181" s="110">
        <v>0</v>
      </c>
      <c r="F181" s="109">
        <v>351</v>
      </c>
      <c r="G181" s="110">
        <f t="shared" si="2"/>
        <v>132</v>
      </c>
    </row>
    <row r="182" spans="1:7" ht="15" customHeight="1">
      <c r="A182" s="106" t="s">
        <v>365</v>
      </c>
      <c r="B182" s="107">
        <v>4217</v>
      </c>
      <c r="C182" s="108" t="s">
        <v>376</v>
      </c>
      <c r="D182" s="109">
        <v>14308</v>
      </c>
      <c r="E182" s="110">
        <v>0</v>
      </c>
      <c r="F182" s="109">
        <v>14308</v>
      </c>
      <c r="G182" s="110">
        <f t="shared" si="2"/>
        <v>0</v>
      </c>
    </row>
    <row r="183" spans="1:7" ht="15" customHeight="1">
      <c r="A183" s="106" t="s">
        <v>365</v>
      </c>
      <c r="B183" s="107">
        <v>4219</v>
      </c>
      <c r="C183" s="108" t="s">
        <v>376</v>
      </c>
      <c r="D183" s="109">
        <v>2525</v>
      </c>
      <c r="E183" s="110">
        <v>0</v>
      </c>
      <c r="F183" s="109">
        <v>2525</v>
      </c>
      <c r="G183" s="110">
        <f t="shared" si="2"/>
        <v>0</v>
      </c>
    </row>
    <row r="184" spans="1:7" ht="15" customHeight="1">
      <c r="A184" s="106" t="s">
        <v>365</v>
      </c>
      <c r="B184" s="107">
        <v>4267</v>
      </c>
      <c r="C184" s="108" t="s">
        <v>377</v>
      </c>
      <c r="D184" s="109">
        <v>9323</v>
      </c>
      <c r="E184" s="110">
        <v>0</v>
      </c>
      <c r="F184" s="109">
        <v>9323</v>
      </c>
      <c r="G184" s="110">
        <f t="shared" si="2"/>
        <v>0</v>
      </c>
    </row>
    <row r="185" spans="1:7" ht="15" customHeight="1">
      <c r="A185" s="106" t="s">
        <v>365</v>
      </c>
      <c r="B185" s="107">
        <v>4269</v>
      </c>
      <c r="C185" s="108" t="s">
        <v>377</v>
      </c>
      <c r="D185" s="109">
        <v>1646</v>
      </c>
      <c r="E185" s="110">
        <v>0</v>
      </c>
      <c r="F185" s="109">
        <v>1646</v>
      </c>
      <c r="G185" s="110">
        <f t="shared" si="2"/>
        <v>0</v>
      </c>
    </row>
    <row r="186" spans="1:7" ht="15" customHeight="1">
      <c r="A186" s="106" t="s">
        <v>365</v>
      </c>
      <c r="B186" s="107">
        <v>4307</v>
      </c>
      <c r="C186" s="108" t="s">
        <v>368</v>
      </c>
      <c r="D186" s="109">
        <v>31478</v>
      </c>
      <c r="E186" s="110">
        <v>0</v>
      </c>
      <c r="F186" s="109">
        <v>28928</v>
      </c>
      <c r="G186" s="110">
        <f t="shared" si="2"/>
        <v>2550</v>
      </c>
    </row>
    <row r="187" spans="1:7" ht="15" customHeight="1">
      <c r="A187" s="106" t="s">
        <v>365</v>
      </c>
      <c r="B187" s="107">
        <v>4309</v>
      </c>
      <c r="C187" s="108" t="s">
        <v>368</v>
      </c>
      <c r="D187" s="109">
        <v>5555</v>
      </c>
      <c r="E187" s="110">
        <v>0</v>
      </c>
      <c r="F187" s="109">
        <v>5105</v>
      </c>
      <c r="G187" s="110">
        <f t="shared" si="2"/>
        <v>450</v>
      </c>
    </row>
    <row r="188" spans="1:7" ht="15" customHeight="1">
      <c r="A188" s="106" t="s">
        <v>365</v>
      </c>
      <c r="B188" s="107">
        <v>6050</v>
      </c>
      <c r="C188" s="108" t="s">
        <v>381</v>
      </c>
      <c r="D188" s="109">
        <v>0</v>
      </c>
      <c r="E188" s="110">
        <v>120000</v>
      </c>
      <c r="F188" s="109">
        <v>0</v>
      </c>
      <c r="G188" s="110">
        <f t="shared" si="2"/>
        <v>120000</v>
      </c>
    </row>
    <row r="189" spans="1:7" ht="15" customHeight="1">
      <c r="A189" s="106" t="s">
        <v>365</v>
      </c>
      <c r="B189" s="107">
        <v>6057</v>
      </c>
      <c r="C189" s="108" t="s">
        <v>381</v>
      </c>
      <c r="D189" s="109">
        <v>4307800</v>
      </c>
      <c r="E189" s="110">
        <v>0</v>
      </c>
      <c r="F189" s="109">
        <v>3967800</v>
      </c>
      <c r="G189" s="110">
        <f t="shared" si="2"/>
        <v>340000</v>
      </c>
    </row>
    <row r="190" spans="1:7" ht="15" customHeight="1">
      <c r="A190" s="106" t="s">
        <v>365</v>
      </c>
      <c r="B190" s="107">
        <v>6059</v>
      </c>
      <c r="C190" s="108" t="s">
        <v>381</v>
      </c>
      <c r="D190" s="109">
        <v>760200</v>
      </c>
      <c r="E190" s="110">
        <v>0</v>
      </c>
      <c r="F190" s="109">
        <v>700200</v>
      </c>
      <c r="G190" s="110">
        <f t="shared" si="2"/>
        <v>60000</v>
      </c>
    </row>
    <row r="191" spans="1:7" s="120" customFormat="1" ht="42" customHeight="1">
      <c r="A191" s="116">
        <v>80140</v>
      </c>
      <c r="B191" s="117" t="s">
        <v>365</v>
      </c>
      <c r="C191" s="118" t="s">
        <v>213</v>
      </c>
      <c r="D191" s="119">
        <v>4340039</v>
      </c>
      <c r="E191" s="121">
        <f>SUM(E192:E205)</f>
        <v>0</v>
      </c>
      <c r="F191" s="121">
        <f>SUM(F192:F205)</f>
        <v>1177373</v>
      </c>
      <c r="G191" s="121">
        <f t="shared" si="2"/>
        <v>3162666</v>
      </c>
    </row>
    <row r="192" spans="1:7" ht="15" customHeight="1">
      <c r="A192" s="106" t="s">
        <v>365</v>
      </c>
      <c r="B192" s="107">
        <v>4017</v>
      </c>
      <c r="C192" s="108" t="s">
        <v>372</v>
      </c>
      <c r="D192" s="109">
        <v>338862</v>
      </c>
      <c r="E192" s="110">
        <v>0</v>
      </c>
      <c r="F192" s="109">
        <v>299168</v>
      </c>
      <c r="G192" s="110">
        <f t="shared" si="2"/>
        <v>39694</v>
      </c>
    </row>
    <row r="193" spans="1:7" ht="15" customHeight="1">
      <c r="A193" s="106" t="s">
        <v>365</v>
      </c>
      <c r="B193" s="107">
        <v>4019</v>
      </c>
      <c r="C193" s="108" t="s">
        <v>372</v>
      </c>
      <c r="D193" s="109">
        <v>59799</v>
      </c>
      <c r="E193" s="110">
        <v>0</v>
      </c>
      <c r="F193" s="109">
        <v>52794</v>
      </c>
      <c r="G193" s="110">
        <f t="shared" si="2"/>
        <v>7005</v>
      </c>
    </row>
    <row r="194" spans="1:7" ht="15" customHeight="1">
      <c r="A194" s="106" t="s">
        <v>365</v>
      </c>
      <c r="B194" s="107">
        <v>4117</v>
      </c>
      <c r="C194" s="108" t="s">
        <v>373</v>
      </c>
      <c r="D194" s="109">
        <v>58251</v>
      </c>
      <c r="E194" s="110">
        <v>0</v>
      </c>
      <c r="F194" s="109">
        <v>51427</v>
      </c>
      <c r="G194" s="110">
        <f t="shared" si="2"/>
        <v>6824</v>
      </c>
    </row>
    <row r="195" spans="1:7" ht="15" customHeight="1">
      <c r="A195" s="106" t="s">
        <v>365</v>
      </c>
      <c r="B195" s="107">
        <v>4119</v>
      </c>
      <c r="C195" s="108" t="s">
        <v>373</v>
      </c>
      <c r="D195" s="109">
        <v>10280</v>
      </c>
      <c r="E195" s="110">
        <v>0</v>
      </c>
      <c r="F195" s="109">
        <v>9076</v>
      </c>
      <c r="G195" s="110">
        <f t="shared" si="2"/>
        <v>1204</v>
      </c>
    </row>
    <row r="196" spans="1:7" ht="28.5" customHeight="1">
      <c r="A196" s="106" t="s">
        <v>365</v>
      </c>
      <c r="B196" s="107">
        <v>4127</v>
      </c>
      <c r="C196" s="108" t="s">
        <v>374</v>
      </c>
      <c r="D196" s="109">
        <v>8302</v>
      </c>
      <c r="E196" s="110">
        <v>0</v>
      </c>
      <c r="F196" s="109">
        <v>7329</v>
      </c>
      <c r="G196" s="110">
        <f t="shared" si="2"/>
        <v>973</v>
      </c>
    </row>
    <row r="197" spans="1:7" ht="28.5" customHeight="1">
      <c r="A197" s="106" t="s">
        <v>365</v>
      </c>
      <c r="B197" s="107">
        <v>4129</v>
      </c>
      <c r="C197" s="108" t="s">
        <v>374</v>
      </c>
      <c r="D197" s="109">
        <v>1465</v>
      </c>
      <c r="E197" s="110">
        <v>0</v>
      </c>
      <c r="F197" s="109">
        <v>1293</v>
      </c>
      <c r="G197" s="110">
        <f t="shared" si="2"/>
        <v>172</v>
      </c>
    </row>
    <row r="198" spans="1:7" ht="15" customHeight="1">
      <c r="A198" s="106" t="s">
        <v>365</v>
      </c>
      <c r="B198" s="107">
        <v>4307</v>
      </c>
      <c r="C198" s="108" t="s">
        <v>368</v>
      </c>
      <c r="D198" s="109">
        <v>21250</v>
      </c>
      <c r="E198" s="110">
        <v>0</v>
      </c>
      <c r="F198" s="109">
        <v>14693</v>
      </c>
      <c r="G198" s="110">
        <f t="shared" si="2"/>
        <v>6557</v>
      </c>
    </row>
    <row r="199" spans="1:7" ht="15" customHeight="1">
      <c r="A199" s="106" t="s">
        <v>365</v>
      </c>
      <c r="B199" s="107">
        <v>4309</v>
      </c>
      <c r="C199" s="108" t="s">
        <v>368</v>
      </c>
      <c r="D199" s="109">
        <v>3750</v>
      </c>
      <c r="E199" s="110">
        <v>0</v>
      </c>
      <c r="F199" s="109">
        <v>2593</v>
      </c>
      <c r="G199" s="110">
        <f t="shared" si="2"/>
        <v>1157</v>
      </c>
    </row>
    <row r="200" spans="1:7" ht="15" customHeight="1">
      <c r="A200" s="106" t="s">
        <v>365</v>
      </c>
      <c r="B200" s="107">
        <v>6050</v>
      </c>
      <c r="C200" s="108" t="s">
        <v>381</v>
      </c>
      <c r="D200" s="109">
        <v>735255</v>
      </c>
      <c r="E200" s="110">
        <v>0</v>
      </c>
      <c r="F200" s="109">
        <v>474255</v>
      </c>
      <c r="G200" s="110">
        <f t="shared" si="2"/>
        <v>261000</v>
      </c>
    </row>
    <row r="201" spans="1:7" ht="15" customHeight="1">
      <c r="A201" s="106" t="s">
        <v>365</v>
      </c>
      <c r="B201" s="107">
        <v>6057</v>
      </c>
      <c r="C201" s="108" t="s">
        <v>381</v>
      </c>
      <c r="D201" s="109">
        <v>544434</v>
      </c>
      <c r="E201" s="110">
        <v>0</v>
      </c>
      <c r="F201" s="109">
        <v>119434</v>
      </c>
      <c r="G201" s="110">
        <f t="shared" si="2"/>
        <v>425000</v>
      </c>
    </row>
    <row r="202" spans="1:7" ht="15" customHeight="1">
      <c r="A202" s="106" t="s">
        <v>365</v>
      </c>
      <c r="B202" s="107">
        <v>6059</v>
      </c>
      <c r="C202" s="108" t="s">
        <v>381</v>
      </c>
      <c r="D202" s="109">
        <v>96077</v>
      </c>
      <c r="E202" s="110">
        <v>0</v>
      </c>
      <c r="F202" s="109">
        <v>21077</v>
      </c>
      <c r="G202" s="110">
        <f t="shared" si="2"/>
        <v>75000</v>
      </c>
    </row>
    <row r="203" spans="1:7" ht="15" customHeight="1">
      <c r="A203" s="106" t="s">
        <v>365</v>
      </c>
      <c r="B203" s="107">
        <v>6060</v>
      </c>
      <c r="C203" s="108" t="s">
        <v>383</v>
      </c>
      <c r="D203" s="109">
        <v>3306</v>
      </c>
      <c r="E203" s="110">
        <v>0</v>
      </c>
      <c r="F203" s="109">
        <v>3306</v>
      </c>
      <c r="G203" s="110">
        <f t="shared" si="2"/>
        <v>0</v>
      </c>
    </row>
    <row r="204" spans="1:7" ht="15" customHeight="1">
      <c r="A204" s="106" t="s">
        <v>365</v>
      </c>
      <c r="B204" s="107">
        <v>6067</v>
      </c>
      <c r="C204" s="108" t="s">
        <v>383</v>
      </c>
      <c r="D204" s="109">
        <v>102789</v>
      </c>
      <c r="E204" s="110">
        <v>0</v>
      </c>
      <c r="F204" s="109">
        <v>102789</v>
      </c>
      <c r="G204" s="110">
        <f aca="true" t="shared" si="3" ref="G204:G267">D204+E204-F204</f>
        <v>0</v>
      </c>
    </row>
    <row r="205" spans="1:7" ht="15" customHeight="1">
      <c r="A205" s="106" t="s">
        <v>365</v>
      </c>
      <c r="B205" s="107">
        <v>6069</v>
      </c>
      <c r="C205" s="108" t="s">
        <v>383</v>
      </c>
      <c r="D205" s="109">
        <v>18139</v>
      </c>
      <c r="E205" s="110">
        <v>0</v>
      </c>
      <c r="F205" s="109">
        <v>18139</v>
      </c>
      <c r="G205" s="110">
        <f t="shared" si="3"/>
        <v>0</v>
      </c>
    </row>
    <row r="206" spans="1:7" s="120" customFormat="1" ht="15" customHeight="1">
      <c r="A206" s="116">
        <v>80146</v>
      </c>
      <c r="B206" s="117" t="s">
        <v>365</v>
      </c>
      <c r="C206" s="118" t="s">
        <v>168</v>
      </c>
      <c r="D206" s="119">
        <v>7807698</v>
      </c>
      <c r="E206" s="121">
        <f>E207</f>
        <v>0</v>
      </c>
      <c r="F206" s="121">
        <f>F207</f>
        <v>73428</v>
      </c>
      <c r="G206" s="121">
        <f t="shared" si="3"/>
        <v>7734270</v>
      </c>
    </row>
    <row r="207" spans="1:7" ht="15" customHeight="1">
      <c r="A207" s="106" t="s">
        <v>365</v>
      </c>
      <c r="B207" s="107">
        <v>4300</v>
      </c>
      <c r="C207" s="108" t="s">
        <v>368</v>
      </c>
      <c r="D207" s="109">
        <v>451284</v>
      </c>
      <c r="E207" s="110">
        <v>0</v>
      </c>
      <c r="F207" s="109">
        <v>73428</v>
      </c>
      <c r="G207" s="110">
        <f t="shared" si="3"/>
        <v>377856</v>
      </c>
    </row>
    <row r="208" spans="1:7" s="120" customFormat="1" ht="15" customHeight="1">
      <c r="A208" s="116">
        <v>80195</v>
      </c>
      <c r="B208" s="117" t="s">
        <v>365</v>
      </c>
      <c r="C208" s="118" t="s">
        <v>52</v>
      </c>
      <c r="D208" s="119">
        <v>12559324</v>
      </c>
      <c r="E208" s="121">
        <f>SUM(E209:E229)</f>
        <v>428971</v>
      </c>
      <c r="F208" s="121">
        <f>SUM(F209:F229)</f>
        <v>1681774</v>
      </c>
      <c r="G208" s="121">
        <f t="shared" si="3"/>
        <v>11306521</v>
      </c>
    </row>
    <row r="209" spans="1:7" ht="65.25" customHeight="1">
      <c r="A209" s="111" t="s">
        <v>365</v>
      </c>
      <c r="B209" s="112">
        <v>2057</v>
      </c>
      <c r="C209" s="113" t="s">
        <v>412</v>
      </c>
      <c r="D209" s="114">
        <v>3944852</v>
      </c>
      <c r="E209" s="115">
        <v>0</v>
      </c>
      <c r="F209" s="114">
        <v>1308405</v>
      </c>
      <c r="G209" s="115">
        <f t="shared" si="3"/>
        <v>2636447</v>
      </c>
    </row>
    <row r="210" spans="1:7" ht="66" customHeight="1">
      <c r="A210" s="305" t="s">
        <v>365</v>
      </c>
      <c r="B210" s="306">
        <v>2059</v>
      </c>
      <c r="C210" s="307" t="s">
        <v>412</v>
      </c>
      <c r="D210" s="308">
        <v>3874946</v>
      </c>
      <c r="E210" s="309">
        <v>0</v>
      </c>
      <c r="F210" s="308">
        <v>220344</v>
      </c>
      <c r="G210" s="309">
        <f t="shared" si="3"/>
        <v>3654602</v>
      </c>
    </row>
    <row r="211" spans="1:7" ht="15" customHeight="1">
      <c r="A211" s="106" t="s">
        <v>365</v>
      </c>
      <c r="B211" s="107">
        <v>4017</v>
      </c>
      <c r="C211" s="108" t="s">
        <v>372</v>
      </c>
      <c r="D211" s="109">
        <v>487184</v>
      </c>
      <c r="E211" s="110">
        <v>0</v>
      </c>
      <c r="F211" s="109">
        <v>53111</v>
      </c>
      <c r="G211" s="110">
        <f t="shared" si="3"/>
        <v>434073</v>
      </c>
    </row>
    <row r="212" spans="1:7" ht="15" customHeight="1">
      <c r="A212" s="106" t="s">
        <v>365</v>
      </c>
      <c r="B212" s="107">
        <v>4019</v>
      </c>
      <c r="C212" s="108" t="s">
        <v>372</v>
      </c>
      <c r="D212" s="109">
        <v>53021</v>
      </c>
      <c r="E212" s="110">
        <v>0</v>
      </c>
      <c r="F212" s="109">
        <v>3272</v>
      </c>
      <c r="G212" s="110">
        <f t="shared" si="3"/>
        <v>49749</v>
      </c>
    </row>
    <row r="213" spans="1:7" ht="15" customHeight="1">
      <c r="A213" s="106" t="s">
        <v>365</v>
      </c>
      <c r="B213" s="107">
        <v>4117</v>
      </c>
      <c r="C213" s="108" t="s">
        <v>373</v>
      </c>
      <c r="D213" s="109">
        <v>84273</v>
      </c>
      <c r="E213" s="110">
        <v>0</v>
      </c>
      <c r="F213" s="109">
        <v>4308</v>
      </c>
      <c r="G213" s="110">
        <f t="shared" si="3"/>
        <v>79965</v>
      </c>
    </row>
    <row r="214" spans="1:7" ht="15" customHeight="1">
      <c r="A214" s="106" t="s">
        <v>365</v>
      </c>
      <c r="B214" s="107">
        <v>4119</v>
      </c>
      <c r="C214" s="108" t="s">
        <v>373</v>
      </c>
      <c r="D214" s="109">
        <v>9368</v>
      </c>
      <c r="E214" s="110">
        <v>0</v>
      </c>
      <c r="F214" s="109">
        <v>25</v>
      </c>
      <c r="G214" s="110">
        <f t="shared" si="3"/>
        <v>9343</v>
      </c>
    </row>
    <row r="215" spans="1:7" ht="28.5" customHeight="1">
      <c r="A215" s="106" t="s">
        <v>365</v>
      </c>
      <c r="B215" s="107">
        <v>4127</v>
      </c>
      <c r="C215" s="108" t="s">
        <v>374</v>
      </c>
      <c r="D215" s="109">
        <v>11602</v>
      </c>
      <c r="E215" s="110">
        <v>0</v>
      </c>
      <c r="F215" s="109">
        <v>199</v>
      </c>
      <c r="G215" s="110">
        <f t="shared" si="3"/>
        <v>11403</v>
      </c>
    </row>
    <row r="216" spans="1:7" ht="28.5" customHeight="1">
      <c r="A216" s="106" t="s">
        <v>365</v>
      </c>
      <c r="B216" s="107">
        <v>4129</v>
      </c>
      <c r="C216" s="108" t="s">
        <v>374</v>
      </c>
      <c r="D216" s="109">
        <v>953</v>
      </c>
      <c r="E216" s="110">
        <v>38</v>
      </c>
      <c r="F216" s="109">
        <v>0</v>
      </c>
      <c r="G216" s="110">
        <f t="shared" si="3"/>
        <v>991</v>
      </c>
    </row>
    <row r="217" spans="1:7" ht="15" customHeight="1">
      <c r="A217" s="106" t="s">
        <v>365</v>
      </c>
      <c r="B217" s="107">
        <v>4177</v>
      </c>
      <c r="C217" s="108" t="s">
        <v>375</v>
      </c>
      <c r="D217" s="109">
        <v>84631</v>
      </c>
      <c r="E217" s="110">
        <v>84446</v>
      </c>
      <c r="F217" s="109">
        <v>0</v>
      </c>
      <c r="G217" s="110">
        <f t="shared" si="3"/>
        <v>169077</v>
      </c>
    </row>
    <row r="218" spans="1:7" ht="15" customHeight="1">
      <c r="A218" s="106" t="s">
        <v>365</v>
      </c>
      <c r="B218" s="107">
        <v>4179</v>
      </c>
      <c r="C218" s="108" t="s">
        <v>375</v>
      </c>
      <c r="D218" s="109">
        <v>10357</v>
      </c>
      <c r="E218" s="110">
        <v>9978</v>
      </c>
      <c r="F218" s="109">
        <v>0</v>
      </c>
      <c r="G218" s="110">
        <f t="shared" si="3"/>
        <v>20335</v>
      </c>
    </row>
    <row r="219" spans="1:7" ht="15" customHeight="1">
      <c r="A219" s="106" t="s">
        <v>365</v>
      </c>
      <c r="B219" s="107">
        <v>4217</v>
      </c>
      <c r="C219" s="108" t="s">
        <v>376</v>
      </c>
      <c r="D219" s="109">
        <v>15278</v>
      </c>
      <c r="E219" s="110">
        <v>0</v>
      </c>
      <c r="F219" s="109">
        <v>11110</v>
      </c>
      <c r="G219" s="110">
        <f t="shared" si="3"/>
        <v>4168</v>
      </c>
    </row>
    <row r="220" spans="1:7" ht="15" customHeight="1">
      <c r="A220" s="106" t="s">
        <v>365</v>
      </c>
      <c r="B220" s="107">
        <v>4219</v>
      </c>
      <c r="C220" s="108" t="s">
        <v>376</v>
      </c>
      <c r="D220" s="109">
        <v>33</v>
      </c>
      <c r="E220" s="110">
        <v>321</v>
      </c>
      <c r="F220" s="109">
        <v>0</v>
      </c>
      <c r="G220" s="110">
        <f t="shared" si="3"/>
        <v>354</v>
      </c>
    </row>
    <row r="221" spans="1:7" ht="15" customHeight="1">
      <c r="A221" s="106" t="s">
        <v>365</v>
      </c>
      <c r="B221" s="107">
        <v>4247</v>
      </c>
      <c r="C221" s="108" t="s">
        <v>396</v>
      </c>
      <c r="D221" s="109">
        <v>74656</v>
      </c>
      <c r="E221" s="110">
        <v>25243</v>
      </c>
      <c r="F221" s="109">
        <v>0</v>
      </c>
      <c r="G221" s="110">
        <f t="shared" si="3"/>
        <v>99899</v>
      </c>
    </row>
    <row r="222" spans="1:7" ht="15" customHeight="1">
      <c r="A222" s="106" t="s">
        <v>365</v>
      </c>
      <c r="B222" s="107">
        <v>4249</v>
      </c>
      <c r="C222" s="108" t="s">
        <v>396</v>
      </c>
      <c r="D222" s="109">
        <v>9152</v>
      </c>
      <c r="E222" s="110">
        <v>4708</v>
      </c>
      <c r="F222" s="109">
        <v>0</v>
      </c>
      <c r="G222" s="110">
        <f t="shared" si="3"/>
        <v>13860</v>
      </c>
    </row>
    <row r="223" spans="1:7" ht="15" customHeight="1">
      <c r="A223" s="106" t="s">
        <v>365</v>
      </c>
      <c r="B223" s="107">
        <v>4267</v>
      </c>
      <c r="C223" s="108" t="s">
        <v>377</v>
      </c>
      <c r="D223" s="109">
        <v>4998</v>
      </c>
      <c r="E223" s="110">
        <v>2405</v>
      </c>
      <c r="F223" s="109">
        <v>0</v>
      </c>
      <c r="G223" s="110">
        <f t="shared" si="3"/>
        <v>7403</v>
      </c>
    </row>
    <row r="224" spans="1:7" ht="15" customHeight="1">
      <c r="A224" s="106" t="s">
        <v>365</v>
      </c>
      <c r="B224" s="107">
        <v>4269</v>
      </c>
      <c r="C224" s="108" t="s">
        <v>377</v>
      </c>
      <c r="D224" s="109">
        <v>304</v>
      </c>
      <c r="E224" s="110">
        <v>282</v>
      </c>
      <c r="F224" s="109">
        <v>0</v>
      </c>
      <c r="G224" s="110">
        <f t="shared" si="3"/>
        <v>586</v>
      </c>
    </row>
    <row r="225" spans="1:7" ht="15" customHeight="1">
      <c r="A225" s="106" t="s">
        <v>365</v>
      </c>
      <c r="B225" s="107">
        <v>4307</v>
      </c>
      <c r="C225" s="108" t="s">
        <v>368</v>
      </c>
      <c r="D225" s="109">
        <v>802058</v>
      </c>
      <c r="E225" s="110">
        <v>263796</v>
      </c>
      <c r="F225" s="109">
        <v>0</v>
      </c>
      <c r="G225" s="110">
        <f t="shared" si="3"/>
        <v>1065854</v>
      </c>
    </row>
    <row r="226" spans="1:7" ht="15" customHeight="1">
      <c r="A226" s="106" t="s">
        <v>365</v>
      </c>
      <c r="B226" s="107">
        <v>4309</v>
      </c>
      <c r="C226" s="108" t="s">
        <v>368</v>
      </c>
      <c r="D226" s="109">
        <v>84759</v>
      </c>
      <c r="E226" s="110">
        <v>37434</v>
      </c>
      <c r="F226" s="109">
        <v>0</v>
      </c>
      <c r="G226" s="110">
        <f t="shared" si="3"/>
        <v>122193</v>
      </c>
    </row>
    <row r="227" spans="1:7" ht="15" customHeight="1">
      <c r="A227" s="106" t="s">
        <v>365</v>
      </c>
      <c r="B227" s="107">
        <v>4417</v>
      </c>
      <c r="C227" s="108" t="s">
        <v>384</v>
      </c>
      <c r="D227" s="109">
        <v>20885</v>
      </c>
      <c r="E227" s="110">
        <v>270</v>
      </c>
      <c r="F227" s="109">
        <v>0</v>
      </c>
      <c r="G227" s="110">
        <f t="shared" si="3"/>
        <v>21155</v>
      </c>
    </row>
    <row r="228" spans="1:7" ht="15" customHeight="1">
      <c r="A228" s="106" t="s">
        <v>365</v>
      </c>
      <c r="B228" s="107">
        <v>4419</v>
      </c>
      <c r="C228" s="108" t="s">
        <v>384</v>
      </c>
      <c r="D228" s="109">
        <v>2560</v>
      </c>
      <c r="E228" s="110">
        <v>50</v>
      </c>
      <c r="F228" s="109">
        <v>0</v>
      </c>
      <c r="G228" s="110">
        <f t="shared" si="3"/>
        <v>2610</v>
      </c>
    </row>
    <row r="229" spans="1:7" ht="15" customHeight="1">
      <c r="A229" s="106" t="s">
        <v>365</v>
      </c>
      <c r="B229" s="107">
        <v>6067</v>
      </c>
      <c r="C229" s="108" t="s">
        <v>383</v>
      </c>
      <c r="D229" s="109">
        <v>81000</v>
      </c>
      <c r="E229" s="110">
        <v>0</v>
      </c>
      <c r="F229" s="109">
        <v>81000</v>
      </c>
      <c r="G229" s="110">
        <f t="shared" si="3"/>
        <v>0</v>
      </c>
    </row>
    <row r="230" spans="1:7" s="120" customFormat="1" ht="15" customHeight="1">
      <c r="A230" s="122" t="s">
        <v>34</v>
      </c>
      <c r="B230" s="123" t="s">
        <v>365</v>
      </c>
      <c r="C230" s="124" t="s">
        <v>35</v>
      </c>
      <c r="D230" s="125">
        <v>35209993</v>
      </c>
      <c r="E230" s="126">
        <f>E231+E233+E235+E237</f>
        <v>3595874</v>
      </c>
      <c r="F230" s="126">
        <f>F231+F233+F235+F237</f>
        <v>268</v>
      </c>
      <c r="G230" s="126">
        <f t="shared" si="3"/>
        <v>38805599</v>
      </c>
    </row>
    <row r="231" spans="1:7" s="120" customFormat="1" ht="15" customHeight="1">
      <c r="A231" s="116">
        <v>85111</v>
      </c>
      <c r="B231" s="117" t="s">
        <v>365</v>
      </c>
      <c r="C231" s="118" t="s">
        <v>173</v>
      </c>
      <c r="D231" s="119">
        <v>464563</v>
      </c>
      <c r="E231" s="121">
        <f>E232</f>
        <v>3476942</v>
      </c>
      <c r="F231" s="121">
        <f>F232</f>
        <v>0</v>
      </c>
      <c r="G231" s="121">
        <f t="shared" si="3"/>
        <v>3941505</v>
      </c>
    </row>
    <row r="232" spans="1:7" ht="66.75" customHeight="1">
      <c r="A232" s="106" t="s">
        <v>365</v>
      </c>
      <c r="B232" s="107">
        <v>6209</v>
      </c>
      <c r="C232" s="108" t="s">
        <v>390</v>
      </c>
      <c r="D232" s="109">
        <v>0</v>
      </c>
      <c r="E232" s="110">
        <v>3476942</v>
      </c>
      <c r="F232" s="109">
        <v>0</v>
      </c>
      <c r="G232" s="110">
        <f t="shared" si="3"/>
        <v>3476942</v>
      </c>
    </row>
    <row r="233" spans="1:7" s="120" customFormat="1" ht="15" customHeight="1">
      <c r="A233" s="116">
        <v>85148</v>
      </c>
      <c r="B233" s="117" t="s">
        <v>365</v>
      </c>
      <c r="C233" s="118" t="s">
        <v>175</v>
      </c>
      <c r="D233" s="119">
        <v>3350000</v>
      </c>
      <c r="E233" s="121">
        <f>E234</f>
        <v>96637</v>
      </c>
      <c r="F233" s="121">
        <f>F234</f>
        <v>0</v>
      </c>
      <c r="G233" s="121">
        <f t="shared" si="3"/>
        <v>3446637</v>
      </c>
    </row>
    <row r="234" spans="1:7" ht="43.5" customHeight="1">
      <c r="A234" s="106" t="s">
        <v>365</v>
      </c>
      <c r="B234" s="107">
        <v>6220</v>
      </c>
      <c r="C234" s="108" t="s">
        <v>391</v>
      </c>
      <c r="D234" s="109">
        <v>0</v>
      </c>
      <c r="E234" s="110">
        <v>96637</v>
      </c>
      <c r="F234" s="109">
        <v>0</v>
      </c>
      <c r="G234" s="110">
        <f t="shared" si="3"/>
        <v>96637</v>
      </c>
    </row>
    <row r="235" spans="1:7" s="120" customFormat="1" ht="15" customHeight="1">
      <c r="A235" s="116">
        <v>85157</v>
      </c>
      <c r="B235" s="117" t="s">
        <v>365</v>
      </c>
      <c r="C235" s="118" t="s">
        <v>362</v>
      </c>
      <c r="D235" s="119">
        <v>0</v>
      </c>
      <c r="E235" s="121">
        <f>E236</f>
        <v>16359</v>
      </c>
      <c r="F235" s="121">
        <f>F236</f>
        <v>0</v>
      </c>
      <c r="G235" s="121">
        <f t="shared" si="3"/>
        <v>16359</v>
      </c>
    </row>
    <row r="236" spans="1:7" ht="15" customHeight="1">
      <c r="A236" s="106" t="s">
        <v>365</v>
      </c>
      <c r="B236" s="107">
        <v>4210</v>
      </c>
      <c r="C236" s="108" t="s">
        <v>376</v>
      </c>
      <c r="D236" s="109">
        <v>0</v>
      </c>
      <c r="E236" s="110">
        <v>16359</v>
      </c>
      <c r="F236" s="109">
        <v>0</v>
      </c>
      <c r="G236" s="110">
        <f t="shared" si="3"/>
        <v>16359</v>
      </c>
    </row>
    <row r="237" spans="1:7" s="120" customFormat="1" ht="15" customHeight="1">
      <c r="A237" s="116">
        <v>85195</v>
      </c>
      <c r="B237" s="117" t="s">
        <v>365</v>
      </c>
      <c r="C237" s="118" t="s">
        <v>52</v>
      </c>
      <c r="D237" s="119">
        <v>24596302</v>
      </c>
      <c r="E237" s="121">
        <f>SUM(E238:E249)</f>
        <v>5936</v>
      </c>
      <c r="F237" s="121">
        <f>SUM(F238:F249)</f>
        <v>268</v>
      </c>
      <c r="G237" s="121">
        <f t="shared" si="3"/>
        <v>24601970</v>
      </c>
    </row>
    <row r="238" spans="1:7" ht="15" customHeight="1">
      <c r="A238" s="106" t="s">
        <v>365</v>
      </c>
      <c r="B238" s="107">
        <v>4017</v>
      </c>
      <c r="C238" s="108" t="s">
        <v>372</v>
      </c>
      <c r="D238" s="109">
        <v>65148</v>
      </c>
      <c r="E238" s="110">
        <v>71</v>
      </c>
      <c r="F238" s="109">
        <v>0</v>
      </c>
      <c r="G238" s="110">
        <f t="shared" si="3"/>
        <v>65219</v>
      </c>
    </row>
    <row r="239" spans="1:7" ht="15" customHeight="1">
      <c r="A239" s="106" t="s">
        <v>365</v>
      </c>
      <c r="B239" s="107">
        <v>4019</v>
      </c>
      <c r="C239" s="108" t="s">
        <v>372</v>
      </c>
      <c r="D239" s="109">
        <v>11081</v>
      </c>
      <c r="E239" s="110">
        <v>0</v>
      </c>
      <c r="F239" s="109">
        <v>71</v>
      </c>
      <c r="G239" s="110">
        <f t="shared" si="3"/>
        <v>11010</v>
      </c>
    </row>
    <row r="240" spans="1:7" ht="15" customHeight="1">
      <c r="A240" s="106" t="s">
        <v>365</v>
      </c>
      <c r="B240" s="107">
        <v>4117</v>
      </c>
      <c r="C240" s="108" t="s">
        <v>373</v>
      </c>
      <c r="D240" s="109">
        <v>11199</v>
      </c>
      <c r="E240" s="110">
        <v>12</v>
      </c>
      <c r="F240" s="109">
        <v>0</v>
      </c>
      <c r="G240" s="110">
        <f t="shared" si="3"/>
        <v>11211</v>
      </c>
    </row>
    <row r="241" spans="1:7" ht="15" customHeight="1">
      <c r="A241" s="106" t="s">
        <v>365</v>
      </c>
      <c r="B241" s="107">
        <v>4119</v>
      </c>
      <c r="C241" s="108" t="s">
        <v>373</v>
      </c>
      <c r="D241" s="109">
        <v>1905</v>
      </c>
      <c r="E241" s="110">
        <v>0</v>
      </c>
      <c r="F241" s="109">
        <v>12</v>
      </c>
      <c r="G241" s="110">
        <f t="shared" si="3"/>
        <v>1893</v>
      </c>
    </row>
    <row r="242" spans="1:7" ht="28.5" customHeight="1">
      <c r="A242" s="106" t="s">
        <v>365</v>
      </c>
      <c r="B242" s="107">
        <v>4127</v>
      </c>
      <c r="C242" s="108" t="s">
        <v>374</v>
      </c>
      <c r="D242" s="109">
        <v>1595</v>
      </c>
      <c r="E242" s="110">
        <v>2</v>
      </c>
      <c r="F242" s="109">
        <v>0</v>
      </c>
      <c r="G242" s="110">
        <f t="shared" si="3"/>
        <v>1597</v>
      </c>
    </row>
    <row r="243" spans="1:7" ht="28.5" customHeight="1">
      <c r="A243" s="106" t="s">
        <v>365</v>
      </c>
      <c r="B243" s="107">
        <v>4129</v>
      </c>
      <c r="C243" s="108" t="s">
        <v>374</v>
      </c>
      <c r="D243" s="109">
        <v>272</v>
      </c>
      <c r="E243" s="110">
        <v>0</v>
      </c>
      <c r="F243" s="109">
        <v>2</v>
      </c>
      <c r="G243" s="110">
        <f t="shared" si="3"/>
        <v>270</v>
      </c>
    </row>
    <row r="244" spans="1:7" ht="15" customHeight="1">
      <c r="A244" s="106" t="s">
        <v>365</v>
      </c>
      <c r="B244" s="107">
        <v>4177</v>
      </c>
      <c r="C244" s="108" t="s">
        <v>375</v>
      </c>
      <c r="D244" s="109">
        <v>10256</v>
      </c>
      <c r="E244" s="110">
        <v>175</v>
      </c>
      <c r="F244" s="109">
        <v>0</v>
      </c>
      <c r="G244" s="110">
        <f t="shared" si="3"/>
        <v>10431</v>
      </c>
    </row>
    <row r="245" spans="1:7" ht="15" customHeight="1">
      <c r="A245" s="106" t="s">
        <v>365</v>
      </c>
      <c r="B245" s="107">
        <v>4179</v>
      </c>
      <c r="C245" s="108" t="s">
        <v>375</v>
      </c>
      <c r="D245" s="109">
        <v>794</v>
      </c>
      <c r="E245" s="110">
        <v>0</v>
      </c>
      <c r="F245" s="109">
        <v>175</v>
      </c>
      <c r="G245" s="110">
        <f t="shared" si="3"/>
        <v>619</v>
      </c>
    </row>
    <row r="246" spans="1:7" ht="15" customHeight="1">
      <c r="A246" s="106" t="s">
        <v>365</v>
      </c>
      <c r="B246" s="107">
        <v>4307</v>
      </c>
      <c r="C246" s="108" t="s">
        <v>368</v>
      </c>
      <c r="D246" s="109">
        <v>382334</v>
      </c>
      <c r="E246" s="110">
        <v>5650</v>
      </c>
      <c r="F246" s="109">
        <v>0</v>
      </c>
      <c r="G246" s="110">
        <f t="shared" si="3"/>
        <v>387984</v>
      </c>
    </row>
    <row r="247" spans="1:7" ht="15" customHeight="1">
      <c r="A247" s="106" t="s">
        <v>365</v>
      </c>
      <c r="B247" s="107">
        <v>4309</v>
      </c>
      <c r="C247" s="108" t="s">
        <v>368</v>
      </c>
      <c r="D247" s="109">
        <v>65718</v>
      </c>
      <c r="E247" s="110">
        <v>18</v>
      </c>
      <c r="F247" s="109">
        <v>0</v>
      </c>
      <c r="G247" s="110">
        <f t="shared" si="3"/>
        <v>65736</v>
      </c>
    </row>
    <row r="248" spans="1:7" ht="15" customHeight="1">
      <c r="A248" s="106" t="s">
        <v>365</v>
      </c>
      <c r="B248" s="107">
        <v>4417</v>
      </c>
      <c r="C248" s="108" t="s">
        <v>384</v>
      </c>
      <c r="D248" s="109">
        <v>464</v>
      </c>
      <c r="E248" s="110">
        <v>8</v>
      </c>
      <c r="F248" s="109">
        <v>0</v>
      </c>
      <c r="G248" s="110">
        <f t="shared" si="3"/>
        <v>472</v>
      </c>
    </row>
    <row r="249" spans="1:7" ht="15" customHeight="1">
      <c r="A249" s="106" t="s">
        <v>365</v>
      </c>
      <c r="B249" s="107">
        <v>4419</v>
      </c>
      <c r="C249" s="108" t="s">
        <v>384</v>
      </c>
      <c r="D249" s="109">
        <v>36</v>
      </c>
      <c r="E249" s="110">
        <v>0</v>
      </c>
      <c r="F249" s="109">
        <v>8</v>
      </c>
      <c r="G249" s="110">
        <f t="shared" si="3"/>
        <v>28</v>
      </c>
    </row>
    <row r="250" spans="1:7" s="120" customFormat="1" ht="15" customHeight="1">
      <c r="A250" s="122" t="s">
        <v>240</v>
      </c>
      <c r="B250" s="123" t="s">
        <v>365</v>
      </c>
      <c r="C250" s="124" t="s">
        <v>36</v>
      </c>
      <c r="D250" s="125">
        <v>30291317</v>
      </c>
      <c r="E250" s="126">
        <f>E251</f>
        <v>1447030</v>
      </c>
      <c r="F250" s="126">
        <f>F251</f>
        <v>4143334</v>
      </c>
      <c r="G250" s="126">
        <f t="shared" si="3"/>
        <v>27595013</v>
      </c>
    </row>
    <row r="251" spans="1:7" s="120" customFormat="1" ht="15" customHeight="1">
      <c r="A251" s="116">
        <v>85295</v>
      </c>
      <c r="B251" s="117" t="s">
        <v>365</v>
      </c>
      <c r="C251" s="118" t="s">
        <v>52</v>
      </c>
      <c r="D251" s="119">
        <v>24858987</v>
      </c>
      <c r="E251" s="121">
        <f>SUM(E252:E291)</f>
        <v>1447030</v>
      </c>
      <c r="F251" s="121">
        <f>SUM(F252:F291)</f>
        <v>4143334</v>
      </c>
      <c r="G251" s="121">
        <f t="shared" si="3"/>
        <v>22162683</v>
      </c>
    </row>
    <row r="252" spans="1:7" ht="69" customHeight="1">
      <c r="A252" s="106" t="s">
        <v>365</v>
      </c>
      <c r="B252" s="107">
        <v>2007</v>
      </c>
      <c r="C252" s="108" t="s">
        <v>371</v>
      </c>
      <c r="D252" s="109">
        <v>3615850</v>
      </c>
      <c r="E252" s="110">
        <v>345065</v>
      </c>
      <c r="F252" s="109">
        <v>0</v>
      </c>
      <c r="G252" s="110">
        <f t="shared" si="3"/>
        <v>3960915</v>
      </c>
    </row>
    <row r="253" spans="1:7" ht="69" customHeight="1">
      <c r="A253" s="111" t="s">
        <v>365</v>
      </c>
      <c r="B253" s="112">
        <v>2009</v>
      </c>
      <c r="C253" s="113" t="s">
        <v>371</v>
      </c>
      <c r="D253" s="114">
        <v>6088337</v>
      </c>
      <c r="E253" s="115">
        <v>0</v>
      </c>
      <c r="F253" s="114">
        <v>274363</v>
      </c>
      <c r="G253" s="115">
        <f t="shared" si="3"/>
        <v>5813974</v>
      </c>
    </row>
    <row r="254" spans="1:7" ht="66.75" customHeight="1">
      <c r="A254" s="305" t="s">
        <v>365</v>
      </c>
      <c r="B254" s="306">
        <v>2057</v>
      </c>
      <c r="C254" s="307" t="s">
        <v>412</v>
      </c>
      <c r="D254" s="308">
        <v>7433097</v>
      </c>
      <c r="E254" s="309">
        <v>0</v>
      </c>
      <c r="F254" s="308">
        <v>2640016</v>
      </c>
      <c r="G254" s="309">
        <f t="shared" si="3"/>
        <v>4793081</v>
      </c>
    </row>
    <row r="255" spans="1:7" ht="68.25" customHeight="1">
      <c r="A255" s="106" t="s">
        <v>365</v>
      </c>
      <c r="B255" s="107">
        <v>2059</v>
      </c>
      <c r="C255" s="108" t="s">
        <v>412</v>
      </c>
      <c r="D255" s="109">
        <v>2074263</v>
      </c>
      <c r="E255" s="110">
        <v>0</v>
      </c>
      <c r="F255" s="109">
        <v>141116</v>
      </c>
      <c r="G255" s="110">
        <f t="shared" si="3"/>
        <v>1933147</v>
      </c>
    </row>
    <row r="256" spans="1:7" ht="54.75" customHeight="1">
      <c r="A256" s="106" t="s">
        <v>365</v>
      </c>
      <c r="B256" s="107">
        <v>2360</v>
      </c>
      <c r="C256" s="108" t="s">
        <v>397</v>
      </c>
      <c r="D256" s="109">
        <v>800000</v>
      </c>
      <c r="E256" s="110">
        <v>0</v>
      </c>
      <c r="F256" s="109">
        <v>800000</v>
      </c>
      <c r="G256" s="110">
        <f t="shared" si="3"/>
        <v>0</v>
      </c>
    </row>
    <row r="257" spans="1:7" ht="15" customHeight="1">
      <c r="A257" s="106" t="s">
        <v>365</v>
      </c>
      <c r="B257" s="107">
        <v>4017</v>
      </c>
      <c r="C257" s="108" t="s">
        <v>372</v>
      </c>
      <c r="D257" s="109">
        <v>1494925</v>
      </c>
      <c r="E257" s="110">
        <v>0</v>
      </c>
      <c r="F257" s="109">
        <v>75526</v>
      </c>
      <c r="G257" s="110">
        <f t="shared" si="3"/>
        <v>1419399</v>
      </c>
    </row>
    <row r="258" spans="1:7" ht="15" customHeight="1">
      <c r="A258" s="106" t="s">
        <v>365</v>
      </c>
      <c r="B258" s="107">
        <v>4019</v>
      </c>
      <c r="C258" s="108" t="s">
        <v>372</v>
      </c>
      <c r="D258" s="109">
        <v>187075</v>
      </c>
      <c r="E258" s="110">
        <v>0</v>
      </c>
      <c r="F258" s="109">
        <v>249</v>
      </c>
      <c r="G258" s="110">
        <f t="shared" si="3"/>
        <v>186826</v>
      </c>
    </row>
    <row r="259" spans="1:7" ht="15" customHeight="1">
      <c r="A259" s="106" t="s">
        <v>365</v>
      </c>
      <c r="B259" s="107">
        <v>4047</v>
      </c>
      <c r="C259" s="108" t="s">
        <v>379</v>
      </c>
      <c r="D259" s="109">
        <v>98953</v>
      </c>
      <c r="E259" s="110">
        <v>0</v>
      </c>
      <c r="F259" s="109">
        <v>15507</v>
      </c>
      <c r="G259" s="110">
        <f t="shared" si="3"/>
        <v>83446</v>
      </c>
    </row>
    <row r="260" spans="1:7" ht="15" customHeight="1">
      <c r="A260" s="106" t="s">
        <v>365</v>
      </c>
      <c r="B260" s="107">
        <v>4049</v>
      </c>
      <c r="C260" s="108" t="s">
        <v>379</v>
      </c>
      <c r="D260" s="109">
        <v>12625</v>
      </c>
      <c r="E260" s="110">
        <v>0</v>
      </c>
      <c r="F260" s="109">
        <v>1515</v>
      </c>
      <c r="G260" s="110">
        <f t="shared" si="3"/>
        <v>11110</v>
      </c>
    </row>
    <row r="261" spans="1:7" ht="15" customHeight="1">
      <c r="A261" s="106" t="s">
        <v>365</v>
      </c>
      <c r="B261" s="107">
        <v>4117</v>
      </c>
      <c r="C261" s="108" t="s">
        <v>373</v>
      </c>
      <c r="D261" s="109">
        <v>269884</v>
      </c>
      <c r="E261" s="110">
        <v>0</v>
      </c>
      <c r="F261" s="109">
        <v>15550</v>
      </c>
      <c r="G261" s="110">
        <f t="shared" si="3"/>
        <v>254334</v>
      </c>
    </row>
    <row r="262" spans="1:7" ht="15" customHeight="1">
      <c r="A262" s="106" t="s">
        <v>365</v>
      </c>
      <c r="B262" s="107">
        <v>4119</v>
      </c>
      <c r="C262" s="108" t="s">
        <v>373</v>
      </c>
      <c r="D262" s="109">
        <v>33998</v>
      </c>
      <c r="E262" s="110">
        <v>0</v>
      </c>
      <c r="F262" s="109">
        <v>292</v>
      </c>
      <c r="G262" s="110">
        <f t="shared" si="3"/>
        <v>33706</v>
      </c>
    </row>
    <row r="263" spans="1:7" ht="28.5" customHeight="1">
      <c r="A263" s="106" t="s">
        <v>365</v>
      </c>
      <c r="B263" s="107">
        <v>4127</v>
      </c>
      <c r="C263" s="108" t="s">
        <v>374</v>
      </c>
      <c r="D263" s="109">
        <v>38467</v>
      </c>
      <c r="E263" s="110">
        <v>0</v>
      </c>
      <c r="F263" s="109">
        <v>1659</v>
      </c>
      <c r="G263" s="110">
        <f t="shared" si="3"/>
        <v>36808</v>
      </c>
    </row>
    <row r="264" spans="1:7" ht="28.5" customHeight="1">
      <c r="A264" s="106" t="s">
        <v>365</v>
      </c>
      <c r="B264" s="107">
        <v>4129</v>
      </c>
      <c r="C264" s="108" t="s">
        <v>374</v>
      </c>
      <c r="D264" s="109">
        <v>4846</v>
      </c>
      <c r="E264" s="110">
        <v>3</v>
      </c>
      <c r="F264" s="109">
        <v>0</v>
      </c>
      <c r="G264" s="110">
        <f t="shared" si="3"/>
        <v>4849</v>
      </c>
    </row>
    <row r="265" spans="1:7" ht="15.75" customHeight="1">
      <c r="A265" s="106" t="s">
        <v>365</v>
      </c>
      <c r="B265" s="107">
        <v>4170</v>
      </c>
      <c r="C265" s="108" t="s">
        <v>375</v>
      </c>
      <c r="D265" s="109">
        <v>2000</v>
      </c>
      <c r="E265" s="110">
        <v>0</v>
      </c>
      <c r="F265" s="109">
        <v>2000</v>
      </c>
      <c r="G265" s="110">
        <f t="shared" si="3"/>
        <v>0</v>
      </c>
    </row>
    <row r="266" spans="1:7" ht="15.75" customHeight="1">
      <c r="A266" s="106" t="s">
        <v>365</v>
      </c>
      <c r="B266" s="107">
        <v>4177</v>
      </c>
      <c r="C266" s="108" t="s">
        <v>375</v>
      </c>
      <c r="D266" s="109">
        <v>79572</v>
      </c>
      <c r="E266" s="110">
        <v>183258</v>
      </c>
      <c r="F266" s="109">
        <v>0</v>
      </c>
      <c r="G266" s="110">
        <f t="shared" si="3"/>
        <v>262830</v>
      </c>
    </row>
    <row r="267" spans="1:7" ht="15.75" customHeight="1">
      <c r="A267" s="106" t="s">
        <v>365</v>
      </c>
      <c r="B267" s="107">
        <v>4179</v>
      </c>
      <c r="C267" s="108" t="s">
        <v>375</v>
      </c>
      <c r="D267" s="109">
        <v>11929</v>
      </c>
      <c r="E267" s="110">
        <v>21839</v>
      </c>
      <c r="F267" s="109">
        <v>0</v>
      </c>
      <c r="G267" s="110">
        <f t="shared" si="3"/>
        <v>33768</v>
      </c>
    </row>
    <row r="268" spans="1:7" ht="15.75" customHeight="1">
      <c r="A268" s="106" t="s">
        <v>365</v>
      </c>
      <c r="B268" s="107">
        <v>4190</v>
      </c>
      <c r="C268" s="108" t="s">
        <v>367</v>
      </c>
      <c r="D268" s="109">
        <v>4000</v>
      </c>
      <c r="E268" s="110">
        <v>0</v>
      </c>
      <c r="F268" s="109">
        <v>4000</v>
      </c>
      <c r="G268" s="110">
        <f aca="true" t="shared" si="4" ref="G268:G331">D268+E268-F268</f>
        <v>0</v>
      </c>
    </row>
    <row r="269" spans="1:7" ht="15.75" customHeight="1">
      <c r="A269" s="106" t="s">
        <v>365</v>
      </c>
      <c r="B269" s="107">
        <v>4210</v>
      </c>
      <c r="C269" s="108" t="s">
        <v>376</v>
      </c>
      <c r="D269" s="109">
        <v>3400</v>
      </c>
      <c r="E269" s="110">
        <v>0</v>
      </c>
      <c r="F269" s="109">
        <v>3400</v>
      </c>
      <c r="G269" s="110">
        <f t="shared" si="4"/>
        <v>0</v>
      </c>
    </row>
    <row r="270" spans="1:7" ht="15.75" customHeight="1">
      <c r="A270" s="106" t="s">
        <v>365</v>
      </c>
      <c r="B270" s="107">
        <v>4217</v>
      </c>
      <c r="C270" s="108" t="s">
        <v>376</v>
      </c>
      <c r="D270" s="109">
        <v>94871</v>
      </c>
      <c r="E270" s="110">
        <v>31260</v>
      </c>
      <c r="F270" s="109">
        <v>0</v>
      </c>
      <c r="G270" s="110">
        <f t="shared" si="4"/>
        <v>126131</v>
      </c>
    </row>
    <row r="271" spans="1:7" ht="15.75" customHeight="1">
      <c r="A271" s="106" t="s">
        <v>365</v>
      </c>
      <c r="B271" s="107">
        <v>4219</v>
      </c>
      <c r="C271" s="108" t="s">
        <v>376</v>
      </c>
      <c r="D271" s="109">
        <v>10729</v>
      </c>
      <c r="E271" s="110">
        <v>3544</v>
      </c>
      <c r="F271" s="109">
        <v>0</v>
      </c>
      <c r="G271" s="110">
        <f t="shared" si="4"/>
        <v>14273</v>
      </c>
    </row>
    <row r="272" spans="1:7" ht="15.75" customHeight="1">
      <c r="A272" s="106" t="s">
        <v>365</v>
      </c>
      <c r="B272" s="107">
        <v>4220</v>
      </c>
      <c r="C272" s="108" t="s">
        <v>387</v>
      </c>
      <c r="D272" s="109">
        <v>2600</v>
      </c>
      <c r="E272" s="110">
        <v>0</v>
      </c>
      <c r="F272" s="109">
        <v>2600</v>
      </c>
      <c r="G272" s="110">
        <f t="shared" si="4"/>
        <v>0</v>
      </c>
    </row>
    <row r="273" spans="1:7" ht="15.75" customHeight="1">
      <c r="A273" s="106" t="s">
        <v>365</v>
      </c>
      <c r="B273" s="107">
        <v>4227</v>
      </c>
      <c r="C273" s="108" t="s">
        <v>387</v>
      </c>
      <c r="D273" s="109">
        <v>5500</v>
      </c>
      <c r="E273" s="110">
        <v>0</v>
      </c>
      <c r="F273" s="109">
        <v>541</v>
      </c>
      <c r="G273" s="110">
        <f t="shared" si="4"/>
        <v>4959</v>
      </c>
    </row>
    <row r="274" spans="1:7" ht="15.75" customHeight="1">
      <c r="A274" s="106" t="s">
        <v>365</v>
      </c>
      <c r="B274" s="107">
        <v>4229</v>
      </c>
      <c r="C274" s="108" t="s">
        <v>387</v>
      </c>
      <c r="D274" s="109">
        <v>600</v>
      </c>
      <c r="E274" s="110">
        <v>3</v>
      </c>
      <c r="F274" s="109">
        <v>0</v>
      </c>
      <c r="G274" s="110">
        <f t="shared" si="4"/>
        <v>603</v>
      </c>
    </row>
    <row r="275" spans="1:7" ht="15.75" customHeight="1">
      <c r="A275" s="106" t="s">
        <v>365</v>
      </c>
      <c r="B275" s="107">
        <v>4267</v>
      </c>
      <c r="C275" s="108" t="s">
        <v>377</v>
      </c>
      <c r="D275" s="109">
        <v>5107</v>
      </c>
      <c r="E275" s="110">
        <v>0</v>
      </c>
      <c r="F275" s="109">
        <v>953</v>
      </c>
      <c r="G275" s="110">
        <f t="shared" si="4"/>
        <v>4154</v>
      </c>
    </row>
    <row r="276" spans="1:7" ht="15.75" customHeight="1">
      <c r="A276" s="106" t="s">
        <v>365</v>
      </c>
      <c r="B276" s="107">
        <v>4269</v>
      </c>
      <c r="C276" s="108" t="s">
        <v>377</v>
      </c>
      <c r="D276" s="109">
        <v>593</v>
      </c>
      <c r="E276" s="110">
        <v>0</v>
      </c>
      <c r="F276" s="109">
        <v>47</v>
      </c>
      <c r="G276" s="110">
        <f t="shared" si="4"/>
        <v>546</v>
      </c>
    </row>
    <row r="277" spans="1:7" ht="15.75" customHeight="1">
      <c r="A277" s="106" t="s">
        <v>365</v>
      </c>
      <c r="B277" s="107">
        <v>4287</v>
      </c>
      <c r="C277" s="108" t="s">
        <v>398</v>
      </c>
      <c r="D277" s="109">
        <v>0</v>
      </c>
      <c r="E277" s="110">
        <v>1039</v>
      </c>
      <c r="F277" s="109">
        <v>0</v>
      </c>
      <c r="G277" s="110">
        <f t="shared" si="4"/>
        <v>1039</v>
      </c>
    </row>
    <row r="278" spans="1:7" ht="15.75" customHeight="1">
      <c r="A278" s="106" t="s">
        <v>365</v>
      </c>
      <c r="B278" s="107">
        <v>4289</v>
      </c>
      <c r="C278" s="108" t="s">
        <v>398</v>
      </c>
      <c r="D278" s="109">
        <v>0</v>
      </c>
      <c r="E278" s="110">
        <v>84</v>
      </c>
      <c r="F278" s="109">
        <v>0</v>
      </c>
      <c r="G278" s="110">
        <f t="shared" si="4"/>
        <v>84</v>
      </c>
    </row>
    <row r="279" spans="1:7" ht="15.75" customHeight="1">
      <c r="A279" s="106" t="s">
        <v>365</v>
      </c>
      <c r="B279" s="107">
        <v>4300</v>
      </c>
      <c r="C279" s="108" t="s">
        <v>368</v>
      </c>
      <c r="D279" s="109">
        <v>179000</v>
      </c>
      <c r="E279" s="110">
        <v>0</v>
      </c>
      <c r="F279" s="109">
        <v>164000</v>
      </c>
      <c r="G279" s="110">
        <f t="shared" si="4"/>
        <v>15000</v>
      </c>
    </row>
    <row r="280" spans="1:7" ht="15.75" customHeight="1">
      <c r="A280" s="106" t="s">
        <v>365</v>
      </c>
      <c r="B280" s="107">
        <v>4307</v>
      </c>
      <c r="C280" s="108" t="s">
        <v>368</v>
      </c>
      <c r="D280" s="109">
        <v>1739011</v>
      </c>
      <c r="E280" s="110">
        <v>744055</v>
      </c>
      <c r="F280" s="109">
        <v>0</v>
      </c>
      <c r="G280" s="110">
        <f t="shared" si="4"/>
        <v>2483066</v>
      </c>
    </row>
    <row r="281" spans="1:7" ht="15.75" customHeight="1">
      <c r="A281" s="106" t="s">
        <v>365</v>
      </c>
      <c r="B281" s="107">
        <v>4309</v>
      </c>
      <c r="C281" s="108" t="s">
        <v>368</v>
      </c>
      <c r="D281" s="109">
        <v>200353</v>
      </c>
      <c r="E281" s="110">
        <v>89935</v>
      </c>
      <c r="F281" s="109">
        <v>0</v>
      </c>
      <c r="G281" s="110">
        <f t="shared" si="4"/>
        <v>290288</v>
      </c>
    </row>
    <row r="282" spans="1:7" ht="15.75" customHeight="1">
      <c r="A282" s="106" t="s">
        <v>365</v>
      </c>
      <c r="B282" s="107">
        <v>4367</v>
      </c>
      <c r="C282" s="108" t="s">
        <v>388</v>
      </c>
      <c r="D282" s="109">
        <v>7243</v>
      </c>
      <c r="E282" s="110">
        <v>448</v>
      </c>
      <c r="F282" s="109">
        <v>0</v>
      </c>
      <c r="G282" s="110">
        <f t="shared" si="4"/>
        <v>7691</v>
      </c>
    </row>
    <row r="283" spans="1:7" ht="15.75" customHeight="1">
      <c r="A283" s="106" t="s">
        <v>365</v>
      </c>
      <c r="B283" s="107">
        <v>4369</v>
      </c>
      <c r="C283" s="108" t="s">
        <v>388</v>
      </c>
      <c r="D283" s="109">
        <v>857</v>
      </c>
      <c r="E283" s="110">
        <v>52</v>
      </c>
      <c r="F283" s="109">
        <v>0</v>
      </c>
      <c r="G283" s="110">
        <f t="shared" si="4"/>
        <v>909</v>
      </c>
    </row>
    <row r="284" spans="1:7" ht="15.75" customHeight="1">
      <c r="A284" s="106" t="s">
        <v>365</v>
      </c>
      <c r="B284" s="107">
        <v>4417</v>
      </c>
      <c r="C284" s="108" t="s">
        <v>384</v>
      </c>
      <c r="D284" s="109">
        <v>57509</v>
      </c>
      <c r="E284" s="110">
        <v>10597</v>
      </c>
      <c r="F284" s="109">
        <v>0</v>
      </c>
      <c r="G284" s="110">
        <f t="shared" si="4"/>
        <v>68106</v>
      </c>
    </row>
    <row r="285" spans="1:7" ht="15.75" customHeight="1">
      <c r="A285" s="106" t="s">
        <v>365</v>
      </c>
      <c r="B285" s="107">
        <v>4419</v>
      </c>
      <c r="C285" s="108" t="s">
        <v>384</v>
      </c>
      <c r="D285" s="109">
        <v>6581</v>
      </c>
      <c r="E285" s="110">
        <v>1212</v>
      </c>
      <c r="F285" s="109">
        <v>0</v>
      </c>
      <c r="G285" s="110">
        <f t="shared" si="4"/>
        <v>7793</v>
      </c>
    </row>
    <row r="286" spans="1:7" ht="15.75" customHeight="1">
      <c r="A286" s="106" t="s">
        <v>365</v>
      </c>
      <c r="B286" s="107">
        <v>4437</v>
      </c>
      <c r="C286" s="108" t="s">
        <v>385</v>
      </c>
      <c r="D286" s="109">
        <v>4382</v>
      </c>
      <c r="E286" s="110">
        <v>2299</v>
      </c>
      <c r="F286" s="109">
        <v>0</v>
      </c>
      <c r="G286" s="110">
        <f t="shared" si="4"/>
        <v>6681</v>
      </c>
    </row>
    <row r="287" spans="1:7" ht="15.75" customHeight="1">
      <c r="A287" s="106" t="s">
        <v>365</v>
      </c>
      <c r="B287" s="107">
        <v>4439</v>
      </c>
      <c r="C287" s="108" t="s">
        <v>385</v>
      </c>
      <c r="D287" s="109">
        <v>516</v>
      </c>
      <c r="E287" s="110">
        <v>201</v>
      </c>
      <c r="F287" s="109">
        <v>0</v>
      </c>
      <c r="G287" s="110">
        <f t="shared" si="4"/>
        <v>717</v>
      </c>
    </row>
    <row r="288" spans="1:7" ht="15.75" customHeight="1">
      <c r="A288" s="106" t="s">
        <v>365</v>
      </c>
      <c r="B288" s="107">
        <v>4447</v>
      </c>
      <c r="C288" s="108" t="s">
        <v>399</v>
      </c>
      <c r="D288" s="109">
        <v>14578</v>
      </c>
      <c r="E288" s="110">
        <v>6272</v>
      </c>
      <c r="F288" s="109">
        <v>0</v>
      </c>
      <c r="G288" s="110">
        <f t="shared" si="4"/>
        <v>20850</v>
      </c>
    </row>
    <row r="289" spans="1:7" ht="15.75" customHeight="1">
      <c r="A289" s="106" t="s">
        <v>365</v>
      </c>
      <c r="B289" s="107">
        <v>4449</v>
      </c>
      <c r="C289" s="108" t="s">
        <v>399</v>
      </c>
      <c r="D289" s="109">
        <v>1762</v>
      </c>
      <c r="E289" s="110">
        <v>664</v>
      </c>
      <c r="F289" s="109">
        <v>0</v>
      </c>
      <c r="G289" s="110">
        <f t="shared" si="4"/>
        <v>2426</v>
      </c>
    </row>
    <row r="290" spans="1:7" ht="28.5" customHeight="1">
      <c r="A290" s="106" t="s">
        <v>365</v>
      </c>
      <c r="B290" s="107">
        <v>4707</v>
      </c>
      <c r="C290" s="108" t="s">
        <v>389</v>
      </c>
      <c r="D290" s="109">
        <v>0</v>
      </c>
      <c r="E290" s="110">
        <v>4652</v>
      </c>
      <c r="F290" s="109">
        <v>0</v>
      </c>
      <c r="G290" s="110">
        <f t="shared" si="4"/>
        <v>4652</v>
      </c>
    </row>
    <row r="291" spans="1:7" ht="28.5" customHeight="1">
      <c r="A291" s="106" t="s">
        <v>365</v>
      </c>
      <c r="B291" s="107">
        <v>4709</v>
      </c>
      <c r="C291" s="108" t="s">
        <v>389</v>
      </c>
      <c r="D291" s="109">
        <v>0</v>
      </c>
      <c r="E291" s="110">
        <v>548</v>
      </c>
      <c r="F291" s="109">
        <v>0</v>
      </c>
      <c r="G291" s="110">
        <f t="shared" si="4"/>
        <v>548</v>
      </c>
    </row>
    <row r="292" spans="1:7" s="120" customFormat="1" ht="32.25" customHeight="1">
      <c r="A292" s="122" t="s">
        <v>77</v>
      </c>
      <c r="B292" s="123" t="s">
        <v>365</v>
      </c>
      <c r="C292" s="124" t="s">
        <v>37</v>
      </c>
      <c r="D292" s="125">
        <v>22488237</v>
      </c>
      <c r="E292" s="126">
        <f>E293+E297+E302</f>
        <v>151785</v>
      </c>
      <c r="F292" s="126">
        <f>F293+F297+F302</f>
        <v>306000</v>
      </c>
      <c r="G292" s="126">
        <f t="shared" si="4"/>
        <v>22334022</v>
      </c>
    </row>
    <row r="293" spans="1:7" s="120" customFormat="1" ht="33" customHeight="1">
      <c r="A293" s="116">
        <v>85324</v>
      </c>
      <c r="B293" s="117" t="s">
        <v>365</v>
      </c>
      <c r="C293" s="118" t="s">
        <v>184</v>
      </c>
      <c r="D293" s="119">
        <v>2155251</v>
      </c>
      <c r="E293" s="121">
        <f>SUM(E294:E296)</f>
        <v>62794</v>
      </c>
      <c r="F293" s="121">
        <f>SUM(F294:F296)</f>
        <v>0</v>
      </c>
      <c r="G293" s="121">
        <f t="shared" si="4"/>
        <v>2218045</v>
      </c>
    </row>
    <row r="294" spans="1:7" ht="15" customHeight="1">
      <c r="A294" s="106" t="s">
        <v>365</v>
      </c>
      <c r="B294" s="107">
        <v>4010</v>
      </c>
      <c r="C294" s="108" t="s">
        <v>372</v>
      </c>
      <c r="D294" s="109">
        <v>153803</v>
      </c>
      <c r="E294" s="110">
        <v>36517</v>
      </c>
      <c r="F294" s="109">
        <v>0</v>
      </c>
      <c r="G294" s="110">
        <f t="shared" si="4"/>
        <v>190320</v>
      </c>
    </row>
    <row r="295" spans="1:7" ht="15" customHeight="1">
      <c r="A295" s="106" t="s">
        <v>365</v>
      </c>
      <c r="B295" s="107">
        <v>4110</v>
      </c>
      <c r="C295" s="108" t="s">
        <v>373</v>
      </c>
      <c r="D295" s="109">
        <v>29321</v>
      </c>
      <c r="E295" s="110">
        <v>6277</v>
      </c>
      <c r="F295" s="109">
        <v>0</v>
      </c>
      <c r="G295" s="110">
        <f t="shared" si="4"/>
        <v>35598</v>
      </c>
    </row>
    <row r="296" spans="1:7" ht="15" customHeight="1">
      <c r="A296" s="106" t="s">
        <v>365</v>
      </c>
      <c r="B296" s="107">
        <v>4210</v>
      </c>
      <c r="C296" s="108" t="s">
        <v>376</v>
      </c>
      <c r="D296" s="109">
        <v>25000</v>
      </c>
      <c r="E296" s="110">
        <v>20000</v>
      </c>
      <c r="F296" s="109">
        <v>0</v>
      </c>
      <c r="G296" s="110">
        <f t="shared" si="4"/>
        <v>45000</v>
      </c>
    </row>
    <row r="297" spans="1:7" s="120" customFormat="1" ht="15" customHeight="1">
      <c r="A297" s="116">
        <v>85332</v>
      </c>
      <c r="B297" s="117" t="s">
        <v>365</v>
      </c>
      <c r="C297" s="118" t="s">
        <v>62</v>
      </c>
      <c r="D297" s="119">
        <v>15853872</v>
      </c>
      <c r="E297" s="121">
        <f>SUM(E298:E301)</f>
        <v>58991</v>
      </c>
      <c r="F297" s="121">
        <f>SUM(F298:F301)</f>
        <v>26000</v>
      </c>
      <c r="G297" s="121">
        <f t="shared" si="4"/>
        <v>15886863</v>
      </c>
    </row>
    <row r="298" spans="1:7" ht="15" customHeight="1">
      <c r="A298" s="106" t="s">
        <v>365</v>
      </c>
      <c r="B298" s="107">
        <v>4018</v>
      </c>
      <c r="C298" s="108" t="s">
        <v>372</v>
      </c>
      <c r="D298" s="109">
        <v>2785820</v>
      </c>
      <c r="E298" s="110">
        <v>28044</v>
      </c>
      <c r="F298" s="109">
        <v>0</v>
      </c>
      <c r="G298" s="110">
        <f t="shared" si="4"/>
        <v>2813864</v>
      </c>
    </row>
    <row r="299" spans="1:7" ht="15" customHeight="1">
      <c r="A299" s="106" t="s">
        <v>365</v>
      </c>
      <c r="B299" s="107">
        <v>4019</v>
      </c>
      <c r="C299" s="108" t="s">
        <v>372</v>
      </c>
      <c r="D299" s="109">
        <v>508654</v>
      </c>
      <c r="E299" s="110">
        <v>4947</v>
      </c>
      <c r="F299" s="109">
        <v>0</v>
      </c>
      <c r="G299" s="110">
        <f t="shared" si="4"/>
        <v>513601</v>
      </c>
    </row>
    <row r="300" spans="1:7" ht="15" customHeight="1">
      <c r="A300" s="106" t="s">
        <v>365</v>
      </c>
      <c r="B300" s="107">
        <v>6050</v>
      </c>
      <c r="C300" s="108" t="s">
        <v>381</v>
      </c>
      <c r="D300" s="109">
        <v>100000</v>
      </c>
      <c r="E300" s="110">
        <v>26000</v>
      </c>
      <c r="F300" s="109">
        <v>0</v>
      </c>
      <c r="G300" s="110">
        <f t="shared" si="4"/>
        <v>126000</v>
      </c>
    </row>
    <row r="301" spans="1:7" ht="15" customHeight="1">
      <c r="A301" s="111" t="s">
        <v>365</v>
      </c>
      <c r="B301" s="112">
        <v>6060</v>
      </c>
      <c r="C301" s="113" t="s">
        <v>383</v>
      </c>
      <c r="D301" s="114">
        <v>75000</v>
      </c>
      <c r="E301" s="115">
        <v>0</v>
      </c>
      <c r="F301" s="114">
        <v>26000</v>
      </c>
      <c r="G301" s="115">
        <f t="shared" si="4"/>
        <v>49000</v>
      </c>
    </row>
    <row r="302" spans="1:7" s="120" customFormat="1" ht="15" customHeight="1">
      <c r="A302" s="310">
        <v>85395</v>
      </c>
      <c r="B302" s="311" t="s">
        <v>365</v>
      </c>
      <c r="C302" s="312" t="s">
        <v>52</v>
      </c>
      <c r="D302" s="313">
        <v>2805114</v>
      </c>
      <c r="E302" s="314">
        <f>SUM(E303:E308)</f>
        <v>30000</v>
      </c>
      <c r="F302" s="314">
        <f>SUM(F303:F308)</f>
        <v>280000</v>
      </c>
      <c r="G302" s="314">
        <f t="shared" si="4"/>
        <v>2555114</v>
      </c>
    </row>
    <row r="303" spans="1:7" ht="53.25" customHeight="1">
      <c r="A303" s="106" t="s">
        <v>365</v>
      </c>
      <c r="B303" s="107">
        <v>2360</v>
      </c>
      <c r="C303" s="108" t="s">
        <v>397</v>
      </c>
      <c r="D303" s="109">
        <v>350000</v>
      </c>
      <c r="E303" s="110">
        <v>0</v>
      </c>
      <c r="F303" s="109">
        <v>250000</v>
      </c>
      <c r="G303" s="110">
        <f t="shared" si="4"/>
        <v>100000</v>
      </c>
    </row>
    <row r="304" spans="1:7" ht="15" customHeight="1">
      <c r="A304" s="106" t="s">
        <v>365</v>
      </c>
      <c r="B304" s="107">
        <v>4170</v>
      </c>
      <c r="C304" s="108" t="s">
        <v>375</v>
      </c>
      <c r="D304" s="109">
        <v>5000</v>
      </c>
      <c r="E304" s="110">
        <v>0</v>
      </c>
      <c r="F304" s="109">
        <v>5000</v>
      </c>
      <c r="G304" s="110">
        <f t="shared" si="4"/>
        <v>0</v>
      </c>
    </row>
    <row r="305" spans="1:7" ht="15" customHeight="1">
      <c r="A305" s="106" t="s">
        <v>365</v>
      </c>
      <c r="B305" s="107">
        <v>4210</v>
      </c>
      <c r="C305" s="108" t="s">
        <v>376</v>
      </c>
      <c r="D305" s="109">
        <v>6200</v>
      </c>
      <c r="E305" s="110">
        <v>0</v>
      </c>
      <c r="F305" s="109">
        <v>5000</v>
      </c>
      <c r="G305" s="110">
        <f t="shared" si="4"/>
        <v>1200</v>
      </c>
    </row>
    <row r="306" spans="1:7" ht="15" customHeight="1">
      <c r="A306" s="106" t="s">
        <v>365</v>
      </c>
      <c r="B306" s="107">
        <v>4220</v>
      </c>
      <c r="C306" s="108" t="s">
        <v>387</v>
      </c>
      <c r="D306" s="109">
        <v>6000</v>
      </c>
      <c r="E306" s="110">
        <v>0</v>
      </c>
      <c r="F306" s="109">
        <v>5000</v>
      </c>
      <c r="G306" s="110">
        <f t="shared" si="4"/>
        <v>1000</v>
      </c>
    </row>
    <row r="307" spans="1:7" ht="15" customHeight="1">
      <c r="A307" s="106" t="s">
        <v>365</v>
      </c>
      <c r="B307" s="107">
        <v>4300</v>
      </c>
      <c r="C307" s="108" t="s">
        <v>368</v>
      </c>
      <c r="D307" s="109">
        <v>85800</v>
      </c>
      <c r="E307" s="110">
        <v>0</v>
      </c>
      <c r="F307" s="109">
        <v>15000</v>
      </c>
      <c r="G307" s="110">
        <f t="shared" si="4"/>
        <v>70800</v>
      </c>
    </row>
    <row r="308" spans="1:7" ht="15" customHeight="1">
      <c r="A308" s="106" t="s">
        <v>365</v>
      </c>
      <c r="B308" s="107">
        <v>6060</v>
      </c>
      <c r="C308" s="108" t="s">
        <v>383</v>
      </c>
      <c r="D308" s="109">
        <v>0</v>
      </c>
      <c r="E308" s="110">
        <v>30000</v>
      </c>
      <c r="F308" s="109">
        <v>0</v>
      </c>
      <c r="G308" s="110">
        <f t="shared" si="4"/>
        <v>30000</v>
      </c>
    </row>
    <row r="309" spans="1:7" s="120" customFormat="1" ht="15" customHeight="1">
      <c r="A309" s="122" t="s">
        <v>246</v>
      </c>
      <c r="B309" s="123" t="s">
        <v>365</v>
      </c>
      <c r="C309" s="124" t="s">
        <v>247</v>
      </c>
      <c r="D309" s="125">
        <v>55480456</v>
      </c>
      <c r="E309" s="126">
        <f>E310+E335</f>
        <v>702651</v>
      </c>
      <c r="F309" s="126">
        <f>F310+F335</f>
        <v>3075702</v>
      </c>
      <c r="G309" s="126">
        <f t="shared" si="4"/>
        <v>53107405</v>
      </c>
    </row>
    <row r="310" spans="1:7" s="120" customFormat="1" ht="15" customHeight="1">
      <c r="A310" s="116">
        <v>85403</v>
      </c>
      <c r="B310" s="117" t="s">
        <v>365</v>
      </c>
      <c r="C310" s="118" t="s">
        <v>187</v>
      </c>
      <c r="D310" s="119">
        <v>41976033</v>
      </c>
      <c r="E310" s="121">
        <f>SUM(E311:E334)</f>
        <v>702651</v>
      </c>
      <c r="F310" s="121">
        <f>SUM(F311:F334)</f>
        <v>3052702</v>
      </c>
      <c r="G310" s="121">
        <f t="shared" si="4"/>
        <v>39625982</v>
      </c>
    </row>
    <row r="311" spans="1:7" ht="15" customHeight="1">
      <c r="A311" s="106" t="s">
        <v>365</v>
      </c>
      <c r="B311" s="107">
        <v>4017</v>
      </c>
      <c r="C311" s="108" t="s">
        <v>372</v>
      </c>
      <c r="D311" s="109">
        <v>540238</v>
      </c>
      <c r="E311" s="110">
        <v>0</v>
      </c>
      <c r="F311" s="109">
        <v>23104</v>
      </c>
      <c r="G311" s="110">
        <f t="shared" si="4"/>
        <v>517134</v>
      </c>
    </row>
    <row r="312" spans="1:7" ht="15" customHeight="1">
      <c r="A312" s="106" t="s">
        <v>365</v>
      </c>
      <c r="B312" s="107">
        <v>4019</v>
      </c>
      <c r="C312" s="108" t="s">
        <v>372</v>
      </c>
      <c r="D312" s="109">
        <v>95334</v>
      </c>
      <c r="E312" s="110">
        <v>0</v>
      </c>
      <c r="F312" s="109">
        <v>4076</v>
      </c>
      <c r="G312" s="110">
        <f t="shared" si="4"/>
        <v>91258</v>
      </c>
    </row>
    <row r="313" spans="1:7" ht="15" customHeight="1">
      <c r="A313" s="106" t="s">
        <v>365</v>
      </c>
      <c r="B313" s="107">
        <v>4047</v>
      </c>
      <c r="C313" s="108" t="s">
        <v>379</v>
      </c>
      <c r="D313" s="109">
        <v>36072</v>
      </c>
      <c r="E313" s="110">
        <v>0</v>
      </c>
      <c r="F313" s="109">
        <v>9735</v>
      </c>
      <c r="G313" s="110">
        <f t="shared" si="4"/>
        <v>26337</v>
      </c>
    </row>
    <row r="314" spans="1:7" ht="15" customHeight="1">
      <c r="A314" s="106" t="s">
        <v>365</v>
      </c>
      <c r="B314" s="107">
        <v>4049</v>
      </c>
      <c r="C314" s="108" t="s">
        <v>379</v>
      </c>
      <c r="D314" s="109">
        <v>6367</v>
      </c>
      <c r="E314" s="110">
        <v>0</v>
      </c>
      <c r="F314" s="109">
        <v>1717</v>
      </c>
      <c r="G314" s="110">
        <f t="shared" si="4"/>
        <v>4650</v>
      </c>
    </row>
    <row r="315" spans="1:7" ht="15" customHeight="1">
      <c r="A315" s="106" t="s">
        <v>365</v>
      </c>
      <c r="B315" s="107">
        <v>4117</v>
      </c>
      <c r="C315" s="108" t="s">
        <v>373</v>
      </c>
      <c r="D315" s="109">
        <v>99516</v>
      </c>
      <c r="E315" s="110">
        <v>0</v>
      </c>
      <c r="F315" s="109">
        <v>7095</v>
      </c>
      <c r="G315" s="110">
        <f t="shared" si="4"/>
        <v>92421</v>
      </c>
    </row>
    <row r="316" spans="1:7" ht="15" customHeight="1">
      <c r="A316" s="106" t="s">
        <v>365</v>
      </c>
      <c r="B316" s="107">
        <v>4119</v>
      </c>
      <c r="C316" s="108" t="s">
        <v>373</v>
      </c>
      <c r="D316" s="109">
        <v>17562</v>
      </c>
      <c r="E316" s="110">
        <v>0</v>
      </c>
      <c r="F316" s="109">
        <v>1252</v>
      </c>
      <c r="G316" s="110">
        <f t="shared" si="4"/>
        <v>16310</v>
      </c>
    </row>
    <row r="317" spans="1:7" ht="28.5" customHeight="1">
      <c r="A317" s="106" t="s">
        <v>365</v>
      </c>
      <c r="B317" s="107">
        <v>4127</v>
      </c>
      <c r="C317" s="108" t="s">
        <v>374</v>
      </c>
      <c r="D317" s="109">
        <v>14888</v>
      </c>
      <c r="E317" s="110">
        <v>712</v>
      </c>
      <c r="F317" s="109">
        <v>0</v>
      </c>
      <c r="G317" s="110">
        <f t="shared" si="4"/>
        <v>15600</v>
      </c>
    </row>
    <row r="318" spans="1:7" ht="28.5" customHeight="1">
      <c r="A318" s="106" t="s">
        <v>365</v>
      </c>
      <c r="B318" s="107">
        <v>4129</v>
      </c>
      <c r="C318" s="108" t="s">
        <v>374</v>
      </c>
      <c r="D318" s="109">
        <v>2626</v>
      </c>
      <c r="E318" s="110">
        <v>126</v>
      </c>
      <c r="F318" s="109">
        <v>0</v>
      </c>
      <c r="G318" s="110">
        <f t="shared" si="4"/>
        <v>2752</v>
      </c>
    </row>
    <row r="319" spans="1:7" ht="15" customHeight="1">
      <c r="A319" s="106" t="s">
        <v>365</v>
      </c>
      <c r="B319" s="107">
        <v>4177</v>
      </c>
      <c r="C319" s="108" t="s">
        <v>375</v>
      </c>
      <c r="D319" s="109">
        <v>1700</v>
      </c>
      <c r="E319" s="110">
        <v>0</v>
      </c>
      <c r="F319" s="109">
        <v>1700</v>
      </c>
      <c r="G319" s="110">
        <f t="shared" si="4"/>
        <v>0</v>
      </c>
    </row>
    <row r="320" spans="1:7" ht="15" customHeight="1">
      <c r="A320" s="106" t="s">
        <v>365</v>
      </c>
      <c r="B320" s="107">
        <v>4179</v>
      </c>
      <c r="C320" s="108" t="s">
        <v>375</v>
      </c>
      <c r="D320" s="109">
        <v>300</v>
      </c>
      <c r="E320" s="110">
        <v>0</v>
      </c>
      <c r="F320" s="109">
        <v>300</v>
      </c>
      <c r="G320" s="110">
        <f t="shared" si="4"/>
        <v>0</v>
      </c>
    </row>
    <row r="321" spans="1:7" ht="15" customHeight="1">
      <c r="A321" s="106" t="s">
        <v>365</v>
      </c>
      <c r="B321" s="107">
        <v>4217</v>
      </c>
      <c r="C321" s="108" t="s">
        <v>376</v>
      </c>
      <c r="D321" s="109">
        <v>4004</v>
      </c>
      <c r="E321" s="110">
        <v>1196</v>
      </c>
      <c r="F321" s="109">
        <v>0</v>
      </c>
      <c r="G321" s="110">
        <f t="shared" si="4"/>
        <v>5200</v>
      </c>
    </row>
    <row r="322" spans="1:7" ht="15" customHeight="1">
      <c r="A322" s="106" t="s">
        <v>365</v>
      </c>
      <c r="B322" s="107">
        <v>4219</v>
      </c>
      <c r="C322" s="108" t="s">
        <v>376</v>
      </c>
      <c r="D322" s="109">
        <v>707</v>
      </c>
      <c r="E322" s="110">
        <v>211</v>
      </c>
      <c r="F322" s="109">
        <v>0</v>
      </c>
      <c r="G322" s="110">
        <f t="shared" si="4"/>
        <v>918</v>
      </c>
    </row>
    <row r="323" spans="1:7" ht="15" customHeight="1">
      <c r="A323" s="106" t="s">
        <v>365</v>
      </c>
      <c r="B323" s="107">
        <v>4267</v>
      </c>
      <c r="C323" s="108" t="s">
        <v>377</v>
      </c>
      <c r="D323" s="109">
        <v>8477</v>
      </c>
      <c r="E323" s="110">
        <v>11234</v>
      </c>
      <c r="F323" s="109">
        <v>0</v>
      </c>
      <c r="G323" s="110">
        <f t="shared" si="4"/>
        <v>19711</v>
      </c>
    </row>
    <row r="324" spans="1:7" ht="15" customHeight="1">
      <c r="A324" s="106" t="s">
        <v>365</v>
      </c>
      <c r="B324" s="107">
        <v>4269</v>
      </c>
      <c r="C324" s="108" t="s">
        <v>377</v>
      </c>
      <c r="D324" s="109">
        <v>1496</v>
      </c>
      <c r="E324" s="110">
        <v>1983</v>
      </c>
      <c r="F324" s="109">
        <v>0</v>
      </c>
      <c r="G324" s="110">
        <f t="shared" si="4"/>
        <v>3479</v>
      </c>
    </row>
    <row r="325" spans="1:7" ht="15" customHeight="1">
      <c r="A325" s="106" t="s">
        <v>365</v>
      </c>
      <c r="B325" s="107">
        <v>4307</v>
      </c>
      <c r="C325" s="108" t="s">
        <v>368</v>
      </c>
      <c r="D325" s="109">
        <v>196300</v>
      </c>
      <c r="E325" s="110">
        <v>121260</v>
      </c>
      <c r="F325" s="109">
        <v>0</v>
      </c>
      <c r="G325" s="110">
        <f t="shared" si="4"/>
        <v>317560</v>
      </c>
    </row>
    <row r="326" spans="1:7" ht="15" customHeight="1">
      <c r="A326" s="106" t="s">
        <v>365</v>
      </c>
      <c r="B326" s="107">
        <v>4309</v>
      </c>
      <c r="C326" s="108" t="s">
        <v>368</v>
      </c>
      <c r="D326" s="109">
        <v>34641</v>
      </c>
      <c r="E326" s="110">
        <v>21398</v>
      </c>
      <c r="F326" s="109">
        <v>0</v>
      </c>
      <c r="G326" s="110">
        <f t="shared" si="4"/>
        <v>56039</v>
      </c>
    </row>
    <row r="327" spans="1:7" ht="28.5" customHeight="1">
      <c r="A327" s="106" t="s">
        <v>365</v>
      </c>
      <c r="B327" s="107">
        <v>4407</v>
      </c>
      <c r="C327" s="108" t="s">
        <v>378</v>
      </c>
      <c r="D327" s="109">
        <v>44350</v>
      </c>
      <c r="E327" s="110">
        <v>0</v>
      </c>
      <c r="F327" s="109">
        <v>1637</v>
      </c>
      <c r="G327" s="110">
        <f t="shared" si="4"/>
        <v>42713</v>
      </c>
    </row>
    <row r="328" spans="1:7" ht="28.5" customHeight="1">
      <c r="A328" s="106" t="s">
        <v>365</v>
      </c>
      <c r="B328" s="107">
        <v>4409</v>
      </c>
      <c r="C328" s="108" t="s">
        <v>378</v>
      </c>
      <c r="D328" s="109">
        <v>7826</v>
      </c>
      <c r="E328" s="110">
        <v>0</v>
      </c>
      <c r="F328" s="109">
        <v>289</v>
      </c>
      <c r="G328" s="110">
        <f t="shared" si="4"/>
        <v>7537</v>
      </c>
    </row>
    <row r="329" spans="1:7" ht="15" customHeight="1">
      <c r="A329" s="106" t="s">
        <v>365</v>
      </c>
      <c r="B329" s="107">
        <v>6050</v>
      </c>
      <c r="C329" s="108" t="s">
        <v>381</v>
      </c>
      <c r="D329" s="109">
        <v>6651925</v>
      </c>
      <c r="E329" s="110">
        <v>544531</v>
      </c>
      <c r="F329" s="109">
        <v>0</v>
      </c>
      <c r="G329" s="110">
        <f t="shared" si="4"/>
        <v>7196456</v>
      </c>
    </row>
    <row r="330" spans="1:7" ht="15" customHeight="1">
      <c r="A330" s="106" t="s">
        <v>365</v>
      </c>
      <c r="B330" s="107">
        <v>6057</v>
      </c>
      <c r="C330" s="108" t="s">
        <v>381</v>
      </c>
      <c r="D330" s="109">
        <v>12207144</v>
      </c>
      <c r="E330" s="110">
        <v>0</v>
      </c>
      <c r="F330" s="109">
        <v>1604626</v>
      </c>
      <c r="G330" s="110">
        <f t="shared" si="4"/>
        <v>10602518</v>
      </c>
    </row>
    <row r="331" spans="1:7" ht="15" customHeight="1">
      <c r="A331" s="106" t="s">
        <v>365</v>
      </c>
      <c r="B331" s="107">
        <v>6059</v>
      </c>
      <c r="C331" s="108" t="s">
        <v>381</v>
      </c>
      <c r="D331" s="109">
        <v>2154204</v>
      </c>
      <c r="E331" s="110">
        <v>0</v>
      </c>
      <c r="F331" s="109">
        <v>288590</v>
      </c>
      <c r="G331" s="110">
        <f t="shared" si="4"/>
        <v>1865614</v>
      </c>
    </row>
    <row r="332" spans="1:7" ht="15" customHeight="1">
      <c r="A332" s="106" t="s">
        <v>365</v>
      </c>
      <c r="B332" s="107">
        <v>6060</v>
      </c>
      <c r="C332" s="108" t="s">
        <v>383</v>
      </c>
      <c r="D332" s="109">
        <v>222915</v>
      </c>
      <c r="E332" s="110">
        <v>0</v>
      </c>
      <c r="F332" s="109">
        <v>222915</v>
      </c>
      <c r="G332" s="110">
        <f aca="true" t="shared" si="5" ref="G332:G395">D332+E332-F332</f>
        <v>0</v>
      </c>
    </row>
    <row r="333" spans="1:7" ht="15" customHeight="1">
      <c r="A333" s="106" t="s">
        <v>365</v>
      </c>
      <c r="B333" s="107">
        <v>6067</v>
      </c>
      <c r="C333" s="108" t="s">
        <v>383</v>
      </c>
      <c r="D333" s="109">
        <v>1680220</v>
      </c>
      <c r="E333" s="110">
        <v>0</v>
      </c>
      <c r="F333" s="109">
        <v>752816</v>
      </c>
      <c r="G333" s="110">
        <f t="shared" si="5"/>
        <v>927404</v>
      </c>
    </row>
    <row r="334" spans="1:7" ht="15" customHeight="1">
      <c r="A334" s="106" t="s">
        <v>365</v>
      </c>
      <c r="B334" s="107">
        <v>6069</v>
      </c>
      <c r="C334" s="108" t="s">
        <v>383</v>
      </c>
      <c r="D334" s="109">
        <v>296509</v>
      </c>
      <c r="E334" s="110">
        <v>0</v>
      </c>
      <c r="F334" s="109">
        <v>132850</v>
      </c>
      <c r="G334" s="110">
        <f t="shared" si="5"/>
        <v>163659</v>
      </c>
    </row>
    <row r="335" spans="1:7" s="120" customFormat="1" ht="15" customHeight="1">
      <c r="A335" s="116">
        <v>85446</v>
      </c>
      <c r="B335" s="117" t="s">
        <v>365</v>
      </c>
      <c r="C335" s="118" t="s">
        <v>168</v>
      </c>
      <c r="D335" s="119">
        <v>100000</v>
      </c>
      <c r="E335" s="121">
        <f>E336</f>
        <v>0</v>
      </c>
      <c r="F335" s="121">
        <f>F336</f>
        <v>23000</v>
      </c>
      <c r="G335" s="121">
        <f t="shared" si="5"/>
        <v>77000</v>
      </c>
    </row>
    <row r="336" spans="1:7" ht="17.25" customHeight="1">
      <c r="A336" s="111" t="s">
        <v>365</v>
      </c>
      <c r="B336" s="112">
        <v>4300</v>
      </c>
      <c r="C336" s="113" t="s">
        <v>368</v>
      </c>
      <c r="D336" s="114">
        <v>100000</v>
      </c>
      <c r="E336" s="115">
        <v>0</v>
      </c>
      <c r="F336" s="114">
        <v>23000</v>
      </c>
      <c r="G336" s="115">
        <f t="shared" si="5"/>
        <v>77000</v>
      </c>
    </row>
    <row r="337" spans="1:7" s="120" customFormat="1" ht="15" customHeight="1">
      <c r="A337" s="122" t="s">
        <v>400</v>
      </c>
      <c r="B337" s="123" t="s">
        <v>365</v>
      </c>
      <c r="C337" s="124" t="s">
        <v>63</v>
      </c>
      <c r="D337" s="125">
        <v>1761000</v>
      </c>
      <c r="E337" s="126">
        <f>E338</f>
        <v>7883255</v>
      </c>
      <c r="F337" s="126">
        <f>F338</f>
        <v>0</v>
      </c>
      <c r="G337" s="126">
        <f t="shared" si="5"/>
        <v>9644255</v>
      </c>
    </row>
    <row r="338" spans="1:7" s="120" customFormat="1" ht="15" customHeight="1">
      <c r="A338" s="116">
        <v>85595</v>
      </c>
      <c r="B338" s="117" t="s">
        <v>365</v>
      </c>
      <c r="C338" s="118" t="s">
        <v>52</v>
      </c>
      <c r="D338" s="119">
        <v>0</v>
      </c>
      <c r="E338" s="121">
        <f>SUM(E339:E372)</f>
        <v>7883255</v>
      </c>
      <c r="F338" s="121">
        <f>SUM(F339:F372)</f>
        <v>0</v>
      </c>
      <c r="G338" s="121">
        <f t="shared" si="5"/>
        <v>7883255</v>
      </c>
    </row>
    <row r="339" spans="1:7" ht="66.75" customHeight="1">
      <c r="A339" s="106" t="s">
        <v>365</v>
      </c>
      <c r="B339" s="107">
        <v>2057</v>
      </c>
      <c r="C339" s="108" t="s">
        <v>412</v>
      </c>
      <c r="D339" s="109">
        <v>0</v>
      </c>
      <c r="E339" s="110">
        <v>5330166</v>
      </c>
      <c r="F339" s="109">
        <v>0</v>
      </c>
      <c r="G339" s="110">
        <f t="shared" si="5"/>
        <v>5330166</v>
      </c>
    </row>
    <row r="340" spans="1:7" ht="66" customHeight="1">
      <c r="A340" s="106" t="s">
        <v>365</v>
      </c>
      <c r="B340" s="107">
        <v>2059</v>
      </c>
      <c r="C340" s="108" t="s">
        <v>412</v>
      </c>
      <c r="D340" s="109">
        <v>0</v>
      </c>
      <c r="E340" s="110">
        <v>438955</v>
      </c>
      <c r="F340" s="109">
        <v>0</v>
      </c>
      <c r="G340" s="110">
        <f t="shared" si="5"/>
        <v>438955</v>
      </c>
    </row>
    <row r="341" spans="1:7" ht="54" customHeight="1">
      <c r="A341" s="106" t="s">
        <v>365</v>
      </c>
      <c r="B341" s="107">
        <v>2360</v>
      </c>
      <c r="C341" s="108" t="s">
        <v>397</v>
      </c>
      <c r="D341" s="109">
        <v>0</v>
      </c>
      <c r="E341" s="110">
        <v>1050000</v>
      </c>
      <c r="F341" s="109">
        <v>0</v>
      </c>
      <c r="G341" s="110">
        <f t="shared" si="5"/>
        <v>1050000</v>
      </c>
    </row>
    <row r="342" spans="1:7" ht="15" customHeight="1">
      <c r="A342" s="106" t="s">
        <v>365</v>
      </c>
      <c r="B342" s="107">
        <v>4017</v>
      </c>
      <c r="C342" s="108" t="s">
        <v>372</v>
      </c>
      <c r="D342" s="109">
        <v>0</v>
      </c>
      <c r="E342" s="110">
        <v>294579</v>
      </c>
      <c r="F342" s="109">
        <v>0</v>
      </c>
      <c r="G342" s="110">
        <f t="shared" si="5"/>
        <v>294579</v>
      </c>
    </row>
    <row r="343" spans="1:7" ht="15" customHeight="1">
      <c r="A343" s="106" t="s">
        <v>365</v>
      </c>
      <c r="B343" s="107">
        <v>4019</v>
      </c>
      <c r="C343" s="108" t="s">
        <v>372</v>
      </c>
      <c r="D343" s="109">
        <v>0</v>
      </c>
      <c r="E343" s="110">
        <v>24259</v>
      </c>
      <c r="F343" s="109">
        <v>0</v>
      </c>
      <c r="G343" s="110">
        <f t="shared" si="5"/>
        <v>24259</v>
      </c>
    </row>
    <row r="344" spans="1:7" ht="15" customHeight="1">
      <c r="A344" s="106" t="s">
        <v>365</v>
      </c>
      <c r="B344" s="107">
        <v>4047</v>
      </c>
      <c r="C344" s="108" t="s">
        <v>379</v>
      </c>
      <c r="D344" s="109">
        <v>0</v>
      </c>
      <c r="E344" s="110">
        <v>8759</v>
      </c>
      <c r="F344" s="109">
        <v>0</v>
      </c>
      <c r="G344" s="110">
        <f t="shared" si="5"/>
        <v>8759</v>
      </c>
    </row>
    <row r="345" spans="1:7" ht="15" customHeight="1">
      <c r="A345" s="106" t="s">
        <v>365</v>
      </c>
      <c r="B345" s="107">
        <v>4049</v>
      </c>
      <c r="C345" s="108" t="s">
        <v>379</v>
      </c>
      <c r="D345" s="109">
        <v>0</v>
      </c>
      <c r="E345" s="110">
        <v>721</v>
      </c>
      <c r="F345" s="109">
        <v>0</v>
      </c>
      <c r="G345" s="110">
        <f t="shared" si="5"/>
        <v>721</v>
      </c>
    </row>
    <row r="346" spans="1:7" ht="15" customHeight="1">
      <c r="A346" s="106" t="s">
        <v>365</v>
      </c>
      <c r="B346" s="107">
        <v>4117</v>
      </c>
      <c r="C346" s="108" t="s">
        <v>373</v>
      </c>
      <c r="D346" s="109">
        <v>0</v>
      </c>
      <c r="E346" s="110">
        <v>52144</v>
      </c>
      <c r="F346" s="109">
        <v>0</v>
      </c>
      <c r="G346" s="110">
        <f t="shared" si="5"/>
        <v>52144</v>
      </c>
    </row>
    <row r="347" spans="1:7" ht="15" customHeight="1">
      <c r="A347" s="106" t="s">
        <v>365</v>
      </c>
      <c r="B347" s="107">
        <v>4119</v>
      </c>
      <c r="C347" s="108" t="s">
        <v>373</v>
      </c>
      <c r="D347" s="109">
        <v>0</v>
      </c>
      <c r="E347" s="110">
        <v>4294</v>
      </c>
      <c r="F347" s="109">
        <v>0</v>
      </c>
      <c r="G347" s="110">
        <f t="shared" si="5"/>
        <v>4294</v>
      </c>
    </row>
    <row r="348" spans="1:7" ht="28.5" customHeight="1">
      <c r="A348" s="111" t="s">
        <v>365</v>
      </c>
      <c r="B348" s="112">
        <v>4127</v>
      </c>
      <c r="C348" s="113" t="s">
        <v>374</v>
      </c>
      <c r="D348" s="114">
        <v>0</v>
      </c>
      <c r="E348" s="115">
        <v>7432</v>
      </c>
      <c r="F348" s="114">
        <v>0</v>
      </c>
      <c r="G348" s="115">
        <f t="shared" si="5"/>
        <v>7432</v>
      </c>
    </row>
    <row r="349" spans="1:7" ht="27" customHeight="1">
      <c r="A349" s="305" t="s">
        <v>365</v>
      </c>
      <c r="B349" s="306">
        <v>4129</v>
      </c>
      <c r="C349" s="307" t="s">
        <v>374</v>
      </c>
      <c r="D349" s="308">
        <v>0</v>
      </c>
      <c r="E349" s="309">
        <v>612</v>
      </c>
      <c r="F349" s="308">
        <v>0</v>
      </c>
      <c r="G349" s="309">
        <f t="shared" si="5"/>
        <v>612</v>
      </c>
    </row>
    <row r="350" spans="1:7" ht="15" customHeight="1">
      <c r="A350" s="106" t="s">
        <v>365</v>
      </c>
      <c r="B350" s="107">
        <v>4170</v>
      </c>
      <c r="C350" s="108" t="s">
        <v>375</v>
      </c>
      <c r="D350" s="109">
        <v>0</v>
      </c>
      <c r="E350" s="110">
        <v>2000</v>
      </c>
      <c r="F350" s="109">
        <v>0</v>
      </c>
      <c r="G350" s="110">
        <f t="shared" si="5"/>
        <v>2000</v>
      </c>
    </row>
    <row r="351" spans="1:7" ht="15" customHeight="1">
      <c r="A351" s="106" t="s">
        <v>365</v>
      </c>
      <c r="B351" s="107">
        <v>4177</v>
      </c>
      <c r="C351" s="108" t="s">
        <v>375</v>
      </c>
      <c r="D351" s="109">
        <v>0</v>
      </c>
      <c r="E351" s="110">
        <v>5544</v>
      </c>
      <c r="F351" s="109">
        <v>0</v>
      </c>
      <c r="G351" s="110">
        <f t="shared" si="5"/>
        <v>5544</v>
      </c>
    </row>
    <row r="352" spans="1:7" ht="15" customHeight="1">
      <c r="A352" s="106" t="s">
        <v>365</v>
      </c>
      <c r="B352" s="107">
        <v>4179</v>
      </c>
      <c r="C352" s="108" t="s">
        <v>375</v>
      </c>
      <c r="D352" s="109">
        <v>0</v>
      </c>
      <c r="E352" s="110">
        <v>456</v>
      </c>
      <c r="F352" s="109">
        <v>0</v>
      </c>
      <c r="G352" s="110">
        <f t="shared" si="5"/>
        <v>456</v>
      </c>
    </row>
    <row r="353" spans="1:7" ht="15" customHeight="1">
      <c r="A353" s="106" t="s">
        <v>365</v>
      </c>
      <c r="B353" s="107">
        <v>4190</v>
      </c>
      <c r="C353" s="108" t="s">
        <v>367</v>
      </c>
      <c r="D353" s="109">
        <v>0</v>
      </c>
      <c r="E353" s="110">
        <v>4000</v>
      </c>
      <c r="F353" s="109">
        <v>0</v>
      </c>
      <c r="G353" s="110">
        <f t="shared" si="5"/>
        <v>4000</v>
      </c>
    </row>
    <row r="354" spans="1:7" ht="15" customHeight="1">
      <c r="A354" s="106" t="s">
        <v>365</v>
      </c>
      <c r="B354" s="107">
        <v>4210</v>
      </c>
      <c r="C354" s="108" t="s">
        <v>376</v>
      </c>
      <c r="D354" s="109">
        <v>0</v>
      </c>
      <c r="E354" s="110">
        <v>3400</v>
      </c>
      <c r="F354" s="109">
        <v>0</v>
      </c>
      <c r="G354" s="110">
        <f t="shared" si="5"/>
        <v>3400</v>
      </c>
    </row>
    <row r="355" spans="1:7" ht="15" customHeight="1">
      <c r="A355" s="106" t="s">
        <v>365</v>
      </c>
      <c r="B355" s="107">
        <v>4217</v>
      </c>
      <c r="C355" s="108" t="s">
        <v>376</v>
      </c>
      <c r="D355" s="109">
        <v>0</v>
      </c>
      <c r="E355" s="110">
        <v>9793</v>
      </c>
      <c r="F355" s="109">
        <v>0</v>
      </c>
      <c r="G355" s="110">
        <f t="shared" si="5"/>
        <v>9793</v>
      </c>
    </row>
    <row r="356" spans="1:7" ht="15" customHeight="1">
      <c r="A356" s="106" t="s">
        <v>365</v>
      </c>
      <c r="B356" s="107">
        <v>4219</v>
      </c>
      <c r="C356" s="108" t="s">
        <v>376</v>
      </c>
      <c r="D356" s="109">
        <v>0</v>
      </c>
      <c r="E356" s="110">
        <v>807</v>
      </c>
      <c r="F356" s="109">
        <v>0</v>
      </c>
      <c r="G356" s="110">
        <f t="shared" si="5"/>
        <v>807</v>
      </c>
    </row>
    <row r="357" spans="1:7" ht="15" customHeight="1">
      <c r="A357" s="106" t="s">
        <v>365</v>
      </c>
      <c r="B357" s="107">
        <v>4220</v>
      </c>
      <c r="C357" s="108" t="s">
        <v>387</v>
      </c>
      <c r="D357" s="109">
        <v>0</v>
      </c>
      <c r="E357" s="110">
        <v>2600</v>
      </c>
      <c r="F357" s="109">
        <v>0</v>
      </c>
      <c r="G357" s="110">
        <f t="shared" si="5"/>
        <v>2600</v>
      </c>
    </row>
    <row r="358" spans="1:7" ht="15" customHeight="1">
      <c r="A358" s="106" t="s">
        <v>365</v>
      </c>
      <c r="B358" s="107">
        <v>4227</v>
      </c>
      <c r="C358" s="108" t="s">
        <v>387</v>
      </c>
      <c r="D358" s="109">
        <v>0</v>
      </c>
      <c r="E358" s="110">
        <v>2033</v>
      </c>
      <c r="F358" s="109">
        <v>0</v>
      </c>
      <c r="G358" s="110">
        <f t="shared" si="5"/>
        <v>2033</v>
      </c>
    </row>
    <row r="359" spans="1:7" ht="15" customHeight="1">
      <c r="A359" s="106" t="s">
        <v>365</v>
      </c>
      <c r="B359" s="107">
        <v>4229</v>
      </c>
      <c r="C359" s="108" t="s">
        <v>387</v>
      </c>
      <c r="D359" s="109">
        <v>0</v>
      </c>
      <c r="E359" s="110">
        <v>167</v>
      </c>
      <c r="F359" s="109">
        <v>0</v>
      </c>
      <c r="G359" s="110">
        <f t="shared" si="5"/>
        <v>167</v>
      </c>
    </row>
    <row r="360" spans="1:7" ht="15" customHeight="1">
      <c r="A360" s="106" t="s">
        <v>365</v>
      </c>
      <c r="B360" s="107">
        <v>4267</v>
      </c>
      <c r="C360" s="108" t="s">
        <v>377</v>
      </c>
      <c r="D360" s="109">
        <v>0</v>
      </c>
      <c r="E360" s="110">
        <v>1848</v>
      </c>
      <c r="F360" s="109">
        <v>0</v>
      </c>
      <c r="G360" s="110">
        <f t="shared" si="5"/>
        <v>1848</v>
      </c>
    </row>
    <row r="361" spans="1:7" ht="15" customHeight="1">
      <c r="A361" s="106" t="s">
        <v>365</v>
      </c>
      <c r="B361" s="107">
        <v>4269</v>
      </c>
      <c r="C361" s="108" t="s">
        <v>377</v>
      </c>
      <c r="D361" s="109">
        <v>0</v>
      </c>
      <c r="E361" s="110">
        <v>152</v>
      </c>
      <c r="F361" s="109">
        <v>0</v>
      </c>
      <c r="G361" s="110">
        <f t="shared" si="5"/>
        <v>152</v>
      </c>
    </row>
    <row r="362" spans="1:7" ht="15" customHeight="1">
      <c r="A362" s="106" t="s">
        <v>365</v>
      </c>
      <c r="B362" s="107">
        <v>4277</v>
      </c>
      <c r="C362" s="108" t="s">
        <v>382</v>
      </c>
      <c r="D362" s="109">
        <v>0</v>
      </c>
      <c r="E362" s="110">
        <v>924</v>
      </c>
      <c r="F362" s="109">
        <v>0</v>
      </c>
      <c r="G362" s="110">
        <f t="shared" si="5"/>
        <v>924</v>
      </c>
    </row>
    <row r="363" spans="1:7" ht="15" customHeight="1">
      <c r="A363" s="106" t="s">
        <v>365</v>
      </c>
      <c r="B363" s="107">
        <v>4279</v>
      </c>
      <c r="C363" s="108" t="s">
        <v>382</v>
      </c>
      <c r="D363" s="109">
        <v>0</v>
      </c>
      <c r="E363" s="110">
        <v>76</v>
      </c>
      <c r="F363" s="109">
        <v>0</v>
      </c>
      <c r="G363" s="110">
        <f t="shared" si="5"/>
        <v>76</v>
      </c>
    </row>
    <row r="364" spans="1:7" ht="15" customHeight="1">
      <c r="A364" s="106" t="s">
        <v>365</v>
      </c>
      <c r="B364" s="107">
        <v>4300</v>
      </c>
      <c r="C364" s="108" t="s">
        <v>368</v>
      </c>
      <c r="D364" s="109">
        <v>0</v>
      </c>
      <c r="E364" s="110">
        <v>164000</v>
      </c>
      <c r="F364" s="109">
        <v>0</v>
      </c>
      <c r="G364" s="110">
        <f t="shared" si="5"/>
        <v>164000</v>
      </c>
    </row>
    <row r="365" spans="1:7" ht="15" customHeight="1">
      <c r="A365" s="106" t="s">
        <v>365</v>
      </c>
      <c r="B365" s="107">
        <v>4307</v>
      </c>
      <c r="C365" s="108" t="s">
        <v>368</v>
      </c>
      <c r="D365" s="109">
        <v>0</v>
      </c>
      <c r="E365" s="110">
        <v>429557</v>
      </c>
      <c r="F365" s="109">
        <v>0</v>
      </c>
      <c r="G365" s="110">
        <f t="shared" si="5"/>
        <v>429557</v>
      </c>
    </row>
    <row r="366" spans="1:7" ht="15" customHeight="1">
      <c r="A366" s="106" t="s">
        <v>365</v>
      </c>
      <c r="B366" s="107">
        <v>4309</v>
      </c>
      <c r="C366" s="108" t="s">
        <v>368</v>
      </c>
      <c r="D366" s="109">
        <v>0</v>
      </c>
      <c r="E366" s="110">
        <v>35377</v>
      </c>
      <c r="F366" s="109">
        <v>0</v>
      </c>
      <c r="G366" s="110">
        <f t="shared" si="5"/>
        <v>35377</v>
      </c>
    </row>
    <row r="367" spans="1:7" ht="15" customHeight="1">
      <c r="A367" s="106" t="s">
        <v>365</v>
      </c>
      <c r="B367" s="107">
        <v>4367</v>
      </c>
      <c r="C367" s="108" t="s">
        <v>388</v>
      </c>
      <c r="D367" s="109">
        <v>0</v>
      </c>
      <c r="E367" s="110">
        <v>924</v>
      </c>
      <c r="F367" s="109">
        <v>0</v>
      </c>
      <c r="G367" s="110">
        <f t="shared" si="5"/>
        <v>924</v>
      </c>
    </row>
    <row r="368" spans="1:7" ht="15" customHeight="1">
      <c r="A368" s="106" t="s">
        <v>365</v>
      </c>
      <c r="B368" s="107">
        <v>4369</v>
      </c>
      <c r="C368" s="108" t="s">
        <v>388</v>
      </c>
      <c r="D368" s="109">
        <v>0</v>
      </c>
      <c r="E368" s="110">
        <v>76</v>
      </c>
      <c r="F368" s="109">
        <v>0</v>
      </c>
      <c r="G368" s="110">
        <f t="shared" si="5"/>
        <v>76</v>
      </c>
    </row>
    <row r="369" spans="1:7" ht="15" customHeight="1">
      <c r="A369" s="106" t="s">
        <v>365</v>
      </c>
      <c r="B369" s="107">
        <v>4417</v>
      </c>
      <c r="C369" s="108" t="s">
        <v>384</v>
      </c>
      <c r="D369" s="109">
        <v>0</v>
      </c>
      <c r="E369" s="110">
        <v>5174</v>
      </c>
      <c r="F369" s="109">
        <v>0</v>
      </c>
      <c r="G369" s="110">
        <f t="shared" si="5"/>
        <v>5174</v>
      </c>
    </row>
    <row r="370" spans="1:7" ht="15" customHeight="1">
      <c r="A370" s="106" t="s">
        <v>365</v>
      </c>
      <c r="B370" s="107">
        <v>4419</v>
      </c>
      <c r="C370" s="108" t="s">
        <v>384</v>
      </c>
      <c r="D370" s="109">
        <v>0</v>
      </c>
      <c r="E370" s="110">
        <v>426</v>
      </c>
      <c r="F370" s="109">
        <v>0</v>
      </c>
      <c r="G370" s="110">
        <f t="shared" si="5"/>
        <v>426</v>
      </c>
    </row>
    <row r="371" spans="1:7" ht="28.5" customHeight="1">
      <c r="A371" s="106" t="s">
        <v>365</v>
      </c>
      <c r="B371" s="107">
        <v>4707</v>
      </c>
      <c r="C371" s="108" t="s">
        <v>389</v>
      </c>
      <c r="D371" s="109">
        <v>0</v>
      </c>
      <c r="E371" s="110">
        <v>1848</v>
      </c>
      <c r="F371" s="109">
        <v>0</v>
      </c>
      <c r="G371" s="110">
        <f t="shared" si="5"/>
        <v>1848</v>
      </c>
    </row>
    <row r="372" spans="1:7" ht="27.75" customHeight="1">
      <c r="A372" s="106" t="s">
        <v>365</v>
      </c>
      <c r="B372" s="107">
        <v>4709</v>
      </c>
      <c r="C372" s="108" t="s">
        <v>389</v>
      </c>
      <c r="D372" s="109">
        <v>0</v>
      </c>
      <c r="E372" s="110">
        <v>152</v>
      </c>
      <c r="F372" s="109">
        <v>0</v>
      </c>
      <c r="G372" s="110">
        <f t="shared" si="5"/>
        <v>152</v>
      </c>
    </row>
    <row r="373" spans="1:7" s="120" customFormat="1" ht="27.75" customHeight="1">
      <c r="A373" s="122" t="s">
        <v>79</v>
      </c>
      <c r="B373" s="123" t="s">
        <v>365</v>
      </c>
      <c r="C373" s="124" t="s">
        <v>38</v>
      </c>
      <c r="D373" s="125">
        <v>19449762</v>
      </c>
      <c r="E373" s="126">
        <f>E374+E376+E378+E380+E383+E387</f>
        <v>365506</v>
      </c>
      <c r="F373" s="126">
        <f>F374+F376+F378+F380+F383+F387</f>
        <v>4412736</v>
      </c>
      <c r="G373" s="126">
        <f t="shared" si="5"/>
        <v>15402532</v>
      </c>
    </row>
    <row r="374" spans="1:7" s="120" customFormat="1" ht="18.75" customHeight="1">
      <c r="A374" s="116">
        <v>90001</v>
      </c>
      <c r="B374" s="117" t="s">
        <v>365</v>
      </c>
      <c r="C374" s="118" t="s">
        <v>364</v>
      </c>
      <c r="D374" s="119">
        <v>0</v>
      </c>
      <c r="E374" s="121">
        <f>E375</f>
        <v>45710</v>
      </c>
      <c r="F374" s="121">
        <f>F375</f>
        <v>0</v>
      </c>
      <c r="G374" s="121">
        <f t="shared" si="5"/>
        <v>45710</v>
      </c>
    </row>
    <row r="375" spans="1:7" ht="41.25" customHeight="1">
      <c r="A375" s="106" t="s">
        <v>365</v>
      </c>
      <c r="B375" s="107">
        <v>6300</v>
      </c>
      <c r="C375" s="108" t="s">
        <v>366</v>
      </c>
      <c r="D375" s="109">
        <v>0</v>
      </c>
      <c r="E375" s="110">
        <v>45710</v>
      </c>
      <c r="F375" s="109">
        <v>0</v>
      </c>
      <c r="G375" s="110">
        <f t="shared" si="5"/>
        <v>45710</v>
      </c>
    </row>
    <row r="376" spans="1:7" s="120" customFormat="1" ht="15" customHeight="1">
      <c r="A376" s="116">
        <v>90005</v>
      </c>
      <c r="B376" s="117" t="s">
        <v>365</v>
      </c>
      <c r="C376" s="118" t="s">
        <v>64</v>
      </c>
      <c r="D376" s="119">
        <v>147000</v>
      </c>
      <c r="E376" s="121">
        <f>E377</f>
        <v>0</v>
      </c>
      <c r="F376" s="121">
        <f>F377</f>
        <v>10000</v>
      </c>
      <c r="G376" s="121">
        <f t="shared" si="5"/>
        <v>137000</v>
      </c>
    </row>
    <row r="377" spans="1:7" ht="42.75" customHeight="1">
      <c r="A377" s="106" t="s">
        <v>365</v>
      </c>
      <c r="B377" s="107">
        <v>6300</v>
      </c>
      <c r="C377" s="108" t="s">
        <v>366</v>
      </c>
      <c r="D377" s="109">
        <v>10000</v>
      </c>
      <c r="E377" s="110">
        <v>0</v>
      </c>
      <c r="F377" s="109">
        <v>10000</v>
      </c>
      <c r="G377" s="110">
        <f t="shared" si="5"/>
        <v>0</v>
      </c>
    </row>
    <row r="378" spans="1:7" s="120" customFormat="1" ht="15" customHeight="1">
      <c r="A378" s="116">
        <v>90015</v>
      </c>
      <c r="B378" s="117" t="s">
        <v>365</v>
      </c>
      <c r="C378" s="118" t="s">
        <v>363</v>
      </c>
      <c r="D378" s="119">
        <v>0</v>
      </c>
      <c r="E378" s="121">
        <f>E379</f>
        <v>15909</v>
      </c>
      <c r="F378" s="121">
        <f>F379</f>
        <v>0</v>
      </c>
      <c r="G378" s="121">
        <f t="shared" si="5"/>
        <v>15909</v>
      </c>
    </row>
    <row r="379" spans="1:7" ht="42" customHeight="1">
      <c r="A379" s="106" t="s">
        <v>365</v>
      </c>
      <c r="B379" s="107">
        <v>6300</v>
      </c>
      <c r="C379" s="108" t="s">
        <v>366</v>
      </c>
      <c r="D379" s="109">
        <v>0</v>
      </c>
      <c r="E379" s="110">
        <v>15909</v>
      </c>
      <c r="F379" s="109">
        <v>0</v>
      </c>
      <c r="G379" s="110">
        <f t="shared" si="5"/>
        <v>15909</v>
      </c>
    </row>
    <row r="380" spans="1:7" s="120" customFormat="1" ht="28.5" customHeight="1">
      <c r="A380" s="116">
        <v>90019</v>
      </c>
      <c r="B380" s="117" t="s">
        <v>365</v>
      </c>
      <c r="C380" s="118" t="s">
        <v>192</v>
      </c>
      <c r="D380" s="119">
        <v>869873</v>
      </c>
      <c r="E380" s="121">
        <f>SUM(E381:E382)</f>
        <v>45000</v>
      </c>
      <c r="F380" s="121">
        <f>SUM(F381:F382)</f>
        <v>45000</v>
      </c>
      <c r="G380" s="121">
        <f t="shared" si="5"/>
        <v>869873</v>
      </c>
    </row>
    <row r="381" spans="1:7" ht="15" customHeight="1">
      <c r="A381" s="106" t="s">
        <v>365</v>
      </c>
      <c r="B381" s="107">
        <v>4010</v>
      </c>
      <c r="C381" s="108" t="s">
        <v>372</v>
      </c>
      <c r="D381" s="109">
        <v>451000</v>
      </c>
      <c r="E381" s="110">
        <v>0</v>
      </c>
      <c r="F381" s="109">
        <v>45000</v>
      </c>
      <c r="G381" s="110">
        <f t="shared" si="5"/>
        <v>406000</v>
      </c>
    </row>
    <row r="382" spans="1:7" ht="15" customHeight="1">
      <c r="A382" s="106" t="s">
        <v>365</v>
      </c>
      <c r="B382" s="107">
        <v>4210</v>
      </c>
      <c r="C382" s="108" t="s">
        <v>376</v>
      </c>
      <c r="D382" s="109">
        <v>15000</v>
      </c>
      <c r="E382" s="110">
        <v>45000</v>
      </c>
      <c r="F382" s="109">
        <v>0</v>
      </c>
      <c r="G382" s="110">
        <f t="shared" si="5"/>
        <v>60000</v>
      </c>
    </row>
    <row r="383" spans="1:7" s="120" customFormat="1" ht="15" customHeight="1">
      <c r="A383" s="116">
        <v>90026</v>
      </c>
      <c r="B383" s="117" t="s">
        <v>365</v>
      </c>
      <c r="C383" s="118" t="s">
        <v>214</v>
      </c>
      <c r="D383" s="119">
        <v>5490458</v>
      </c>
      <c r="E383" s="121">
        <f>SUM(E384:E386)</f>
        <v>45000</v>
      </c>
      <c r="F383" s="121">
        <f>SUM(F384:F386)</f>
        <v>0</v>
      </c>
      <c r="G383" s="121">
        <f t="shared" si="5"/>
        <v>5535458</v>
      </c>
    </row>
    <row r="384" spans="1:7" ht="15" customHeight="1">
      <c r="A384" s="106" t="s">
        <v>365</v>
      </c>
      <c r="B384" s="107">
        <v>4010</v>
      </c>
      <c r="C384" s="108" t="s">
        <v>372</v>
      </c>
      <c r="D384" s="109">
        <v>0</v>
      </c>
      <c r="E384" s="110">
        <v>37614</v>
      </c>
      <c r="F384" s="109">
        <v>0</v>
      </c>
      <c r="G384" s="110">
        <f t="shared" si="5"/>
        <v>37614</v>
      </c>
    </row>
    <row r="385" spans="1:7" ht="15" customHeight="1">
      <c r="A385" s="106" t="s">
        <v>365</v>
      </c>
      <c r="B385" s="107">
        <v>4110</v>
      </c>
      <c r="C385" s="108" t="s">
        <v>373</v>
      </c>
      <c r="D385" s="109">
        <v>0</v>
      </c>
      <c r="E385" s="110">
        <v>6465</v>
      </c>
      <c r="F385" s="109">
        <v>0</v>
      </c>
      <c r="G385" s="110">
        <f t="shared" si="5"/>
        <v>6465</v>
      </c>
    </row>
    <row r="386" spans="1:7" ht="28.5" customHeight="1">
      <c r="A386" s="106" t="s">
        <v>365</v>
      </c>
      <c r="B386" s="107">
        <v>4120</v>
      </c>
      <c r="C386" s="108" t="s">
        <v>374</v>
      </c>
      <c r="D386" s="109">
        <v>0</v>
      </c>
      <c r="E386" s="110">
        <v>921</v>
      </c>
      <c r="F386" s="109">
        <v>0</v>
      </c>
      <c r="G386" s="110">
        <f t="shared" si="5"/>
        <v>921</v>
      </c>
    </row>
    <row r="387" spans="1:7" s="120" customFormat="1" ht="15" customHeight="1">
      <c r="A387" s="116">
        <v>90095</v>
      </c>
      <c r="B387" s="117" t="s">
        <v>365</v>
      </c>
      <c r="C387" s="118" t="s">
        <v>52</v>
      </c>
      <c r="D387" s="119">
        <v>12875231</v>
      </c>
      <c r="E387" s="121">
        <f>SUM(E388:E395)</f>
        <v>213887</v>
      </c>
      <c r="F387" s="121">
        <f>SUM(F388:F395)</f>
        <v>4357736</v>
      </c>
      <c r="G387" s="121">
        <f t="shared" si="5"/>
        <v>8731382</v>
      </c>
    </row>
    <row r="388" spans="1:7" ht="15" customHeight="1">
      <c r="A388" s="106" t="s">
        <v>365</v>
      </c>
      <c r="B388" s="107">
        <v>4110</v>
      </c>
      <c r="C388" s="108" t="s">
        <v>373</v>
      </c>
      <c r="D388" s="109">
        <v>95059</v>
      </c>
      <c r="E388" s="110">
        <v>0</v>
      </c>
      <c r="F388" s="109">
        <v>7736</v>
      </c>
      <c r="G388" s="110">
        <f t="shared" si="5"/>
        <v>87323</v>
      </c>
    </row>
    <row r="389" spans="1:7" ht="15" customHeight="1">
      <c r="A389" s="106" t="s">
        <v>365</v>
      </c>
      <c r="B389" s="107">
        <v>4170</v>
      </c>
      <c r="C389" s="108" t="s">
        <v>375</v>
      </c>
      <c r="D389" s="109">
        <v>66000</v>
      </c>
      <c r="E389" s="110">
        <v>0</v>
      </c>
      <c r="F389" s="109">
        <v>500</v>
      </c>
      <c r="G389" s="110">
        <f t="shared" si="5"/>
        <v>65500</v>
      </c>
    </row>
    <row r="390" spans="1:7" ht="15" customHeight="1">
      <c r="A390" s="106" t="s">
        <v>365</v>
      </c>
      <c r="B390" s="107">
        <v>4190</v>
      </c>
      <c r="C390" s="108" t="s">
        <v>367</v>
      </c>
      <c r="D390" s="109">
        <v>10000</v>
      </c>
      <c r="E390" s="110">
        <v>0</v>
      </c>
      <c r="F390" s="109">
        <v>10000</v>
      </c>
      <c r="G390" s="110">
        <f t="shared" si="5"/>
        <v>0</v>
      </c>
    </row>
    <row r="391" spans="1:7" ht="15" customHeight="1">
      <c r="A391" s="106" t="s">
        <v>365</v>
      </c>
      <c r="B391" s="107">
        <v>4210</v>
      </c>
      <c r="C391" s="108" t="s">
        <v>376</v>
      </c>
      <c r="D391" s="109">
        <v>10350</v>
      </c>
      <c r="E391" s="110">
        <v>0</v>
      </c>
      <c r="F391" s="109">
        <v>10000</v>
      </c>
      <c r="G391" s="110">
        <f t="shared" si="5"/>
        <v>350</v>
      </c>
    </row>
    <row r="392" spans="1:7" ht="15" customHeight="1">
      <c r="A392" s="106" t="s">
        <v>365</v>
      </c>
      <c r="B392" s="107">
        <v>4300</v>
      </c>
      <c r="C392" s="108" t="s">
        <v>368</v>
      </c>
      <c r="D392" s="109">
        <v>201000</v>
      </c>
      <c r="E392" s="110">
        <v>140236</v>
      </c>
      <c r="F392" s="109">
        <v>0</v>
      </c>
      <c r="G392" s="110">
        <f t="shared" si="5"/>
        <v>341236</v>
      </c>
    </row>
    <row r="393" spans="1:7" ht="28.5" customHeight="1">
      <c r="A393" s="106" t="s">
        <v>365</v>
      </c>
      <c r="B393" s="107">
        <v>4700</v>
      </c>
      <c r="C393" s="108" t="s">
        <v>389</v>
      </c>
      <c r="D393" s="109">
        <v>20000</v>
      </c>
      <c r="E393" s="110">
        <v>0</v>
      </c>
      <c r="F393" s="109">
        <v>17000</v>
      </c>
      <c r="G393" s="110">
        <f t="shared" si="5"/>
        <v>3000</v>
      </c>
    </row>
    <row r="394" spans="1:7" ht="69" customHeight="1">
      <c r="A394" s="111" t="s">
        <v>365</v>
      </c>
      <c r="B394" s="112">
        <v>6209</v>
      </c>
      <c r="C394" s="113" t="s">
        <v>390</v>
      </c>
      <c r="D394" s="114">
        <v>4312500</v>
      </c>
      <c r="E394" s="115">
        <v>0</v>
      </c>
      <c r="F394" s="114">
        <v>4312500</v>
      </c>
      <c r="G394" s="115">
        <f t="shared" si="5"/>
        <v>0</v>
      </c>
    </row>
    <row r="395" spans="1:7" ht="69" customHeight="1">
      <c r="A395" s="315" t="s">
        <v>365</v>
      </c>
      <c r="B395" s="316">
        <v>6259</v>
      </c>
      <c r="C395" s="317" t="s">
        <v>392</v>
      </c>
      <c r="D395" s="318">
        <v>4297591</v>
      </c>
      <c r="E395" s="319">
        <v>73651</v>
      </c>
      <c r="F395" s="318">
        <v>0</v>
      </c>
      <c r="G395" s="319">
        <f t="shared" si="5"/>
        <v>4371242</v>
      </c>
    </row>
    <row r="396" spans="1:7" s="120" customFormat="1" ht="28.5" customHeight="1">
      <c r="A396" s="122" t="s">
        <v>250</v>
      </c>
      <c r="B396" s="123" t="s">
        <v>365</v>
      </c>
      <c r="C396" s="124" t="s">
        <v>39</v>
      </c>
      <c r="D396" s="125">
        <v>110255906</v>
      </c>
      <c r="E396" s="126">
        <f>E397+E400+E404+E408+E412+E415+E418+E422+E437</f>
        <v>7344299</v>
      </c>
      <c r="F396" s="126">
        <f>F397+F400+F404+F408+F412+F415+F418+F422+F437</f>
        <v>55000</v>
      </c>
      <c r="G396" s="126">
        <f aca="true" t="shared" si="6" ref="G396:G459">D396+E396-F396</f>
        <v>117545205</v>
      </c>
    </row>
    <row r="397" spans="1:7" s="120" customFormat="1" ht="15" customHeight="1">
      <c r="A397" s="116">
        <v>92105</v>
      </c>
      <c r="B397" s="117" t="s">
        <v>365</v>
      </c>
      <c r="C397" s="118" t="s">
        <v>208</v>
      </c>
      <c r="D397" s="119">
        <v>1000000</v>
      </c>
      <c r="E397" s="121">
        <f>SUM(E398:E399)</f>
        <v>814988</v>
      </c>
      <c r="F397" s="121">
        <f>SUM(F398:F399)</f>
        <v>0</v>
      </c>
      <c r="G397" s="121">
        <f t="shared" si="6"/>
        <v>1814988</v>
      </c>
    </row>
    <row r="398" spans="1:7" ht="28.5" customHeight="1">
      <c r="A398" s="106" t="s">
        <v>365</v>
      </c>
      <c r="B398" s="107">
        <v>2800</v>
      </c>
      <c r="C398" s="108" t="s">
        <v>401</v>
      </c>
      <c r="D398" s="109">
        <v>0</v>
      </c>
      <c r="E398" s="110">
        <v>470000</v>
      </c>
      <c r="F398" s="109">
        <v>0</v>
      </c>
      <c r="G398" s="110">
        <f t="shared" si="6"/>
        <v>470000</v>
      </c>
    </row>
    <row r="399" spans="1:7" ht="42" customHeight="1">
      <c r="A399" s="106" t="s">
        <v>365</v>
      </c>
      <c r="B399" s="107">
        <v>6220</v>
      </c>
      <c r="C399" s="108" t="s">
        <v>391</v>
      </c>
      <c r="D399" s="109">
        <v>1000000</v>
      </c>
      <c r="E399" s="110">
        <v>344988</v>
      </c>
      <c r="F399" s="109">
        <v>0</v>
      </c>
      <c r="G399" s="110">
        <f t="shared" si="6"/>
        <v>1344988</v>
      </c>
    </row>
    <row r="400" spans="1:7" s="120" customFormat="1" ht="15" customHeight="1">
      <c r="A400" s="116">
        <v>92106</v>
      </c>
      <c r="B400" s="117" t="s">
        <v>365</v>
      </c>
      <c r="C400" s="118" t="s">
        <v>195</v>
      </c>
      <c r="D400" s="119">
        <v>28192598</v>
      </c>
      <c r="E400" s="121">
        <f>SUM(E401:E403)</f>
        <v>2389820</v>
      </c>
      <c r="F400" s="121">
        <f>SUM(F401:F403)</f>
        <v>0</v>
      </c>
      <c r="G400" s="121">
        <f t="shared" si="6"/>
        <v>30582418</v>
      </c>
    </row>
    <row r="401" spans="1:7" ht="28.5" customHeight="1">
      <c r="A401" s="106" t="s">
        <v>365</v>
      </c>
      <c r="B401" s="107">
        <v>2480</v>
      </c>
      <c r="C401" s="108" t="s">
        <v>402</v>
      </c>
      <c r="D401" s="109">
        <v>26907300</v>
      </c>
      <c r="E401" s="110">
        <v>760000</v>
      </c>
      <c r="F401" s="109">
        <v>0</v>
      </c>
      <c r="G401" s="110">
        <f t="shared" si="6"/>
        <v>27667300</v>
      </c>
    </row>
    <row r="402" spans="1:7" ht="28.5" customHeight="1">
      <c r="A402" s="106" t="s">
        <v>365</v>
      </c>
      <c r="B402" s="107">
        <v>2800</v>
      </c>
      <c r="C402" s="108" t="s">
        <v>401</v>
      </c>
      <c r="D402" s="109">
        <v>0</v>
      </c>
      <c r="E402" s="110">
        <v>49820</v>
      </c>
      <c r="F402" s="109">
        <v>0</v>
      </c>
      <c r="G402" s="110">
        <f t="shared" si="6"/>
        <v>49820</v>
      </c>
    </row>
    <row r="403" spans="1:7" ht="42" customHeight="1">
      <c r="A403" s="106" t="s">
        <v>365</v>
      </c>
      <c r="B403" s="107">
        <v>6220</v>
      </c>
      <c r="C403" s="108" t="s">
        <v>391</v>
      </c>
      <c r="D403" s="109">
        <v>1285298</v>
      </c>
      <c r="E403" s="110">
        <v>1580000</v>
      </c>
      <c r="F403" s="109">
        <v>0</v>
      </c>
      <c r="G403" s="110">
        <f t="shared" si="6"/>
        <v>2865298</v>
      </c>
    </row>
    <row r="404" spans="1:7" s="120" customFormat="1" ht="15" customHeight="1">
      <c r="A404" s="116">
        <v>92108</v>
      </c>
      <c r="B404" s="117" t="s">
        <v>365</v>
      </c>
      <c r="C404" s="118" t="s">
        <v>196</v>
      </c>
      <c r="D404" s="119">
        <v>12668216</v>
      </c>
      <c r="E404" s="121">
        <f>SUM(E405:E407)</f>
        <v>691709</v>
      </c>
      <c r="F404" s="121">
        <f>SUM(F405:F407)</f>
        <v>0</v>
      </c>
      <c r="G404" s="121">
        <f t="shared" si="6"/>
        <v>13359925</v>
      </c>
    </row>
    <row r="405" spans="1:7" ht="28.5" customHeight="1">
      <c r="A405" s="106" t="s">
        <v>365</v>
      </c>
      <c r="B405" s="107">
        <v>2480</v>
      </c>
      <c r="C405" s="108" t="s">
        <v>402</v>
      </c>
      <c r="D405" s="109">
        <v>8667446</v>
      </c>
      <c r="E405" s="110">
        <v>67098</v>
      </c>
      <c r="F405" s="109">
        <v>0</v>
      </c>
      <c r="G405" s="110">
        <f t="shared" si="6"/>
        <v>8734544</v>
      </c>
    </row>
    <row r="406" spans="1:7" ht="28.5" customHeight="1">
      <c r="A406" s="106" t="s">
        <v>365</v>
      </c>
      <c r="B406" s="107">
        <v>2800</v>
      </c>
      <c r="C406" s="108" t="s">
        <v>401</v>
      </c>
      <c r="D406" s="109">
        <v>118018</v>
      </c>
      <c r="E406" s="110">
        <v>59094</v>
      </c>
      <c r="F406" s="109">
        <v>0</v>
      </c>
      <c r="G406" s="110">
        <f t="shared" si="6"/>
        <v>177112</v>
      </c>
    </row>
    <row r="407" spans="1:7" ht="43.5" customHeight="1">
      <c r="A407" s="106" t="s">
        <v>365</v>
      </c>
      <c r="B407" s="107">
        <v>6220</v>
      </c>
      <c r="C407" s="108" t="s">
        <v>391</v>
      </c>
      <c r="D407" s="109">
        <v>3882752</v>
      </c>
      <c r="E407" s="110">
        <v>565517</v>
      </c>
      <c r="F407" s="109">
        <v>0</v>
      </c>
      <c r="G407" s="110">
        <f t="shared" si="6"/>
        <v>4448269</v>
      </c>
    </row>
    <row r="408" spans="1:7" s="120" customFormat="1" ht="15" customHeight="1">
      <c r="A408" s="116">
        <v>92109</v>
      </c>
      <c r="B408" s="117" t="s">
        <v>365</v>
      </c>
      <c r="C408" s="118" t="s">
        <v>197</v>
      </c>
      <c r="D408" s="119">
        <v>6731661</v>
      </c>
      <c r="E408" s="121">
        <f>SUM(E409:E411)</f>
        <v>174378</v>
      </c>
      <c r="F408" s="121">
        <f>SUM(F409:F411)</f>
        <v>0</v>
      </c>
      <c r="G408" s="121">
        <f t="shared" si="6"/>
        <v>6906039</v>
      </c>
    </row>
    <row r="409" spans="1:7" ht="28.5" customHeight="1">
      <c r="A409" s="106" t="s">
        <v>365</v>
      </c>
      <c r="B409" s="107">
        <v>2800</v>
      </c>
      <c r="C409" s="108" t="s">
        <v>401</v>
      </c>
      <c r="D409" s="109">
        <v>15000</v>
      </c>
      <c r="E409" s="110">
        <v>66928</v>
      </c>
      <c r="F409" s="109">
        <v>0</v>
      </c>
      <c r="G409" s="110">
        <f t="shared" si="6"/>
        <v>81928</v>
      </c>
    </row>
    <row r="410" spans="1:7" ht="44.25" customHeight="1">
      <c r="A410" s="106" t="s">
        <v>365</v>
      </c>
      <c r="B410" s="107">
        <v>6220</v>
      </c>
      <c r="C410" s="108" t="s">
        <v>391</v>
      </c>
      <c r="D410" s="109">
        <v>60000</v>
      </c>
      <c r="E410" s="110">
        <v>103200</v>
      </c>
      <c r="F410" s="109">
        <v>0</v>
      </c>
      <c r="G410" s="110">
        <f t="shared" si="6"/>
        <v>163200</v>
      </c>
    </row>
    <row r="411" spans="1:7" ht="42.75" customHeight="1">
      <c r="A411" s="106" t="s">
        <v>365</v>
      </c>
      <c r="B411" s="107">
        <v>6300</v>
      </c>
      <c r="C411" s="108" t="s">
        <v>366</v>
      </c>
      <c r="D411" s="109">
        <v>0</v>
      </c>
      <c r="E411" s="110">
        <v>4250</v>
      </c>
      <c r="F411" s="109">
        <v>0</v>
      </c>
      <c r="G411" s="110">
        <f t="shared" si="6"/>
        <v>4250</v>
      </c>
    </row>
    <row r="412" spans="1:7" s="120" customFormat="1" ht="15" customHeight="1">
      <c r="A412" s="116">
        <v>92110</v>
      </c>
      <c r="B412" s="117" t="s">
        <v>365</v>
      </c>
      <c r="C412" s="118" t="s">
        <v>198</v>
      </c>
      <c r="D412" s="119">
        <v>2350220</v>
      </c>
      <c r="E412" s="121">
        <f>SUM(E413:E414)</f>
        <v>136200</v>
      </c>
      <c r="F412" s="121">
        <f>SUM(F413:F414)</f>
        <v>0</v>
      </c>
      <c r="G412" s="121">
        <f t="shared" si="6"/>
        <v>2486420</v>
      </c>
    </row>
    <row r="413" spans="1:7" ht="28.5" customHeight="1">
      <c r="A413" s="106" t="s">
        <v>365</v>
      </c>
      <c r="B413" s="107">
        <v>2480</v>
      </c>
      <c r="C413" s="108" t="s">
        <v>402</v>
      </c>
      <c r="D413" s="109">
        <v>2350220</v>
      </c>
      <c r="E413" s="110">
        <v>107000</v>
      </c>
      <c r="F413" s="109">
        <v>0</v>
      </c>
      <c r="G413" s="110">
        <f t="shared" si="6"/>
        <v>2457220</v>
      </c>
    </row>
    <row r="414" spans="1:7" ht="38.25" customHeight="1">
      <c r="A414" s="106" t="s">
        <v>365</v>
      </c>
      <c r="B414" s="107">
        <v>2800</v>
      </c>
      <c r="C414" s="108" t="s">
        <v>401</v>
      </c>
      <c r="D414" s="109">
        <v>0</v>
      </c>
      <c r="E414" s="110">
        <v>29200</v>
      </c>
      <c r="F414" s="109">
        <v>0</v>
      </c>
      <c r="G414" s="110">
        <f t="shared" si="6"/>
        <v>29200</v>
      </c>
    </row>
    <row r="415" spans="1:7" s="120" customFormat="1" ht="15" customHeight="1">
      <c r="A415" s="116">
        <v>92116</v>
      </c>
      <c r="B415" s="117" t="s">
        <v>365</v>
      </c>
      <c r="C415" s="118" t="s">
        <v>200</v>
      </c>
      <c r="D415" s="119">
        <v>19345790</v>
      </c>
      <c r="E415" s="121">
        <f>SUM(E416:E417)</f>
        <v>144131</v>
      </c>
      <c r="F415" s="121">
        <f>SUM(F416:F417)</f>
        <v>0</v>
      </c>
      <c r="G415" s="121">
        <f t="shared" si="6"/>
        <v>19489921</v>
      </c>
    </row>
    <row r="416" spans="1:7" ht="28.5" customHeight="1">
      <c r="A416" s="106" t="s">
        <v>365</v>
      </c>
      <c r="B416" s="107">
        <v>2480</v>
      </c>
      <c r="C416" s="108" t="s">
        <v>402</v>
      </c>
      <c r="D416" s="109">
        <v>19292690</v>
      </c>
      <c r="E416" s="110">
        <v>51631</v>
      </c>
      <c r="F416" s="109">
        <v>0</v>
      </c>
      <c r="G416" s="110">
        <f t="shared" si="6"/>
        <v>19344321</v>
      </c>
    </row>
    <row r="417" spans="1:7" ht="28.5" customHeight="1">
      <c r="A417" s="106" t="s">
        <v>365</v>
      </c>
      <c r="B417" s="107">
        <v>2800</v>
      </c>
      <c r="C417" s="108" t="s">
        <v>401</v>
      </c>
      <c r="D417" s="109">
        <v>53100</v>
      </c>
      <c r="E417" s="110">
        <v>92500</v>
      </c>
      <c r="F417" s="109">
        <v>0</v>
      </c>
      <c r="G417" s="110">
        <f t="shared" si="6"/>
        <v>145600</v>
      </c>
    </row>
    <row r="418" spans="1:7" s="120" customFormat="1" ht="15" customHeight="1">
      <c r="A418" s="116">
        <v>92118</v>
      </c>
      <c r="B418" s="117" t="s">
        <v>365</v>
      </c>
      <c r="C418" s="118" t="s">
        <v>201</v>
      </c>
      <c r="D418" s="119">
        <v>13004000</v>
      </c>
      <c r="E418" s="121">
        <f>SUM(E419:E421)</f>
        <v>314786</v>
      </c>
      <c r="F418" s="121">
        <f>SUM(F419:F421)</f>
        <v>0</v>
      </c>
      <c r="G418" s="121">
        <f t="shared" si="6"/>
        <v>13318786</v>
      </c>
    </row>
    <row r="419" spans="1:7" ht="28.5" customHeight="1">
      <c r="A419" s="106" t="s">
        <v>365</v>
      </c>
      <c r="B419" s="107">
        <v>2480</v>
      </c>
      <c r="C419" s="108" t="s">
        <v>402</v>
      </c>
      <c r="D419" s="109">
        <v>12830000</v>
      </c>
      <c r="E419" s="110">
        <v>9883</v>
      </c>
      <c r="F419" s="109">
        <v>0</v>
      </c>
      <c r="G419" s="110">
        <f t="shared" si="6"/>
        <v>12839883</v>
      </c>
    </row>
    <row r="420" spans="1:7" ht="28.5" customHeight="1">
      <c r="A420" s="106" t="s">
        <v>365</v>
      </c>
      <c r="B420" s="107">
        <v>2800</v>
      </c>
      <c r="C420" s="108" t="s">
        <v>401</v>
      </c>
      <c r="D420" s="109">
        <v>0</v>
      </c>
      <c r="E420" s="110">
        <v>4793</v>
      </c>
      <c r="F420" s="109">
        <v>0</v>
      </c>
      <c r="G420" s="110">
        <f t="shared" si="6"/>
        <v>4793</v>
      </c>
    </row>
    <row r="421" spans="1:7" ht="42" customHeight="1">
      <c r="A421" s="106" t="s">
        <v>365</v>
      </c>
      <c r="B421" s="107">
        <v>6220</v>
      </c>
      <c r="C421" s="108" t="s">
        <v>391</v>
      </c>
      <c r="D421" s="109">
        <v>100000</v>
      </c>
      <c r="E421" s="110">
        <v>300110</v>
      </c>
      <c r="F421" s="109">
        <v>0</v>
      </c>
      <c r="G421" s="110">
        <f t="shared" si="6"/>
        <v>400110</v>
      </c>
    </row>
    <row r="422" spans="1:7" s="120" customFormat="1" ht="15" customHeight="1">
      <c r="A422" s="116">
        <v>92120</v>
      </c>
      <c r="B422" s="117" t="s">
        <v>365</v>
      </c>
      <c r="C422" s="118" t="s">
        <v>202</v>
      </c>
      <c r="D422" s="119">
        <v>3060498</v>
      </c>
      <c r="E422" s="121">
        <f>SUM(E423:E436)</f>
        <v>604706</v>
      </c>
      <c r="F422" s="121">
        <f>SUM(F423:F436)</f>
        <v>55000</v>
      </c>
      <c r="G422" s="121">
        <f t="shared" si="6"/>
        <v>3610204</v>
      </c>
    </row>
    <row r="423" spans="1:7" ht="55.5" customHeight="1">
      <c r="A423" s="106" t="s">
        <v>365</v>
      </c>
      <c r="B423" s="107">
        <v>2720</v>
      </c>
      <c r="C423" s="108" t="s">
        <v>403</v>
      </c>
      <c r="D423" s="109">
        <v>750000</v>
      </c>
      <c r="E423" s="110">
        <v>283272</v>
      </c>
      <c r="F423" s="109">
        <v>0</v>
      </c>
      <c r="G423" s="110">
        <f t="shared" si="6"/>
        <v>1033272</v>
      </c>
    </row>
    <row r="424" spans="1:7" ht="55.5" customHeight="1">
      <c r="A424" s="106" t="s">
        <v>365</v>
      </c>
      <c r="B424" s="107">
        <v>2730</v>
      </c>
      <c r="C424" s="108" t="s">
        <v>404</v>
      </c>
      <c r="D424" s="109">
        <v>175000</v>
      </c>
      <c r="E424" s="110">
        <v>0</v>
      </c>
      <c r="F424" s="109">
        <v>55000</v>
      </c>
      <c r="G424" s="110">
        <f t="shared" si="6"/>
        <v>120000</v>
      </c>
    </row>
    <row r="425" spans="1:7" ht="15" customHeight="1">
      <c r="A425" s="106" t="s">
        <v>365</v>
      </c>
      <c r="B425" s="107">
        <v>4017</v>
      </c>
      <c r="C425" s="108" t="s">
        <v>372</v>
      </c>
      <c r="D425" s="109">
        <v>0</v>
      </c>
      <c r="E425" s="110">
        <v>113942</v>
      </c>
      <c r="F425" s="109">
        <v>0</v>
      </c>
      <c r="G425" s="110">
        <f t="shared" si="6"/>
        <v>113942</v>
      </c>
    </row>
    <row r="426" spans="1:7" ht="15" customHeight="1">
      <c r="A426" s="111" t="s">
        <v>365</v>
      </c>
      <c r="B426" s="112">
        <v>4019</v>
      </c>
      <c r="C426" s="113" t="s">
        <v>372</v>
      </c>
      <c r="D426" s="114">
        <v>0</v>
      </c>
      <c r="E426" s="115">
        <v>20108</v>
      </c>
      <c r="F426" s="114">
        <v>0</v>
      </c>
      <c r="G426" s="115">
        <f t="shared" si="6"/>
        <v>20108</v>
      </c>
    </row>
    <row r="427" spans="1:7" ht="15" customHeight="1">
      <c r="A427" s="305" t="s">
        <v>365</v>
      </c>
      <c r="B427" s="306">
        <v>4117</v>
      </c>
      <c r="C427" s="307" t="s">
        <v>373</v>
      </c>
      <c r="D427" s="308">
        <v>0</v>
      </c>
      <c r="E427" s="309">
        <v>19587</v>
      </c>
      <c r="F427" s="308">
        <v>0</v>
      </c>
      <c r="G427" s="309">
        <f t="shared" si="6"/>
        <v>19587</v>
      </c>
    </row>
    <row r="428" spans="1:7" ht="15" customHeight="1">
      <c r="A428" s="106" t="s">
        <v>365</v>
      </c>
      <c r="B428" s="107">
        <v>4119</v>
      </c>
      <c r="C428" s="108" t="s">
        <v>373</v>
      </c>
      <c r="D428" s="109">
        <v>0</v>
      </c>
      <c r="E428" s="110">
        <v>3457</v>
      </c>
      <c r="F428" s="109">
        <v>0</v>
      </c>
      <c r="G428" s="110">
        <f t="shared" si="6"/>
        <v>3457</v>
      </c>
    </row>
    <row r="429" spans="1:7" ht="26.25" customHeight="1">
      <c r="A429" s="106" t="s">
        <v>365</v>
      </c>
      <c r="B429" s="107">
        <v>4127</v>
      </c>
      <c r="C429" s="108" t="s">
        <v>374</v>
      </c>
      <c r="D429" s="109">
        <v>0</v>
      </c>
      <c r="E429" s="110">
        <v>2793</v>
      </c>
      <c r="F429" s="109">
        <v>0</v>
      </c>
      <c r="G429" s="110">
        <f t="shared" si="6"/>
        <v>2793</v>
      </c>
    </row>
    <row r="430" spans="1:7" ht="26.25" customHeight="1">
      <c r="A430" s="106" t="s">
        <v>365</v>
      </c>
      <c r="B430" s="107">
        <v>4129</v>
      </c>
      <c r="C430" s="108" t="s">
        <v>374</v>
      </c>
      <c r="D430" s="109">
        <v>0</v>
      </c>
      <c r="E430" s="110">
        <v>493</v>
      </c>
      <c r="F430" s="109">
        <v>0</v>
      </c>
      <c r="G430" s="110">
        <f t="shared" si="6"/>
        <v>493</v>
      </c>
    </row>
    <row r="431" spans="1:7" ht="15" customHeight="1">
      <c r="A431" s="106" t="s">
        <v>365</v>
      </c>
      <c r="B431" s="107">
        <v>4217</v>
      </c>
      <c r="C431" s="108" t="s">
        <v>376</v>
      </c>
      <c r="D431" s="109">
        <v>0</v>
      </c>
      <c r="E431" s="110">
        <v>63750</v>
      </c>
      <c r="F431" s="109">
        <v>0</v>
      </c>
      <c r="G431" s="110">
        <f t="shared" si="6"/>
        <v>63750</v>
      </c>
    </row>
    <row r="432" spans="1:7" ht="15" customHeight="1">
      <c r="A432" s="106" t="s">
        <v>365</v>
      </c>
      <c r="B432" s="107">
        <v>4219</v>
      </c>
      <c r="C432" s="108" t="s">
        <v>376</v>
      </c>
      <c r="D432" s="109">
        <v>0</v>
      </c>
      <c r="E432" s="110">
        <v>11250</v>
      </c>
      <c r="F432" s="109">
        <v>0</v>
      </c>
      <c r="G432" s="110">
        <f t="shared" si="6"/>
        <v>11250</v>
      </c>
    </row>
    <row r="433" spans="1:7" ht="15" customHeight="1">
      <c r="A433" s="106" t="s">
        <v>365</v>
      </c>
      <c r="B433" s="107">
        <v>4267</v>
      </c>
      <c r="C433" s="108" t="s">
        <v>377</v>
      </c>
      <c r="D433" s="109">
        <v>0</v>
      </c>
      <c r="E433" s="110">
        <v>1657</v>
      </c>
      <c r="F433" s="109">
        <v>0</v>
      </c>
      <c r="G433" s="110">
        <f t="shared" si="6"/>
        <v>1657</v>
      </c>
    </row>
    <row r="434" spans="1:7" ht="15" customHeight="1">
      <c r="A434" s="106" t="s">
        <v>365</v>
      </c>
      <c r="B434" s="107">
        <v>4269</v>
      </c>
      <c r="C434" s="108" t="s">
        <v>377</v>
      </c>
      <c r="D434" s="109">
        <v>0</v>
      </c>
      <c r="E434" s="110">
        <v>293</v>
      </c>
      <c r="F434" s="109">
        <v>0</v>
      </c>
      <c r="G434" s="110">
        <f t="shared" si="6"/>
        <v>293</v>
      </c>
    </row>
    <row r="435" spans="1:7" ht="15" customHeight="1">
      <c r="A435" s="106" t="s">
        <v>365</v>
      </c>
      <c r="B435" s="107">
        <v>4307</v>
      </c>
      <c r="C435" s="108" t="s">
        <v>368</v>
      </c>
      <c r="D435" s="109">
        <v>0</v>
      </c>
      <c r="E435" s="110">
        <v>71488</v>
      </c>
      <c r="F435" s="109">
        <v>0</v>
      </c>
      <c r="G435" s="110">
        <f t="shared" si="6"/>
        <v>71488</v>
      </c>
    </row>
    <row r="436" spans="1:7" ht="15" customHeight="1">
      <c r="A436" s="106" t="s">
        <v>365</v>
      </c>
      <c r="B436" s="107">
        <v>4309</v>
      </c>
      <c r="C436" s="108" t="s">
        <v>368</v>
      </c>
      <c r="D436" s="109">
        <v>0</v>
      </c>
      <c r="E436" s="110">
        <v>12616</v>
      </c>
      <c r="F436" s="109">
        <v>0</v>
      </c>
      <c r="G436" s="110">
        <f t="shared" si="6"/>
        <v>12616</v>
      </c>
    </row>
    <row r="437" spans="1:7" s="120" customFormat="1" ht="15" customHeight="1">
      <c r="A437" s="116">
        <v>92195</v>
      </c>
      <c r="B437" s="117" t="s">
        <v>365</v>
      </c>
      <c r="C437" s="118" t="s">
        <v>52</v>
      </c>
      <c r="D437" s="119">
        <v>22603423</v>
      </c>
      <c r="E437" s="121">
        <f>SUM(E438:E456)</f>
        <v>2073581</v>
      </c>
      <c r="F437" s="121">
        <f>SUM(F438:F456)</f>
        <v>0</v>
      </c>
      <c r="G437" s="121">
        <f t="shared" si="6"/>
        <v>24677004</v>
      </c>
    </row>
    <row r="438" spans="1:7" ht="63.75" customHeight="1">
      <c r="A438" s="106" t="s">
        <v>365</v>
      </c>
      <c r="B438" s="107">
        <v>2007</v>
      </c>
      <c r="C438" s="108" t="s">
        <v>371</v>
      </c>
      <c r="D438" s="109">
        <v>0</v>
      </c>
      <c r="E438" s="110">
        <v>1370181</v>
      </c>
      <c r="F438" s="109">
        <v>0</v>
      </c>
      <c r="G438" s="110">
        <f t="shared" si="6"/>
        <v>1370181</v>
      </c>
    </row>
    <row r="439" spans="1:7" ht="39.75" customHeight="1">
      <c r="A439" s="106" t="s">
        <v>365</v>
      </c>
      <c r="B439" s="107">
        <v>2710</v>
      </c>
      <c r="C439" s="108" t="s">
        <v>405</v>
      </c>
      <c r="D439" s="109">
        <v>450000</v>
      </c>
      <c r="E439" s="110">
        <v>20000</v>
      </c>
      <c r="F439" s="109">
        <v>0</v>
      </c>
      <c r="G439" s="110">
        <f t="shared" si="6"/>
        <v>470000</v>
      </c>
    </row>
    <row r="440" spans="1:7" ht="27" customHeight="1">
      <c r="A440" s="106" t="s">
        <v>365</v>
      </c>
      <c r="B440" s="107">
        <v>2800</v>
      </c>
      <c r="C440" s="108" t="s">
        <v>401</v>
      </c>
      <c r="D440" s="109">
        <v>1446000</v>
      </c>
      <c r="E440" s="110">
        <v>50000</v>
      </c>
      <c r="F440" s="109">
        <v>0</v>
      </c>
      <c r="G440" s="110">
        <f t="shared" si="6"/>
        <v>1496000</v>
      </c>
    </row>
    <row r="441" spans="1:7" ht="26.25" customHeight="1">
      <c r="A441" s="106" t="s">
        <v>365</v>
      </c>
      <c r="B441" s="107">
        <v>3040</v>
      </c>
      <c r="C441" s="108" t="s">
        <v>406</v>
      </c>
      <c r="D441" s="109">
        <v>200000</v>
      </c>
      <c r="E441" s="110">
        <v>30000</v>
      </c>
      <c r="F441" s="109">
        <v>0</v>
      </c>
      <c r="G441" s="110">
        <f t="shared" si="6"/>
        <v>230000</v>
      </c>
    </row>
    <row r="442" spans="1:7" ht="15" customHeight="1">
      <c r="A442" s="106" t="s">
        <v>365</v>
      </c>
      <c r="B442" s="107">
        <v>4017</v>
      </c>
      <c r="C442" s="108" t="s">
        <v>372</v>
      </c>
      <c r="D442" s="109">
        <v>19720</v>
      </c>
      <c r="E442" s="110">
        <v>7580</v>
      </c>
      <c r="F442" s="109">
        <v>0</v>
      </c>
      <c r="G442" s="110">
        <f t="shared" si="6"/>
        <v>27300</v>
      </c>
    </row>
    <row r="443" spans="1:7" ht="15" customHeight="1">
      <c r="A443" s="106" t="s">
        <v>365</v>
      </c>
      <c r="B443" s="107">
        <v>4019</v>
      </c>
      <c r="C443" s="108" t="s">
        <v>372</v>
      </c>
      <c r="D443" s="109">
        <v>15258</v>
      </c>
      <c r="E443" s="110">
        <v>1337</v>
      </c>
      <c r="F443" s="109">
        <v>0</v>
      </c>
      <c r="G443" s="110">
        <f t="shared" si="6"/>
        <v>16595</v>
      </c>
    </row>
    <row r="444" spans="1:7" ht="15" customHeight="1">
      <c r="A444" s="106" t="s">
        <v>365</v>
      </c>
      <c r="B444" s="107">
        <v>4117</v>
      </c>
      <c r="C444" s="108" t="s">
        <v>373</v>
      </c>
      <c r="D444" s="109">
        <v>4420</v>
      </c>
      <c r="E444" s="110">
        <v>2026</v>
      </c>
      <c r="F444" s="109">
        <v>0</v>
      </c>
      <c r="G444" s="110">
        <f t="shared" si="6"/>
        <v>6446</v>
      </c>
    </row>
    <row r="445" spans="1:7" ht="15" customHeight="1">
      <c r="A445" s="106" t="s">
        <v>365</v>
      </c>
      <c r="B445" s="107">
        <v>4119</v>
      </c>
      <c r="C445" s="108" t="s">
        <v>373</v>
      </c>
      <c r="D445" s="109">
        <v>3027</v>
      </c>
      <c r="E445" s="110">
        <v>357</v>
      </c>
      <c r="F445" s="109">
        <v>0</v>
      </c>
      <c r="G445" s="110">
        <f t="shared" si="6"/>
        <v>3384</v>
      </c>
    </row>
    <row r="446" spans="1:7" ht="26.25" customHeight="1">
      <c r="A446" s="106" t="s">
        <v>365</v>
      </c>
      <c r="B446" s="107">
        <v>4127</v>
      </c>
      <c r="C446" s="108" t="s">
        <v>374</v>
      </c>
      <c r="D446" s="109">
        <v>680</v>
      </c>
      <c r="E446" s="110">
        <v>239</v>
      </c>
      <c r="F446" s="109">
        <v>0</v>
      </c>
      <c r="G446" s="110">
        <f t="shared" si="6"/>
        <v>919</v>
      </c>
    </row>
    <row r="447" spans="1:7" ht="27" customHeight="1">
      <c r="A447" s="106" t="s">
        <v>365</v>
      </c>
      <c r="B447" s="107">
        <v>4129</v>
      </c>
      <c r="C447" s="108" t="s">
        <v>374</v>
      </c>
      <c r="D447" s="109">
        <v>440</v>
      </c>
      <c r="E447" s="110">
        <v>43</v>
      </c>
      <c r="F447" s="109">
        <v>0</v>
      </c>
      <c r="G447" s="110">
        <f t="shared" si="6"/>
        <v>483</v>
      </c>
    </row>
    <row r="448" spans="1:7" ht="15" customHeight="1">
      <c r="A448" s="106" t="s">
        <v>365</v>
      </c>
      <c r="B448" s="107">
        <v>4177</v>
      </c>
      <c r="C448" s="108" t="s">
        <v>375</v>
      </c>
      <c r="D448" s="109">
        <v>5100</v>
      </c>
      <c r="E448" s="110">
        <v>5100</v>
      </c>
      <c r="F448" s="109">
        <v>0</v>
      </c>
      <c r="G448" s="110">
        <f t="shared" si="6"/>
        <v>10200</v>
      </c>
    </row>
    <row r="449" spans="1:7" ht="15" customHeight="1">
      <c r="A449" s="106" t="s">
        <v>365</v>
      </c>
      <c r="B449" s="107">
        <v>4179</v>
      </c>
      <c r="C449" s="108" t="s">
        <v>375</v>
      </c>
      <c r="D449" s="109">
        <v>900</v>
      </c>
      <c r="E449" s="110">
        <v>900</v>
      </c>
      <c r="F449" s="109">
        <v>0</v>
      </c>
      <c r="G449" s="110">
        <f t="shared" si="6"/>
        <v>1800</v>
      </c>
    </row>
    <row r="450" spans="1:7" ht="15" customHeight="1">
      <c r="A450" s="106" t="s">
        <v>365</v>
      </c>
      <c r="B450" s="107">
        <v>4217</v>
      </c>
      <c r="C450" s="108" t="s">
        <v>376</v>
      </c>
      <c r="D450" s="109">
        <v>56547</v>
      </c>
      <c r="E450" s="110">
        <v>13175</v>
      </c>
      <c r="F450" s="109">
        <v>0</v>
      </c>
      <c r="G450" s="110">
        <f t="shared" si="6"/>
        <v>69722</v>
      </c>
    </row>
    <row r="451" spans="1:7" ht="15" customHeight="1">
      <c r="A451" s="106" t="s">
        <v>365</v>
      </c>
      <c r="B451" s="107">
        <v>4219</v>
      </c>
      <c r="C451" s="108" t="s">
        <v>376</v>
      </c>
      <c r="D451" s="109">
        <v>10579</v>
      </c>
      <c r="E451" s="110">
        <v>2325</v>
      </c>
      <c r="F451" s="109">
        <v>0</v>
      </c>
      <c r="G451" s="110">
        <f t="shared" si="6"/>
        <v>12904</v>
      </c>
    </row>
    <row r="452" spans="1:7" ht="15" customHeight="1">
      <c r="A452" s="106" t="s">
        <v>365</v>
      </c>
      <c r="B452" s="107">
        <v>4267</v>
      </c>
      <c r="C452" s="108" t="s">
        <v>377</v>
      </c>
      <c r="D452" s="109">
        <v>1020</v>
      </c>
      <c r="E452" s="110">
        <v>1530</v>
      </c>
      <c r="F452" s="109">
        <v>0</v>
      </c>
      <c r="G452" s="110">
        <f t="shared" si="6"/>
        <v>2550</v>
      </c>
    </row>
    <row r="453" spans="1:7" ht="15" customHeight="1">
      <c r="A453" s="106" t="s">
        <v>365</v>
      </c>
      <c r="B453" s="107">
        <v>4269</v>
      </c>
      <c r="C453" s="108" t="s">
        <v>377</v>
      </c>
      <c r="D453" s="109">
        <v>180</v>
      </c>
      <c r="E453" s="110">
        <v>270</v>
      </c>
      <c r="F453" s="109">
        <v>0</v>
      </c>
      <c r="G453" s="110">
        <f t="shared" si="6"/>
        <v>450</v>
      </c>
    </row>
    <row r="454" spans="1:7" ht="15" customHeight="1">
      <c r="A454" s="106" t="s">
        <v>365</v>
      </c>
      <c r="B454" s="107">
        <v>4300</v>
      </c>
      <c r="C454" s="108" t="s">
        <v>368</v>
      </c>
      <c r="D454" s="109">
        <v>2188063</v>
      </c>
      <c r="E454" s="110">
        <v>350000</v>
      </c>
      <c r="F454" s="109">
        <v>0</v>
      </c>
      <c r="G454" s="110">
        <f t="shared" si="6"/>
        <v>2538063</v>
      </c>
    </row>
    <row r="455" spans="1:7" ht="15" customHeight="1">
      <c r="A455" s="106" t="s">
        <v>365</v>
      </c>
      <c r="B455" s="107">
        <v>4307</v>
      </c>
      <c r="C455" s="108" t="s">
        <v>368</v>
      </c>
      <c r="D455" s="109">
        <v>294900</v>
      </c>
      <c r="E455" s="110">
        <v>146407</v>
      </c>
      <c r="F455" s="109">
        <v>0</v>
      </c>
      <c r="G455" s="110">
        <f t="shared" si="6"/>
        <v>441307</v>
      </c>
    </row>
    <row r="456" spans="1:7" ht="15" customHeight="1">
      <c r="A456" s="106" t="s">
        <v>365</v>
      </c>
      <c r="B456" s="107">
        <v>4309</v>
      </c>
      <c r="C456" s="108" t="s">
        <v>368</v>
      </c>
      <c r="D456" s="109">
        <v>74875</v>
      </c>
      <c r="E456" s="110">
        <v>72111</v>
      </c>
      <c r="F456" s="109">
        <v>0</v>
      </c>
      <c r="G456" s="110">
        <f t="shared" si="6"/>
        <v>146986</v>
      </c>
    </row>
    <row r="457" spans="1:7" s="120" customFormat="1" ht="39" customHeight="1">
      <c r="A457" s="122" t="s">
        <v>407</v>
      </c>
      <c r="B457" s="123" t="s">
        <v>365</v>
      </c>
      <c r="C457" s="124" t="s">
        <v>40</v>
      </c>
      <c r="D457" s="125">
        <v>13217864</v>
      </c>
      <c r="E457" s="126">
        <f>E458</f>
        <v>1009605</v>
      </c>
      <c r="F457" s="126">
        <f>F458</f>
        <v>0</v>
      </c>
      <c r="G457" s="126">
        <f t="shared" si="6"/>
        <v>14227469</v>
      </c>
    </row>
    <row r="458" spans="1:7" s="120" customFormat="1" ht="15" customHeight="1">
      <c r="A458" s="116">
        <v>92502</v>
      </c>
      <c r="B458" s="117" t="s">
        <v>365</v>
      </c>
      <c r="C458" s="118" t="s">
        <v>203</v>
      </c>
      <c r="D458" s="119">
        <v>13217864</v>
      </c>
      <c r="E458" s="121">
        <f>SUM(E459:E471)</f>
        <v>1009605</v>
      </c>
      <c r="F458" s="121">
        <f>SUM(F459:F471)</f>
        <v>0</v>
      </c>
      <c r="G458" s="121">
        <f t="shared" si="6"/>
        <v>14227469</v>
      </c>
    </row>
    <row r="459" spans="1:7" ht="15" customHeight="1">
      <c r="A459" s="106" t="s">
        <v>365</v>
      </c>
      <c r="B459" s="107">
        <v>3020</v>
      </c>
      <c r="C459" s="108" t="s">
        <v>408</v>
      </c>
      <c r="D459" s="109">
        <v>100328</v>
      </c>
      <c r="E459" s="110">
        <v>600</v>
      </c>
      <c r="F459" s="109">
        <v>0</v>
      </c>
      <c r="G459" s="110">
        <f t="shared" si="6"/>
        <v>100928</v>
      </c>
    </row>
    <row r="460" spans="1:7" ht="15" customHeight="1">
      <c r="A460" s="106" t="s">
        <v>365</v>
      </c>
      <c r="B460" s="107">
        <v>4010</v>
      </c>
      <c r="C460" s="108" t="s">
        <v>372</v>
      </c>
      <c r="D460" s="109">
        <v>2651213</v>
      </c>
      <c r="E460" s="110">
        <v>33600</v>
      </c>
      <c r="F460" s="109">
        <v>0</v>
      </c>
      <c r="G460" s="110">
        <f aca="true" t="shared" si="7" ref="G460:G475">D460+E460-F460</f>
        <v>2684813</v>
      </c>
    </row>
    <row r="461" spans="1:7" ht="15" customHeight="1">
      <c r="A461" s="106" t="s">
        <v>365</v>
      </c>
      <c r="B461" s="107">
        <v>4110</v>
      </c>
      <c r="C461" s="108" t="s">
        <v>373</v>
      </c>
      <c r="D461" s="109">
        <v>510884</v>
      </c>
      <c r="E461" s="110">
        <v>6025</v>
      </c>
      <c r="F461" s="109">
        <v>0</v>
      </c>
      <c r="G461" s="110">
        <f t="shared" si="7"/>
        <v>516909</v>
      </c>
    </row>
    <row r="462" spans="1:7" ht="28.5" customHeight="1">
      <c r="A462" s="106" t="s">
        <v>365</v>
      </c>
      <c r="B462" s="107">
        <v>4120</v>
      </c>
      <c r="C462" s="108" t="s">
        <v>374</v>
      </c>
      <c r="D462" s="109">
        <v>63437</v>
      </c>
      <c r="E462" s="110">
        <v>824</v>
      </c>
      <c r="F462" s="109">
        <v>0</v>
      </c>
      <c r="G462" s="110">
        <f t="shared" si="7"/>
        <v>64261</v>
      </c>
    </row>
    <row r="463" spans="1:7" ht="15" customHeight="1">
      <c r="A463" s="106" t="s">
        <v>365</v>
      </c>
      <c r="B463" s="107">
        <v>4170</v>
      </c>
      <c r="C463" s="108" t="s">
        <v>375</v>
      </c>
      <c r="D463" s="109">
        <v>82840</v>
      </c>
      <c r="E463" s="110">
        <v>15014</v>
      </c>
      <c r="F463" s="109">
        <v>0</v>
      </c>
      <c r="G463" s="110">
        <f t="shared" si="7"/>
        <v>97854</v>
      </c>
    </row>
    <row r="464" spans="1:7" ht="15" customHeight="1">
      <c r="A464" s="106" t="s">
        <v>365</v>
      </c>
      <c r="B464" s="107">
        <v>4190</v>
      </c>
      <c r="C464" s="108" t="s">
        <v>367</v>
      </c>
      <c r="D464" s="109">
        <v>0</v>
      </c>
      <c r="E464" s="110">
        <v>1670</v>
      </c>
      <c r="F464" s="109">
        <v>0</v>
      </c>
      <c r="G464" s="110">
        <f t="shared" si="7"/>
        <v>1670</v>
      </c>
    </row>
    <row r="465" spans="1:7" ht="15" customHeight="1">
      <c r="A465" s="106" t="s">
        <v>365</v>
      </c>
      <c r="B465" s="107">
        <v>4210</v>
      </c>
      <c r="C465" s="108" t="s">
        <v>376</v>
      </c>
      <c r="D465" s="109">
        <v>221580</v>
      </c>
      <c r="E465" s="110">
        <v>22666</v>
      </c>
      <c r="F465" s="109">
        <v>0</v>
      </c>
      <c r="G465" s="110">
        <f t="shared" si="7"/>
        <v>244246</v>
      </c>
    </row>
    <row r="466" spans="1:7" ht="15" customHeight="1">
      <c r="A466" s="106" t="s">
        <v>365</v>
      </c>
      <c r="B466" s="107">
        <v>4280</v>
      </c>
      <c r="C466" s="108" t="s">
        <v>398</v>
      </c>
      <c r="D466" s="109">
        <v>2300</v>
      </c>
      <c r="E466" s="110">
        <v>200</v>
      </c>
      <c r="F466" s="109">
        <v>0</v>
      </c>
      <c r="G466" s="110">
        <f t="shared" si="7"/>
        <v>2500</v>
      </c>
    </row>
    <row r="467" spans="1:7" ht="15" customHeight="1">
      <c r="A467" s="106" t="s">
        <v>365</v>
      </c>
      <c r="B467" s="107">
        <v>4300</v>
      </c>
      <c r="C467" s="108" t="s">
        <v>368</v>
      </c>
      <c r="D467" s="109">
        <v>1706729</v>
      </c>
      <c r="E467" s="110">
        <v>127276</v>
      </c>
      <c r="F467" s="109">
        <v>0</v>
      </c>
      <c r="G467" s="110">
        <f t="shared" si="7"/>
        <v>1834005</v>
      </c>
    </row>
    <row r="468" spans="1:7" ht="15" customHeight="1">
      <c r="A468" s="106" t="s">
        <v>365</v>
      </c>
      <c r="B468" s="107">
        <v>4440</v>
      </c>
      <c r="C468" s="108" t="s">
        <v>399</v>
      </c>
      <c r="D468" s="109">
        <v>70954</v>
      </c>
      <c r="E468" s="110">
        <v>1230</v>
      </c>
      <c r="F468" s="109">
        <v>0</v>
      </c>
      <c r="G468" s="110">
        <f t="shared" si="7"/>
        <v>72184</v>
      </c>
    </row>
    <row r="469" spans="1:7" ht="15" customHeight="1">
      <c r="A469" s="106" t="s">
        <v>365</v>
      </c>
      <c r="B469" s="107">
        <v>4520</v>
      </c>
      <c r="C469" s="108" t="s">
        <v>409</v>
      </c>
      <c r="D469" s="109">
        <v>500</v>
      </c>
      <c r="E469" s="110">
        <v>300</v>
      </c>
      <c r="F469" s="109">
        <v>0</v>
      </c>
      <c r="G469" s="110">
        <f t="shared" si="7"/>
        <v>800</v>
      </c>
    </row>
    <row r="470" spans="1:7" ht="27" customHeight="1">
      <c r="A470" s="106" t="s">
        <v>365</v>
      </c>
      <c r="B470" s="107">
        <v>4700</v>
      </c>
      <c r="C470" s="108" t="s">
        <v>389</v>
      </c>
      <c r="D470" s="109">
        <v>7750</v>
      </c>
      <c r="E470" s="110">
        <v>200</v>
      </c>
      <c r="F470" s="109">
        <v>0</v>
      </c>
      <c r="G470" s="110">
        <f t="shared" si="7"/>
        <v>7950</v>
      </c>
    </row>
    <row r="471" spans="1:7" ht="15" customHeight="1">
      <c r="A471" s="106" t="s">
        <v>365</v>
      </c>
      <c r="B471" s="107">
        <v>6050</v>
      </c>
      <c r="C471" s="108" t="s">
        <v>381</v>
      </c>
      <c r="D471" s="109">
        <v>4784</v>
      </c>
      <c r="E471" s="110">
        <v>800000</v>
      </c>
      <c r="F471" s="109">
        <v>0</v>
      </c>
      <c r="G471" s="110">
        <f t="shared" si="7"/>
        <v>804784</v>
      </c>
    </row>
    <row r="472" spans="1:7" s="120" customFormat="1" ht="15" customHeight="1">
      <c r="A472" s="122" t="s">
        <v>262</v>
      </c>
      <c r="B472" s="123" t="s">
        <v>365</v>
      </c>
      <c r="C472" s="124" t="s">
        <v>263</v>
      </c>
      <c r="D472" s="125">
        <v>6920000</v>
      </c>
      <c r="E472" s="126">
        <f>E473</f>
        <v>50000</v>
      </c>
      <c r="F472" s="126">
        <f>F473</f>
        <v>50000</v>
      </c>
      <c r="G472" s="126">
        <f t="shared" si="7"/>
        <v>6920000</v>
      </c>
    </row>
    <row r="473" spans="1:7" s="120" customFormat="1" ht="15" customHeight="1">
      <c r="A473" s="116">
        <v>92605</v>
      </c>
      <c r="B473" s="117" t="s">
        <v>365</v>
      </c>
      <c r="C473" s="118" t="s">
        <v>205</v>
      </c>
      <c r="D473" s="119">
        <v>6920000</v>
      </c>
      <c r="E473" s="121">
        <f>SUM(E474:E475)</f>
        <v>50000</v>
      </c>
      <c r="F473" s="121">
        <f>SUM(F474:F475)</f>
        <v>50000</v>
      </c>
      <c r="G473" s="121">
        <f t="shared" si="7"/>
        <v>6920000</v>
      </c>
    </row>
    <row r="474" spans="1:7" ht="41.25" customHeight="1">
      <c r="A474" s="106" t="s">
        <v>365</v>
      </c>
      <c r="B474" s="107">
        <v>6230</v>
      </c>
      <c r="C474" s="108" t="s">
        <v>410</v>
      </c>
      <c r="D474" s="109">
        <v>0</v>
      </c>
      <c r="E474" s="110">
        <v>50000</v>
      </c>
      <c r="F474" s="109">
        <v>0</v>
      </c>
      <c r="G474" s="110">
        <f t="shared" si="7"/>
        <v>50000</v>
      </c>
    </row>
    <row r="475" spans="1:7" ht="39.75" customHeight="1">
      <c r="A475" s="111" t="s">
        <v>365</v>
      </c>
      <c r="B475" s="112">
        <v>6300</v>
      </c>
      <c r="C475" s="113" t="s">
        <v>366</v>
      </c>
      <c r="D475" s="114">
        <v>2000000</v>
      </c>
      <c r="E475" s="115">
        <v>0</v>
      </c>
      <c r="F475" s="114">
        <v>50000</v>
      </c>
      <c r="G475" s="115">
        <f t="shared" si="7"/>
        <v>1950000</v>
      </c>
    </row>
  </sheetData>
  <sheetProtection password="C25B" sheet="1"/>
  <mergeCells count="5">
    <mergeCell ref="A5:G5"/>
    <mergeCell ref="B7:B8"/>
    <mergeCell ref="C7:C8"/>
    <mergeCell ref="E7:E8"/>
    <mergeCell ref="F7:F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120" zoomScaleSheetLayoutView="120" zoomScalePageLayoutView="0" workbookViewId="0" topLeftCell="A28">
      <selection activeCell="A49" sqref="A49:C49"/>
    </sheetView>
  </sheetViews>
  <sheetFormatPr defaultColWidth="16.796875" defaultRowHeight="14.25"/>
  <cols>
    <col min="1" max="1" width="5.69921875" style="320" customWidth="1"/>
    <col min="2" max="2" width="5.8984375" style="320" customWidth="1"/>
    <col min="3" max="3" width="50.69921875" style="320" customWidth="1"/>
    <col min="4" max="4" width="15.09765625" style="445" customWidth="1"/>
    <col min="5" max="5" width="16.19921875" style="320" customWidth="1"/>
    <col min="6" max="6" width="15.8984375" style="320" customWidth="1"/>
    <col min="7" max="250" width="10.3984375" style="320" customWidth="1"/>
    <col min="251" max="251" width="5.69921875" style="320" customWidth="1"/>
    <col min="252" max="252" width="5.8984375" style="320" customWidth="1"/>
    <col min="253" max="253" width="34.09765625" style="320" customWidth="1"/>
    <col min="254" max="254" width="16.19921875" style="320" customWidth="1"/>
    <col min="255" max="16384" width="16.69921875" style="320" customWidth="1"/>
  </cols>
  <sheetData>
    <row r="1" spans="4:6" ht="15" customHeight="1">
      <c r="D1" s="321"/>
      <c r="E1" s="130" t="s">
        <v>492</v>
      </c>
      <c r="F1" s="321"/>
    </row>
    <row r="2" spans="4:6" ht="15" customHeight="1">
      <c r="D2" s="322"/>
      <c r="E2" s="130" t="s">
        <v>493</v>
      </c>
      <c r="F2" s="322"/>
    </row>
    <row r="3" spans="1:6" ht="15" customHeight="1">
      <c r="A3" s="323"/>
      <c r="B3" s="323"/>
      <c r="C3" s="323"/>
      <c r="D3" s="322"/>
      <c r="E3" s="265" t="s">
        <v>494</v>
      </c>
      <c r="F3" s="322"/>
    </row>
    <row r="4" spans="1:6" ht="15" customHeight="1">
      <c r="A4" s="323"/>
      <c r="B4" s="323"/>
      <c r="C4" s="323"/>
      <c r="D4" s="322"/>
      <c r="E4" s="324"/>
      <c r="F4" s="324"/>
    </row>
    <row r="5" spans="1:6" s="325" customFormat="1" ht="29.25" customHeight="1">
      <c r="A5" s="821" t="s">
        <v>495</v>
      </c>
      <c r="B5" s="821"/>
      <c r="C5" s="821"/>
      <c r="D5" s="821"/>
      <c r="E5" s="821"/>
      <c r="F5" s="821"/>
    </row>
    <row r="6" spans="1:4" s="325" customFormat="1" ht="5.25" customHeight="1" thickBot="1">
      <c r="A6" s="822"/>
      <c r="B6" s="822"/>
      <c r="C6" s="822"/>
      <c r="D6" s="326"/>
    </row>
    <row r="7" spans="1:6" s="327" customFormat="1" ht="18.75" customHeight="1">
      <c r="A7" s="823" t="s">
        <v>496</v>
      </c>
      <c r="B7" s="823" t="s">
        <v>2</v>
      </c>
      <c r="C7" s="825" t="s">
        <v>497</v>
      </c>
      <c r="D7" s="827" t="s">
        <v>463</v>
      </c>
      <c r="E7" s="823" t="s">
        <v>498</v>
      </c>
      <c r="F7" s="823" t="s">
        <v>465</v>
      </c>
    </row>
    <row r="8" spans="1:6" s="328" customFormat="1" ht="19.5" customHeight="1" thickBot="1">
      <c r="A8" s="824"/>
      <c r="B8" s="824"/>
      <c r="C8" s="826"/>
      <c r="D8" s="828"/>
      <c r="E8" s="824"/>
      <c r="F8" s="824"/>
    </row>
    <row r="9" spans="1:6" s="335" customFormat="1" ht="13.5" thickBot="1">
      <c r="A9" s="329">
        <v>1</v>
      </c>
      <c r="B9" s="330">
        <v>2</v>
      </c>
      <c r="C9" s="331">
        <v>3</v>
      </c>
      <c r="D9" s="332">
        <v>4</v>
      </c>
      <c r="E9" s="333">
        <v>5</v>
      </c>
      <c r="F9" s="334">
        <v>6</v>
      </c>
    </row>
    <row r="10" spans="1:6" s="335" customFormat="1" ht="15" customHeight="1" thickBot="1">
      <c r="A10" s="336"/>
      <c r="B10" s="337"/>
      <c r="C10" s="337"/>
      <c r="D10" s="338"/>
      <c r="E10" s="339"/>
      <c r="F10" s="339"/>
    </row>
    <row r="11" spans="1:6" s="345" customFormat="1" ht="21.75" customHeight="1" thickBot="1">
      <c r="A11" s="340">
        <v>1</v>
      </c>
      <c r="B11" s="341"/>
      <c r="C11" s="342" t="s">
        <v>499</v>
      </c>
      <c r="D11" s="343">
        <f>D13+D12</f>
        <v>1109075463</v>
      </c>
      <c r="E11" s="344">
        <f>E13+E12</f>
        <v>-55271590</v>
      </c>
      <c r="F11" s="344">
        <f>F12+F13</f>
        <v>1053803873</v>
      </c>
    </row>
    <row r="12" spans="1:6" s="351" customFormat="1" ht="21.75" customHeight="1" thickBot="1">
      <c r="A12" s="346" t="s">
        <v>500</v>
      </c>
      <c r="B12" s="347"/>
      <c r="C12" s="348" t="s">
        <v>501</v>
      </c>
      <c r="D12" s="349">
        <v>774130521</v>
      </c>
      <c r="E12" s="350">
        <v>1243620</v>
      </c>
      <c r="F12" s="350">
        <f>D12+E12</f>
        <v>775374141</v>
      </c>
    </row>
    <row r="13" spans="1:6" s="351" customFormat="1" ht="21.75" customHeight="1" thickBot="1">
      <c r="A13" s="346" t="s">
        <v>502</v>
      </c>
      <c r="B13" s="347"/>
      <c r="C13" s="348" t="s">
        <v>503</v>
      </c>
      <c r="D13" s="349">
        <v>334944942</v>
      </c>
      <c r="E13" s="350">
        <v>-56515210</v>
      </c>
      <c r="F13" s="350">
        <f>D13+E13</f>
        <v>278429732</v>
      </c>
    </row>
    <row r="14" spans="1:6" s="345" customFormat="1" ht="21.75" customHeight="1" thickBot="1">
      <c r="A14" s="340">
        <v>2</v>
      </c>
      <c r="B14" s="341"/>
      <c r="C14" s="342" t="s">
        <v>504</v>
      </c>
      <c r="D14" s="343">
        <f>D15+D18</f>
        <v>56480952</v>
      </c>
      <c r="E14" s="344">
        <f>E15+E18</f>
        <v>24000000</v>
      </c>
      <c r="F14" s="344">
        <f>F15+F18</f>
        <v>80480952</v>
      </c>
    </row>
    <row r="15" spans="1:6" s="357" customFormat="1" ht="21.75" customHeight="1">
      <c r="A15" s="352" t="s">
        <v>505</v>
      </c>
      <c r="B15" s="353">
        <v>952</v>
      </c>
      <c r="C15" s="354" t="s">
        <v>506</v>
      </c>
      <c r="D15" s="355">
        <f>D16+D17</f>
        <v>54387291</v>
      </c>
      <c r="E15" s="356">
        <f>E16+E17</f>
        <v>0</v>
      </c>
      <c r="F15" s="356">
        <f>F16+F17</f>
        <v>54387291</v>
      </c>
    </row>
    <row r="16" spans="1:6" s="335" customFormat="1" ht="21.75" customHeight="1">
      <c r="A16" s="358" t="s">
        <v>507</v>
      </c>
      <c r="B16" s="359"/>
      <c r="C16" s="360" t="s">
        <v>508</v>
      </c>
      <c r="D16" s="361">
        <v>34387291</v>
      </c>
      <c r="E16" s="362">
        <v>0</v>
      </c>
      <c r="F16" s="362">
        <f>D16+E16</f>
        <v>34387291</v>
      </c>
    </row>
    <row r="17" spans="1:6" s="335" customFormat="1" ht="23.25" customHeight="1">
      <c r="A17" s="363" t="s">
        <v>509</v>
      </c>
      <c r="B17" s="364"/>
      <c r="C17" s="365" t="s">
        <v>510</v>
      </c>
      <c r="D17" s="366">
        <v>20000000</v>
      </c>
      <c r="E17" s="367">
        <v>0</v>
      </c>
      <c r="F17" s="367">
        <f>D17+E17</f>
        <v>20000000</v>
      </c>
    </row>
    <row r="18" spans="1:6" s="357" customFormat="1" ht="21.75" customHeight="1" thickBot="1">
      <c r="A18" s="352" t="s">
        <v>511</v>
      </c>
      <c r="B18" s="353">
        <v>950</v>
      </c>
      <c r="C18" s="354" t="s">
        <v>512</v>
      </c>
      <c r="D18" s="355">
        <v>2093661</v>
      </c>
      <c r="E18" s="368">
        <v>24000000</v>
      </c>
      <c r="F18" s="368">
        <f>D18+E18</f>
        <v>26093661</v>
      </c>
    </row>
    <row r="19" spans="1:6" s="374" customFormat="1" ht="21.75" customHeight="1" thickBot="1">
      <c r="A19" s="369">
        <v>3</v>
      </c>
      <c r="B19" s="370"/>
      <c r="C19" s="371" t="s">
        <v>513</v>
      </c>
      <c r="D19" s="372">
        <f>D11+D14</f>
        <v>1165556415</v>
      </c>
      <c r="E19" s="373">
        <f>E11+E14</f>
        <v>-31271590</v>
      </c>
      <c r="F19" s="373">
        <f>F11+F14</f>
        <v>1134284825</v>
      </c>
    </row>
    <row r="20" spans="1:6" ht="15" customHeight="1" thickBot="1">
      <c r="A20" s="375"/>
      <c r="B20" s="376"/>
      <c r="C20" s="377"/>
      <c r="D20" s="378"/>
      <c r="E20" s="379"/>
      <c r="F20" s="379"/>
    </row>
    <row r="21" spans="1:6" s="385" customFormat="1" ht="21.75" customHeight="1" thickBot="1">
      <c r="A21" s="380">
        <v>4</v>
      </c>
      <c r="B21" s="381"/>
      <c r="C21" s="382" t="s">
        <v>514</v>
      </c>
      <c r="D21" s="383">
        <f>D22+D25</f>
        <v>1129075463</v>
      </c>
      <c r="E21" s="384">
        <f>E22+E25</f>
        <v>-31271590</v>
      </c>
      <c r="F21" s="384">
        <f>F22+F25</f>
        <v>1097803873</v>
      </c>
    </row>
    <row r="22" spans="1:6" s="351" customFormat="1" ht="21.75" customHeight="1" thickBot="1">
      <c r="A22" s="346" t="s">
        <v>515</v>
      </c>
      <c r="B22" s="347"/>
      <c r="C22" s="348" t="s">
        <v>516</v>
      </c>
      <c r="D22" s="349">
        <f>D23+D24</f>
        <v>652970946</v>
      </c>
      <c r="E22" s="350">
        <f>E23+E24</f>
        <v>8643950</v>
      </c>
      <c r="F22" s="350">
        <f>F23+F24</f>
        <v>661614896</v>
      </c>
    </row>
    <row r="23" spans="1:6" s="391" customFormat="1" ht="21.75" customHeight="1" thickBot="1">
      <c r="A23" s="386" t="s">
        <v>517</v>
      </c>
      <c r="B23" s="387"/>
      <c r="C23" s="388" t="s">
        <v>518</v>
      </c>
      <c r="D23" s="389">
        <v>611449895</v>
      </c>
      <c r="E23" s="390">
        <v>12967780</v>
      </c>
      <c r="F23" s="390">
        <f>D23+E23</f>
        <v>624417675</v>
      </c>
    </row>
    <row r="24" spans="1:6" s="391" customFormat="1" ht="23.25" customHeight="1" thickBot="1">
      <c r="A24" s="386" t="s">
        <v>519</v>
      </c>
      <c r="B24" s="387"/>
      <c r="C24" s="388" t="s">
        <v>520</v>
      </c>
      <c r="D24" s="389">
        <v>41521051</v>
      </c>
      <c r="E24" s="390">
        <v>-4323830</v>
      </c>
      <c r="F24" s="390">
        <f>D24+E24</f>
        <v>37197221</v>
      </c>
    </row>
    <row r="25" spans="1:6" s="351" customFormat="1" ht="21.75" customHeight="1" thickBot="1">
      <c r="A25" s="346" t="s">
        <v>521</v>
      </c>
      <c r="B25" s="347"/>
      <c r="C25" s="348" t="s">
        <v>522</v>
      </c>
      <c r="D25" s="349">
        <v>476104517</v>
      </c>
      <c r="E25" s="350">
        <v>-39915540</v>
      </c>
      <c r="F25" s="350">
        <f>D25+E25</f>
        <v>436188977</v>
      </c>
    </row>
    <row r="26" spans="1:6" s="345" customFormat="1" ht="21.75" customHeight="1" thickBot="1">
      <c r="A26" s="340">
        <v>5</v>
      </c>
      <c r="B26" s="341"/>
      <c r="C26" s="342" t="s">
        <v>523</v>
      </c>
      <c r="D26" s="343">
        <f>D27</f>
        <v>36480952</v>
      </c>
      <c r="E26" s="392">
        <f>E27</f>
        <v>0</v>
      </c>
      <c r="F26" s="392">
        <f>F27</f>
        <v>36480952</v>
      </c>
    </row>
    <row r="27" spans="1:6" ht="21.75" customHeight="1" thickBot="1">
      <c r="A27" s="393" t="s">
        <v>524</v>
      </c>
      <c r="B27" s="394">
        <v>992</v>
      </c>
      <c r="C27" s="395" t="s">
        <v>525</v>
      </c>
      <c r="D27" s="396">
        <v>36480952</v>
      </c>
      <c r="E27" s="397">
        <v>0</v>
      </c>
      <c r="F27" s="397">
        <f>D27+E27</f>
        <v>36480952</v>
      </c>
    </row>
    <row r="28" spans="1:6" s="374" customFormat="1" ht="21.75" customHeight="1" thickBot="1">
      <c r="A28" s="369">
        <v>6</v>
      </c>
      <c r="B28" s="370"/>
      <c r="C28" s="371" t="s">
        <v>526</v>
      </c>
      <c r="D28" s="372">
        <f>D21+D26</f>
        <v>1165556415</v>
      </c>
      <c r="E28" s="373">
        <f>E21+E26</f>
        <v>-31271590</v>
      </c>
      <c r="F28" s="373">
        <f>F21+F26</f>
        <v>1134284825</v>
      </c>
    </row>
    <row r="29" spans="1:6" s="374" customFormat="1" ht="15" customHeight="1" thickBot="1">
      <c r="A29" s="398"/>
      <c r="B29" s="370"/>
      <c r="C29" s="371"/>
      <c r="D29" s="372"/>
      <c r="E29" s="373"/>
      <c r="F29" s="373"/>
    </row>
    <row r="30" spans="1:6" s="345" customFormat="1" ht="21.75" customHeight="1" thickBot="1">
      <c r="A30" s="340">
        <v>7</v>
      </c>
      <c r="B30" s="341"/>
      <c r="C30" s="342" t="s">
        <v>527</v>
      </c>
      <c r="D30" s="372">
        <f>D19-D28</f>
        <v>0</v>
      </c>
      <c r="E30" s="373">
        <f>E19-E28</f>
        <v>0</v>
      </c>
      <c r="F30" s="373">
        <f>F19-F28</f>
        <v>0</v>
      </c>
    </row>
    <row r="31" spans="1:6" s="345" customFormat="1" ht="15" customHeight="1" thickBot="1">
      <c r="A31" s="399"/>
      <c r="B31" s="400"/>
      <c r="C31" s="401"/>
      <c r="D31" s="402"/>
      <c r="E31" s="403"/>
      <c r="F31" s="403"/>
    </row>
    <row r="32" spans="1:6" s="345" customFormat="1" ht="21.75" customHeight="1" thickBot="1">
      <c r="A32" s="340">
        <v>8</v>
      </c>
      <c r="B32" s="341"/>
      <c r="C32" s="342" t="s">
        <v>528</v>
      </c>
      <c r="D32" s="343">
        <f>D11-D21</f>
        <v>-20000000</v>
      </c>
      <c r="E32" s="392">
        <f>E11-E21</f>
        <v>-24000000</v>
      </c>
      <c r="F32" s="392">
        <f>F11-F21</f>
        <v>-44000000</v>
      </c>
    </row>
    <row r="33" spans="1:6" s="345" customFormat="1" ht="15" customHeight="1" thickBot="1">
      <c r="A33" s="399"/>
      <c r="B33" s="400"/>
      <c r="C33" s="401"/>
      <c r="D33" s="402"/>
      <c r="E33" s="403"/>
      <c r="F33" s="403"/>
    </row>
    <row r="34" spans="1:6" s="345" customFormat="1" ht="21.75" customHeight="1" thickBot="1">
      <c r="A34" s="340">
        <v>9</v>
      </c>
      <c r="B34" s="341"/>
      <c r="C34" s="342" t="s">
        <v>529</v>
      </c>
      <c r="D34" s="372">
        <f>D35+D36</f>
        <v>20000000</v>
      </c>
      <c r="E34" s="404">
        <f>E35+E36</f>
        <v>24000000</v>
      </c>
      <c r="F34" s="404">
        <f>F35+F36</f>
        <v>44000000</v>
      </c>
    </row>
    <row r="35" spans="1:6" ht="21.75" customHeight="1">
      <c r="A35" s="405" t="s">
        <v>530</v>
      </c>
      <c r="B35" s="406"/>
      <c r="C35" s="407" t="s">
        <v>531</v>
      </c>
      <c r="D35" s="408">
        <f>D17</f>
        <v>20000000</v>
      </c>
      <c r="E35" s="409">
        <f>E17</f>
        <v>0</v>
      </c>
      <c r="F35" s="409">
        <f>D35+E35</f>
        <v>20000000</v>
      </c>
    </row>
    <row r="36" spans="1:6" ht="21.75" customHeight="1" thickBot="1">
      <c r="A36" s="410" t="s">
        <v>532</v>
      </c>
      <c r="B36" s="411"/>
      <c r="C36" s="412" t="s">
        <v>512</v>
      </c>
      <c r="D36" s="413">
        <v>0</v>
      </c>
      <c r="E36" s="414">
        <f>E18</f>
        <v>24000000</v>
      </c>
      <c r="F36" s="414">
        <f>D36+E36</f>
        <v>24000000</v>
      </c>
    </row>
    <row r="37" spans="1:6" s="345" customFormat="1" ht="21.75" customHeight="1" hidden="1" thickBot="1">
      <c r="A37" s="340">
        <v>9</v>
      </c>
      <c r="B37" s="341"/>
      <c r="C37" s="342" t="s">
        <v>533</v>
      </c>
      <c r="D37" s="372">
        <f>D38+D40</f>
        <v>0</v>
      </c>
      <c r="E37" s="404">
        <f>E38+E40</f>
        <v>0</v>
      </c>
      <c r="F37" s="404">
        <f>F38+F40</f>
        <v>0</v>
      </c>
    </row>
    <row r="38" spans="1:6" ht="21.75" customHeight="1" hidden="1" thickBot="1">
      <c r="A38" s="415" t="s">
        <v>530</v>
      </c>
      <c r="B38" s="416"/>
      <c r="C38" s="407" t="s">
        <v>534</v>
      </c>
      <c r="D38" s="408">
        <v>0</v>
      </c>
      <c r="E38" s="409">
        <v>0</v>
      </c>
      <c r="F38" s="409">
        <f>D38+E38</f>
        <v>0</v>
      </c>
    </row>
    <row r="39" spans="1:6" ht="14.25" customHeight="1" thickBot="1">
      <c r="A39" s="417"/>
      <c r="B39" s="418"/>
      <c r="C39" s="419"/>
      <c r="D39" s="420"/>
      <c r="E39" s="421"/>
      <c r="F39" s="421"/>
    </row>
    <row r="40" spans="1:6" ht="5.25" customHeight="1">
      <c r="A40" s="422"/>
      <c r="B40" s="423"/>
      <c r="C40" s="424"/>
      <c r="D40" s="425"/>
      <c r="E40" s="426"/>
      <c r="F40" s="426"/>
    </row>
    <row r="41" spans="1:6" s="374" customFormat="1" ht="14.25" customHeight="1">
      <c r="A41" s="829" t="s">
        <v>535</v>
      </c>
      <c r="B41" s="830"/>
      <c r="C41" s="831"/>
      <c r="D41" s="427"/>
      <c r="E41" s="428"/>
      <c r="F41" s="428"/>
    </row>
    <row r="42" spans="1:6" ht="15" customHeight="1">
      <c r="A42" s="832" t="s">
        <v>536</v>
      </c>
      <c r="B42" s="833"/>
      <c r="C42" s="833"/>
      <c r="D42" s="429">
        <f>D12</f>
        <v>774130521</v>
      </c>
      <c r="E42" s="430">
        <f>E12</f>
        <v>1243620</v>
      </c>
      <c r="F42" s="430">
        <f>F12</f>
        <v>775374141</v>
      </c>
    </row>
    <row r="43" spans="1:6" ht="15" customHeight="1">
      <c r="A43" s="832" t="s">
        <v>537</v>
      </c>
      <c r="B43" s="833"/>
      <c r="C43" s="833"/>
      <c r="D43" s="429">
        <f>D22</f>
        <v>652970946</v>
      </c>
      <c r="E43" s="430">
        <f>E22</f>
        <v>8643950</v>
      </c>
      <c r="F43" s="430">
        <f>F22</f>
        <v>661614896</v>
      </c>
    </row>
    <row r="44" spans="1:6" s="374" customFormat="1" ht="16.5" customHeight="1">
      <c r="A44" s="834" t="s">
        <v>538</v>
      </c>
      <c r="B44" s="835"/>
      <c r="C44" s="835"/>
      <c r="D44" s="427">
        <f>D42-D43</f>
        <v>121159575</v>
      </c>
      <c r="E44" s="428">
        <f>E42-E43</f>
        <v>-7400330</v>
      </c>
      <c r="F44" s="428">
        <f>F42-F43</f>
        <v>113759245</v>
      </c>
    </row>
    <row r="45" spans="1:6" s="374" customFormat="1" ht="9.75" customHeight="1" thickBot="1">
      <c r="A45" s="431"/>
      <c r="B45" s="432"/>
      <c r="C45" s="433"/>
      <c r="D45" s="434"/>
      <c r="E45" s="435"/>
      <c r="F45" s="435"/>
    </row>
    <row r="46" spans="1:6" s="327" customFormat="1" ht="6" customHeight="1">
      <c r="A46" s="436"/>
      <c r="B46" s="437"/>
      <c r="C46" s="438"/>
      <c r="D46" s="439"/>
      <c r="E46" s="440"/>
      <c r="F46" s="440"/>
    </row>
    <row r="47" spans="1:6" s="327" customFormat="1" ht="15" customHeight="1">
      <c r="A47" s="836" t="s">
        <v>539</v>
      </c>
      <c r="B47" s="837"/>
      <c r="C47" s="837"/>
      <c r="D47" s="439">
        <f>D11</f>
        <v>1109075463</v>
      </c>
      <c r="E47" s="440">
        <f>E11</f>
        <v>-55271590</v>
      </c>
      <c r="F47" s="440">
        <f>F11</f>
        <v>1053803873</v>
      </c>
    </row>
    <row r="48" spans="1:6" ht="15" customHeight="1">
      <c r="A48" s="832" t="s">
        <v>540</v>
      </c>
      <c r="B48" s="833"/>
      <c r="C48" s="833"/>
      <c r="D48" s="429">
        <f>D23</f>
        <v>611449895</v>
      </c>
      <c r="E48" s="430">
        <f>E23</f>
        <v>12967780</v>
      </c>
      <c r="F48" s="430">
        <f>F23</f>
        <v>624417675</v>
      </c>
    </row>
    <row r="49" spans="1:6" ht="15" customHeight="1">
      <c r="A49" s="832" t="s">
        <v>541</v>
      </c>
      <c r="B49" s="833"/>
      <c r="C49" s="833"/>
      <c r="D49" s="429">
        <f>D18</f>
        <v>2093661</v>
      </c>
      <c r="E49" s="430">
        <f>E18</f>
        <v>24000000</v>
      </c>
      <c r="F49" s="430">
        <f>F18</f>
        <v>26093661</v>
      </c>
    </row>
    <row r="50" spans="1:6" ht="18.75" customHeight="1">
      <c r="A50" s="836" t="s">
        <v>542</v>
      </c>
      <c r="B50" s="837"/>
      <c r="C50" s="837"/>
      <c r="D50" s="429">
        <f>D47-D48+D49</f>
        <v>499719229</v>
      </c>
      <c r="E50" s="430">
        <f>E47-E48+E49</f>
        <v>-44239370</v>
      </c>
      <c r="F50" s="430">
        <f>F47-F48+F49</f>
        <v>455479859</v>
      </c>
    </row>
    <row r="51" spans="1:6" ht="25.5" customHeight="1">
      <c r="A51" s="832" t="s">
        <v>543</v>
      </c>
      <c r="B51" s="833"/>
      <c r="C51" s="833"/>
      <c r="D51" s="429">
        <f>D24+D27</f>
        <v>78002003</v>
      </c>
      <c r="E51" s="430">
        <f>E24+E27</f>
        <v>-4323830</v>
      </c>
      <c r="F51" s="430">
        <f>F24+F27</f>
        <v>73678173</v>
      </c>
    </row>
    <row r="52" spans="1:6" ht="15" customHeight="1">
      <c r="A52" s="836" t="s">
        <v>544</v>
      </c>
      <c r="B52" s="837"/>
      <c r="C52" s="837"/>
      <c r="D52" s="429">
        <f>D50-D51</f>
        <v>421717226</v>
      </c>
      <c r="E52" s="430">
        <f>E50-E51</f>
        <v>-39915540</v>
      </c>
      <c r="F52" s="430">
        <f>F50-F51</f>
        <v>381801686</v>
      </c>
    </row>
    <row r="53" spans="1:6" ht="15" customHeight="1">
      <c r="A53" s="832" t="s">
        <v>545</v>
      </c>
      <c r="B53" s="833"/>
      <c r="C53" s="833"/>
      <c r="D53" s="429">
        <f>D25</f>
        <v>476104517</v>
      </c>
      <c r="E53" s="430">
        <f>E25</f>
        <v>-39915540</v>
      </c>
      <c r="F53" s="430">
        <f>F25</f>
        <v>436188977</v>
      </c>
    </row>
    <row r="54" spans="1:6" ht="15" customHeight="1">
      <c r="A54" s="836" t="s">
        <v>546</v>
      </c>
      <c r="B54" s="837"/>
      <c r="C54" s="837"/>
      <c r="D54" s="429">
        <f>D52-D53</f>
        <v>-54387291</v>
      </c>
      <c r="E54" s="430">
        <f>E52-E53</f>
        <v>0</v>
      </c>
      <c r="F54" s="430">
        <f>F52-F53</f>
        <v>-54387291</v>
      </c>
    </row>
    <row r="55" spans="1:6" ht="15" customHeight="1">
      <c r="A55" s="832" t="s">
        <v>547</v>
      </c>
      <c r="B55" s="833"/>
      <c r="C55" s="833"/>
      <c r="D55" s="429">
        <f>D15</f>
        <v>54387291</v>
      </c>
      <c r="E55" s="430">
        <f>E15</f>
        <v>0</v>
      </c>
      <c r="F55" s="430">
        <f>F15</f>
        <v>54387291</v>
      </c>
    </row>
    <row r="56" spans="1:6" ht="14.25" customHeight="1" thickBot="1">
      <c r="A56" s="838" t="s">
        <v>548</v>
      </c>
      <c r="B56" s="839"/>
      <c r="C56" s="839"/>
      <c r="D56" s="441">
        <f>D54+D55</f>
        <v>0</v>
      </c>
      <c r="E56" s="442">
        <f>E54+E55</f>
        <v>0</v>
      </c>
      <c r="F56" s="442">
        <f>F54+F55</f>
        <v>0</v>
      </c>
    </row>
    <row r="57" spans="1:6" ht="6.75" customHeight="1">
      <c r="A57" s="423"/>
      <c r="B57" s="423"/>
      <c r="C57" s="423"/>
      <c r="D57" s="443"/>
      <c r="E57" s="444"/>
      <c r="F57" s="444"/>
    </row>
  </sheetData>
  <sheetProtection password="C25B" sheet="1"/>
  <mergeCells count="22">
    <mergeCell ref="A55:C55"/>
    <mergeCell ref="A56:C56"/>
    <mergeCell ref="A49:C49"/>
    <mergeCell ref="A50:C50"/>
    <mergeCell ref="A51:C51"/>
    <mergeCell ref="A52:C52"/>
    <mergeCell ref="A53:C53"/>
    <mergeCell ref="A54:C54"/>
    <mergeCell ref="A41:C41"/>
    <mergeCell ref="A42:C42"/>
    <mergeCell ref="A43:C43"/>
    <mergeCell ref="A44:C44"/>
    <mergeCell ref="A47:C47"/>
    <mergeCell ref="A48:C48"/>
    <mergeCell ref="A5:F5"/>
    <mergeCell ref="A6:C6"/>
    <mergeCell ref="A7:A8"/>
    <mergeCell ref="B7:B8"/>
    <mergeCell ref="C7:C8"/>
    <mergeCell ref="D7:D8"/>
    <mergeCell ref="E7:E8"/>
    <mergeCell ref="F7:F8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2"/>
  <sheetViews>
    <sheetView view="pageBreakPreview" zoomScaleSheetLayoutView="100" zoomScalePageLayoutView="0" workbookViewId="0" topLeftCell="A384">
      <selection activeCell="A478" sqref="A478:G482"/>
    </sheetView>
  </sheetViews>
  <sheetFormatPr defaultColWidth="8.796875" defaultRowHeight="14.25"/>
  <cols>
    <col min="1" max="1" width="5.3984375" style="706" customWidth="1"/>
    <col min="2" max="2" width="8.09765625" style="706" customWidth="1"/>
    <col min="3" max="3" width="9.3984375" style="706" customWidth="1"/>
    <col min="4" max="4" width="43.8984375" style="706" customWidth="1"/>
    <col min="5" max="5" width="10.69921875" style="706" customWidth="1"/>
    <col min="6" max="6" width="10.3984375" style="706" customWidth="1"/>
    <col min="7" max="7" width="11" style="706" customWidth="1"/>
    <col min="8" max="9" width="14.19921875" style="706" customWidth="1"/>
    <col min="10" max="10" width="11.3984375" style="706" customWidth="1"/>
    <col min="11" max="11" width="11.19921875" style="706" customWidth="1"/>
    <col min="12" max="12" width="10.69921875" style="706" customWidth="1"/>
    <col min="13" max="13" width="10.8984375" style="706" customWidth="1"/>
    <col min="14" max="14" width="11.19921875" style="706" customWidth="1"/>
    <col min="15" max="15" width="11.3984375" style="706" customWidth="1"/>
    <col min="16" max="20" width="11.09765625" style="706" customWidth="1"/>
    <col min="21" max="21" width="11.3984375" style="706" customWidth="1"/>
    <col min="22" max="22" width="11.19921875" style="706" customWidth="1"/>
    <col min="23" max="23" width="11.09765625" style="706" customWidth="1"/>
    <col min="24" max="16384" width="9" style="706" customWidth="1"/>
  </cols>
  <sheetData>
    <row r="1" spans="1:22" s="447" customFormat="1" ht="15.75">
      <c r="A1" s="446" t="s">
        <v>365</v>
      </c>
      <c r="U1" s="698" t="s">
        <v>972</v>
      </c>
      <c r="V1" s="698"/>
    </row>
    <row r="2" spans="1:22" s="447" customFormat="1" ht="15.75">
      <c r="A2" s="446"/>
      <c r="U2" s="698" t="s">
        <v>1113</v>
      </c>
      <c r="V2" s="698"/>
    </row>
    <row r="3" spans="1:22" s="447" customFormat="1" ht="15.75">
      <c r="A3" s="446"/>
      <c r="U3" s="698" t="s">
        <v>415</v>
      </c>
      <c r="V3" s="698"/>
    </row>
    <row r="4" s="447" customFormat="1" ht="3.75" customHeight="1">
      <c r="A4" s="446"/>
    </row>
    <row r="5" spans="1:23" s="447" customFormat="1" ht="42.75" customHeight="1">
      <c r="A5" s="895" t="s">
        <v>973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</row>
    <row r="6" spans="1:22" s="447" customFormat="1" ht="14.25" customHeight="1">
      <c r="A6" s="699"/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722" t="s">
        <v>0</v>
      </c>
    </row>
    <row r="7" spans="1:23" s="447" customFormat="1" ht="19.5" customHeight="1">
      <c r="A7" s="896" t="s">
        <v>550</v>
      </c>
      <c r="B7" s="886" t="s">
        <v>697</v>
      </c>
      <c r="C7" s="886" t="s">
        <v>974</v>
      </c>
      <c r="D7" s="889" t="s">
        <v>975</v>
      </c>
      <c r="E7" s="889" t="s">
        <v>553</v>
      </c>
      <c r="F7" s="886" t="s">
        <v>554</v>
      </c>
      <c r="G7" s="889" t="s">
        <v>217</v>
      </c>
      <c r="H7" s="893" t="s">
        <v>976</v>
      </c>
      <c r="I7" s="894" t="s">
        <v>977</v>
      </c>
      <c r="J7" s="843" t="s">
        <v>557</v>
      </c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</row>
    <row r="8" spans="1:23" s="449" customFormat="1" ht="18.75" customHeight="1">
      <c r="A8" s="897"/>
      <c r="B8" s="887"/>
      <c r="C8" s="887"/>
      <c r="D8" s="890"/>
      <c r="E8" s="890"/>
      <c r="F8" s="887"/>
      <c r="G8" s="890"/>
      <c r="H8" s="893"/>
      <c r="I8" s="894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</row>
    <row r="9" spans="1:23" s="449" customFormat="1" ht="15.75" customHeight="1">
      <c r="A9" s="897"/>
      <c r="B9" s="887"/>
      <c r="C9" s="887"/>
      <c r="D9" s="890"/>
      <c r="E9" s="890"/>
      <c r="F9" s="887"/>
      <c r="G9" s="890"/>
      <c r="H9" s="450" t="s">
        <v>558</v>
      </c>
      <c r="I9" s="450" t="s">
        <v>558</v>
      </c>
      <c r="J9" s="843" t="s">
        <v>559</v>
      </c>
      <c r="K9" s="892" t="s">
        <v>560</v>
      </c>
      <c r="L9" s="892"/>
      <c r="M9" s="892"/>
      <c r="N9" s="884" t="s">
        <v>561</v>
      </c>
      <c r="O9" s="892" t="s">
        <v>978</v>
      </c>
      <c r="P9" s="892"/>
      <c r="Q9" s="892"/>
      <c r="R9" s="892"/>
      <c r="S9" s="892"/>
      <c r="T9" s="892"/>
      <c r="U9" s="892"/>
      <c r="V9" s="892"/>
      <c r="W9" s="892"/>
    </row>
    <row r="10" spans="1:23" s="449" customFormat="1" ht="12.75" customHeight="1">
      <c r="A10" s="897"/>
      <c r="B10" s="887"/>
      <c r="C10" s="887"/>
      <c r="D10" s="890"/>
      <c r="E10" s="890"/>
      <c r="F10" s="887"/>
      <c r="G10" s="890"/>
      <c r="H10" s="450" t="s">
        <v>563</v>
      </c>
      <c r="I10" s="450" t="s">
        <v>563</v>
      </c>
      <c r="J10" s="843"/>
      <c r="K10" s="892"/>
      <c r="L10" s="892"/>
      <c r="M10" s="892"/>
      <c r="N10" s="884"/>
      <c r="O10" s="882" t="s">
        <v>564</v>
      </c>
      <c r="P10" s="882"/>
      <c r="Q10" s="882"/>
      <c r="R10" s="882" t="s">
        <v>565</v>
      </c>
      <c r="S10" s="882"/>
      <c r="T10" s="882"/>
      <c r="U10" s="884" t="s">
        <v>979</v>
      </c>
      <c r="V10" s="884"/>
      <c r="W10" s="884"/>
    </row>
    <row r="11" spans="1:23" s="449" customFormat="1" ht="12.75">
      <c r="A11" s="897"/>
      <c r="B11" s="887"/>
      <c r="C11" s="887"/>
      <c r="D11" s="890"/>
      <c r="E11" s="890"/>
      <c r="F11" s="887"/>
      <c r="G11" s="890"/>
      <c r="H11" s="450" t="s">
        <v>567</v>
      </c>
      <c r="I11" s="450" t="s">
        <v>567</v>
      </c>
      <c r="J11" s="843"/>
      <c r="K11" s="882" t="s">
        <v>90</v>
      </c>
      <c r="L11" s="882" t="s">
        <v>568</v>
      </c>
      <c r="M11" s="882" t="s">
        <v>569</v>
      </c>
      <c r="N11" s="884"/>
      <c r="O11" s="882" t="s">
        <v>90</v>
      </c>
      <c r="P11" s="882" t="s">
        <v>570</v>
      </c>
      <c r="Q11" s="883" t="s">
        <v>569</v>
      </c>
      <c r="R11" s="882" t="s">
        <v>90</v>
      </c>
      <c r="S11" s="882" t="s">
        <v>570</v>
      </c>
      <c r="T11" s="885" t="s">
        <v>569</v>
      </c>
      <c r="U11" s="884" t="s">
        <v>571</v>
      </c>
      <c r="V11" s="882" t="s">
        <v>570</v>
      </c>
      <c r="W11" s="885" t="s">
        <v>569</v>
      </c>
    </row>
    <row r="12" spans="1:23" s="449" customFormat="1" ht="12.75">
      <c r="A12" s="898"/>
      <c r="B12" s="888"/>
      <c r="C12" s="888"/>
      <c r="D12" s="891"/>
      <c r="E12" s="891"/>
      <c r="F12" s="888"/>
      <c r="G12" s="891"/>
      <c r="H12" s="450" t="s">
        <v>979</v>
      </c>
      <c r="I12" s="450" t="s">
        <v>979</v>
      </c>
      <c r="J12" s="843"/>
      <c r="K12" s="882"/>
      <c r="L12" s="882"/>
      <c r="M12" s="882"/>
      <c r="N12" s="884"/>
      <c r="O12" s="882"/>
      <c r="P12" s="882"/>
      <c r="Q12" s="883"/>
      <c r="R12" s="882"/>
      <c r="S12" s="882"/>
      <c r="T12" s="885"/>
      <c r="U12" s="884"/>
      <c r="V12" s="882"/>
      <c r="W12" s="885"/>
    </row>
    <row r="13" spans="1:23" s="452" customFormat="1" ht="11.25">
      <c r="A13" s="451">
        <v>1</v>
      </c>
      <c r="B13" s="451">
        <v>2</v>
      </c>
      <c r="C13" s="451">
        <v>3</v>
      </c>
      <c r="D13" s="451">
        <v>4</v>
      </c>
      <c r="E13" s="451">
        <v>5</v>
      </c>
      <c r="F13" s="451">
        <v>6</v>
      </c>
      <c r="G13" s="451">
        <v>7</v>
      </c>
      <c r="H13" s="451">
        <v>8</v>
      </c>
      <c r="I13" s="451" t="s">
        <v>980</v>
      </c>
      <c r="J13" s="451" t="s">
        <v>572</v>
      </c>
      <c r="K13" s="451" t="s">
        <v>573</v>
      </c>
      <c r="L13" s="451">
        <v>11</v>
      </c>
      <c r="M13" s="451">
        <v>12</v>
      </c>
      <c r="N13" s="451" t="s">
        <v>574</v>
      </c>
      <c r="O13" s="451" t="s">
        <v>575</v>
      </c>
      <c r="P13" s="451">
        <v>15</v>
      </c>
      <c r="Q13" s="451">
        <v>16</v>
      </c>
      <c r="R13" s="451" t="s">
        <v>576</v>
      </c>
      <c r="S13" s="451">
        <v>18</v>
      </c>
      <c r="T13" s="451">
        <v>19</v>
      </c>
      <c r="U13" s="451" t="s">
        <v>577</v>
      </c>
      <c r="V13" s="451">
        <v>21</v>
      </c>
      <c r="W13" s="451">
        <v>22</v>
      </c>
    </row>
    <row r="14" spans="1:23" s="452" customFormat="1" ht="5.25" customHeight="1">
      <c r="A14" s="880"/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</row>
    <row r="15" spans="1:24" s="452" customFormat="1" ht="21" customHeight="1">
      <c r="A15" s="881" t="s">
        <v>981</v>
      </c>
      <c r="B15" s="881"/>
      <c r="C15" s="881"/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453"/>
    </row>
    <row r="16" spans="1:24" s="452" customFormat="1" ht="3.75" customHeight="1">
      <c r="A16" s="879"/>
      <c r="B16" s="879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454"/>
    </row>
    <row r="17" spans="1:23" s="701" customFormat="1" ht="14.25" customHeight="1">
      <c r="A17" s="848">
        <v>1</v>
      </c>
      <c r="B17" s="844" t="s">
        <v>753</v>
      </c>
      <c r="C17" s="846" t="s">
        <v>982</v>
      </c>
      <c r="D17" s="872" t="s">
        <v>754</v>
      </c>
      <c r="E17" s="848" t="s">
        <v>581</v>
      </c>
      <c r="F17" s="848" t="s">
        <v>983</v>
      </c>
      <c r="G17" s="844" t="s">
        <v>619</v>
      </c>
      <c r="H17" s="700">
        <f>H18+H19+H20+H21</f>
        <v>23433538</v>
      </c>
      <c r="I17" s="700">
        <f>I18+I19+I20+I21</f>
        <v>5838896</v>
      </c>
      <c r="J17" s="842">
        <f>K17+N17</f>
        <v>7190319</v>
      </c>
      <c r="K17" s="842">
        <f>L17+M17</f>
        <v>6101600</v>
      </c>
      <c r="L17" s="842">
        <v>6101600</v>
      </c>
      <c r="M17" s="842">
        <v>0</v>
      </c>
      <c r="N17" s="842">
        <f>O17+R17+U17</f>
        <v>1088719</v>
      </c>
      <c r="O17" s="842">
        <f>P17+Q17</f>
        <v>0</v>
      </c>
      <c r="P17" s="842">
        <v>0</v>
      </c>
      <c r="Q17" s="842">
        <v>0</v>
      </c>
      <c r="R17" s="842">
        <f>S17+T17</f>
        <v>397822</v>
      </c>
      <c r="S17" s="842">
        <v>397822</v>
      </c>
      <c r="T17" s="842">
        <v>0</v>
      </c>
      <c r="U17" s="842">
        <f>V17+W17</f>
        <v>690897</v>
      </c>
      <c r="V17" s="842">
        <v>690897</v>
      </c>
      <c r="W17" s="842">
        <v>0</v>
      </c>
    </row>
    <row r="18" spans="1:23" s="701" customFormat="1" ht="14.25" customHeight="1">
      <c r="A18" s="848"/>
      <c r="B18" s="844"/>
      <c r="C18" s="846"/>
      <c r="D18" s="872"/>
      <c r="E18" s="848"/>
      <c r="F18" s="848"/>
      <c r="G18" s="844"/>
      <c r="H18" s="700">
        <v>19913614</v>
      </c>
      <c r="I18" s="700">
        <v>4962366</v>
      </c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</row>
    <row r="19" spans="1:23" s="701" customFormat="1" ht="14.25" customHeight="1">
      <c r="A19" s="848"/>
      <c r="B19" s="844"/>
      <c r="C19" s="846"/>
      <c r="D19" s="872"/>
      <c r="E19" s="848"/>
      <c r="F19" s="848"/>
      <c r="G19" s="844"/>
      <c r="H19" s="700">
        <v>0</v>
      </c>
      <c r="I19" s="700">
        <v>0</v>
      </c>
      <c r="J19" s="457">
        <f>K19+N19</f>
        <v>0</v>
      </c>
      <c r="K19" s="457">
        <f>L19+M19</f>
        <v>0</v>
      </c>
      <c r="L19" s="458">
        <v>0</v>
      </c>
      <c r="M19" s="458">
        <v>0</v>
      </c>
      <c r="N19" s="457">
        <f>O19+R19+U19</f>
        <v>0</v>
      </c>
      <c r="O19" s="457">
        <f>P19+Q19</f>
        <v>0</v>
      </c>
      <c r="P19" s="458">
        <v>0</v>
      </c>
      <c r="Q19" s="458">
        <v>0</v>
      </c>
      <c r="R19" s="457">
        <f>S19+T19</f>
        <v>0</v>
      </c>
      <c r="S19" s="458">
        <v>0</v>
      </c>
      <c r="T19" s="458">
        <v>0</v>
      </c>
      <c r="U19" s="457">
        <f>V19+W19</f>
        <v>0</v>
      </c>
      <c r="V19" s="458">
        <v>0</v>
      </c>
      <c r="W19" s="458">
        <v>0</v>
      </c>
    </row>
    <row r="20" spans="1:23" s="701" customFormat="1" ht="14.25" customHeight="1">
      <c r="A20" s="848"/>
      <c r="B20" s="844"/>
      <c r="C20" s="846"/>
      <c r="D20" s="872"/>
      <c r="E20" s="848"/>
      <c r="F20" s="848"/>
      <c r="G20" s="844"/>
      <c r="H20" s="700">
        <v>1953551</v>
      </c>
      <c r="I20" s="700">
        <v>706100</v>
      </c>
      <c r="J20" s="842">
        <f>J17+J19</f>
        <v>7190319</v>
      </c>
      <c r="K20" s="842">
        <f aca="true" t="shared" si="0" ref="K20:W20">K17+K19</f>
        <v>6101600</v>
      </c>
      <c r="L20" s="842">
        <f t="shared" si="0"/>
        <v>6101600</v>
      </c>
      <c r="M20" s="842">
        <f t="shared" si="0"/>
        <v>0</v>
      </c>
      <c r="N20" s="842">
        <f t="shared" si="0"/>
        <v>1088719</v>
      </c>
      <c r="O20" s="842">
        <f t="shared" si="0"/>
        <v>0</v>
      </c>
      <c r="P20" s="842">
        <f t="shared" si="0"/>
        <v>0</v>
      </c>
      <c r="Q20" s="842">
        <f t="shared" si="0"/>
        <v>0</v>
      </c>
      <c r="R20" s="842">
        <f t="shared" si="0"/>
        <v>397822</v>
      </c>
      <c r="S20" s="842">
        <f t="shared" si="0"/>
        <v>397822</v>
      </c>
      <c r="T20" s="842">
        <f t="shared" si="0"/>
        <v>0</v>
      </c>
      <c r="U20" s="842">
        <f t="shared" si="0"/>
        <v>690897</v>
      </c>
      <c r="V20" s="842">
        <f t="shared" si="0"/>
        <v>690897</v>
      </c>
      <c r="W20" s="842">
        <f t="shared" si="0"/>
        <v>0</v>
      </c>
    </row>
    <row r="21" spans="1:23" s="701" customFormat="1" ht="14.25" customHeight="1">
      <c r="A21" s="848"/>
      <c r="B21" s="844"/>
      <c r="C21" s="846"/>
      <c r="D21" s="872"/>
      <c r="E21" s="848"/>
      <c r="F21" s="848"/>
      <c r="G21" s="844"/>
      <c r="H21" s="700">
        <v>1566373</v>
      </c>
      <c r="I21" s="700">
        <v>170430</v>
      </c>
      <c r="J21" s="842"/>
      <c r="K21" s="842"/>
      <c r="L21" s="842"/>
      <c r="M21" s="842"/>
      <c r="N21" s="842"/>
      <c r="O21" s="842"/>
      <c r="P21" s="842"/>
      <c r="Q21" s="842"/>
      <c r="R21" s="842"/>
      <c r="S21" s="842"/>
      <c r="T21" s="842"/>
      <c r="U21" s="842"/>
      <c r="V21" s="842"/>
      <c r="W21" s="842"/>
    </row>
    <row r="22" spans="1:23" s="701" customFormat="1" ht="13.5" customHeight="1">
      <c r="A22" s="848">
        <v>2</v>
      </c>
      <c r="B22" s="844" t="s">
        <v>753</v>
      </c>
      <c r="C22" s="846" t="s">
        <v>982</v>
      </c>
      <c r="D22" s="872" t="s">
        <v>755</v>
      </c>
      <c r="E22" s="848" t="s">
        <v>581</v>
      </c>
      <c r="F22" s="848" t="s">
        <v>983</v>
      </c>
      <c r="G22" s="844" t="s">
        <v>619</v>
      </c>
      <c r="H22" s="700">
        <f>H23+H24+H25+H26</f>
        <v>8544937</v>
      </c>
      <c r="I22" s="700">
        <f>I23+I24+I25+I26</f>
        <v>858616</v>
      </c>
      <c r="J22" s="842">
        <f>K22+N22</f>
        <v>3698064</v>
      </c>
      <c r="K22" s="842">
        <f>L22+M22</f>
        <v>3147302</v>
      </c>
      <c r="L22" s="842">
        <v>3147302</v>
      </c>
      <c r="M22" s="842">
        <v>0</v>
      </c>
      <c r="N22" s="842">
        <f>O22+R22+U22</f>
        <v>550762</v>
      </c>
      <c r="O22" s="842">
        <f>P22+Q22</f>
        <v>0</v>
      </c>
      <c r="P22" s="842">
        <v>0</v>
      </c>
      <c r="Q22" s="842">
        <v>0</v>
      </c>
      <c r="R22" s="842">
        <f>S22+T22</f>
        <v>128444</v>
      </c>
      <c r="S22" s="842">
        <v>128444</v>
      </c>
      <c r="T22" s="842">
        <v>0</v>
      </c>
      <c r="U22" s="842">
        <f>V22+W22</f>
        <v>422318</v>
      </c>
      <c r="V22" s="842">
        <v>422318</v>
      </c>
      <c r="W22" s="842">
        <v>0</v>
      </c>
    </row>
    <row r="23" spans="1:23" s="701" customFormat="1" ht="13.5" customHeight="1">
      <c r="A23" s="848"/>
      <c r="B23" s="844"/>
      <c r="C23" s="846"/>
      <c r="D23" s="872"/>
      <c r="E23" s="848"/>
      <c r="F23" s="848"/>
      <c r="G23" s="844"/>
      <c r="H23" s="700">
        <v>7232246</v>
      </c>
      <c r="I23" s="700">
        <v>698962</v>
      </c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U23" s="842"/>
      <c r="V23" s="842"/>
      <c r="W23" s="842"/>
    </row>
    <row r="24" spans="1:23" s="701" customFormat="1" ht="13.5" customHeight="1">
      <c r="A24" s="848"/>
      <c r="B24" s="844"/>
      <c r="C24" s="846"/>
      <c r="D24" s="872"/>
      <c r="E24" s="848"/>
      <c r="F24" s="848"/>
      <c r="G24" s="844"/>
      <c r="H24" s="700">
        <v>0</v>
      </c>
      <c r="I24" s="700">
        <v>0</v>
      </c>
      <c r="J24" s="457">
        <f>K24+N24</f>
        <v>0</v>
      </c>
      <c r="K24" s="457">
        <f>L24+M24</f>
        <v>0</v>
      </c>
      <c r="L24" s="458">
        <v>0</v>
      </c>
      <c r="M24" s="458">
        <v>0</v>
      </c>
      <c r="N24" s="457">
        <f>O24+R24+U24</f>
        <v>0</v>
      </c>
      <c r="O24" s="457">
        <f>P24+Q24</f>
        <v>0</v>
      </c>
      <c r="P24" s="458">
        <v>0</v>
      </c>
      <c r="Q24" s="458">
        <v>0</v>
      </c>
      <c r="R24" s="457">
        <f>S24+T24</f>
        <v>0</v>
      </c>
      <c r="S24" s="458">
        <v>0</v>
      </c>
      <c r="T24" s="458">
        <v>0</v>
      </c>
      <c r="U24" s="457">
        <f>V24+W24</f>
        <v>0</v>
      </c>
      <c r="V24" s="458">
        <v>0</v>
      </c>
      <c r="W24" s="458">
        <v>0</v>
      </c>
    </row>
    <row r="25" spans="1:23" s="701" customFormat="1" ht="13.5" customHeight="1">
      <c r="A25" s="848"/>
      <c r="B25" s="844"/>
      <c r="C25" s="846"/>
      <c r="D25" s="872"/>
      <c r="E25" s="848"/>
      <c r="F25" s="848"/>
      <c r="G25" s="844"/>
      <c r="H25" s="700">
        <v>362939</v>
      </c>
      <c r="I25" s="700">
        <v>99079</v>
      </c>
      <c r="J25" s="842">
        <f>J22+J24</f>
        <v>3698064</v>
      </c>
      <c r="K25" s="842">
        <f aca="true" t="shared" si="1" ref="K25:W25">K22+K24</f>
        <v>3147302</v>
      </c>
      <c r="L25" s="842">
        <f t="shared" si="1"/>
        <v>3147302</v>
      </c>
      <c r="M25" s="842">
        <f t="shared" si="1"/>
        <v>0</v>
      </c>
      <c r="N25" s="842">
        <f t="shared" si="1"/>
        <v>550762</v>
      </c>
      <c r="O25" s="842">
        <f t="shared" si="1"/>
        <v>0</v>
      </c>
      <c r="P25" s="842">
        <f t="shared" si="1"/>
        <v>0</v>
      </c>
      <c r="Q25" s="842">
        <f t="shared" si="1"/>
        <v>0</v>
      </c>
      <c r="R25" s="842">
        <f t="shared" si="1"/>
        <v>128444</v>
      </c>
      <c r="S25" s="842">
        <f t="shared" si="1"/>
        <v>128444</v>
      </c>
      <c r="T25" s="842">
        <f t="shared" si="1"/>
        <v>0</v>
      </c>
      <c r="U25" s="842">
        <f t="shared" si="1"/>
        <v>422318</v>
      </c>
      <c r="V25" s="842">
        <f t="shared" si="1"/>
        <v>422318</v>
      </c>
      <c r="W25" s="842">
        <f t="shared" si="1"/>
        <v>0</v>
      </c>
    </row>
    <row r="26" spans="1:23" s="701" customFormat="1" ht="13.5" customHeight="1">
      <c r="A26" s="848"/>
      <c r="B26" s="844"/>
      <c r="C26" s="846"/>
      <c r="D26" s="872"/>
      <c r="E26" s="848"/>
      <c r="F26" s="848"/>
      <c r="G26" s="844"/>
      <c r="H26" s="700">
        <v>949752</v>
      </c>
      <c r="I26" s="700">
        <v>60575</v>
      </c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</row>
    <row r="27" spans="1:23" s="701" customFormat="1" ht="13.5" customHeight="1" hidden="1">
      <c r="A27" s="878">
        <v>3</v>
      </c>
      <c r="B27" s="844" t="s">
        <v>753</v>
      </c>
      <c r="C27" s="846" t="s">
        <v>982</v>
      </c>
      <c r="D27" s="872" t="s">
        <v>984</v>
      </c>
      <c r="E27" s="848" t="s">
        <v>581</v>
      </c>
      <c r="F27" s="848" t="s">
        <v>983</v>
      </c>
      <c r="G27" s="844" t="s">
        <v>588</v>
      </c>
      <c r="H27" s="700">
        <f>H28+H29+H30+H31</f>
        <v>11360000</v>
      </c>
      <c r="I27" s="700">
        <f>I28+I29+I30+I31</f>
        <v>3889166</v>
      </c>
      <c r="J27" s="842">
        <f>K27+N27</f>
        <v>3839166</v>
      </c>
      <c r="K27" s="842">
        <f>L27+M27</f>
        <v>3263291</v>
      </c>
      <c r="L27" s="842">
        <v>3263291</v>
      </c>
      <c r="M27" s="842">
        <v>0</v>
      </c>
      <c r="N27" s="842">
        <f>O27+R27+U27</f>
        <v>575875</v>
      </c>
      <c r="O27" s="842">
        <f>P27+Q27</f>
        <v>0</v>
      </c>
      <c r="P27" s="842">
        <v>0</v>
      </c>
      <c r="Q27" s="842">
        <v>0</v>
      </c>
      <c r="R27" s="842">
        <f>S27+T27</f>
        <v>575875</v>
      </c>
      <c r="S27" s="842">
        <v>575875</v>
      </c>
      <c r="T27" s="842">
        <v>0</v>
      </c>
      <c r="U27" s="842">
        <f>V27+W27</f>
        <v>0</v>
      </c>
      <c r="V27" s="842">
        <v>0</v>
      </c>
      <c r="W27" s="842">
        <v>0</v>
      </c>
    </row>
    <row r="28" spans="1:23" s="701" customFormat="1" ht="13.5" customHeight="1" hidden="1">
      <c r="A28" s="878"/>
      <c r="B28" s="844"/>
      <c r="C28" s="846"/>
      <c r="D28" s="872"/>
      <c r="E28" s="848"/>
      <c r="F28" s="848"/>
      <c r="G28" s="844"/>
      <c r="H28" s="700">
        <v>9656000</v>
      </c>
      <c r="I28" s="700">
        <v>3305791</v>
      </c>
      <c r="J28" s="842"/>
      <c r="K28" s="842"/>
      <c r="L28" s="842"/>
      <c r="M28" s="842"/>
      <c r="N28" s="842"/>
      <c r="O28" s="842"/>
      <c r="P28" s="842"/>
      <c r="Q28" s="842"/>
      <c r="R28" s="842"/>
      <c r="S28" s="842"/>
      <c r="T28" s="842"/>
      <c r="U28" s="842"/>
      <c r="V28" s="842"/>
      <c r="W28" s="842"/>
    </row>
    <row r="29" spans="1:23" s="701" customFormat="1" ht="13.5" customHeight="1" hidden="1">
      <c r="A29" s="878"/>
      <c r="B29" s="844"/>
      <c r="C29" s="846"/>
      <c r="D29" s="872"/>
      <c r="E29" s="848"/>
      <c r="F29" s="848"/>
      <c r="G29" s="844"/>
      <c r="H29" s="700">
        <v>0</v>
      </c>
      <c r="I29" s="700">
        <v>0</v>
      </c>
      <c r="J29" s="457">
        <f>K29+N29</f>
        <v>0</v>
      </c>
      <c r="K29" s="457">
        <f>L29+M29</f>
        <v>0</v>
      </c>
      <c r="L29" s="458">
        <v>0</v>
      </c>
      <c r="M29" s="458">
        <v>0</v>
      </c>
      <c r="N29" s="457">
        <f>O29+R29+U29</f>
        <v>0</v>
      </c>
      <c r="O29" s="457">
        <f>P29+Q29</f>
        <v>0</v>
      </c>
      <c r="P29" s="458">
        <v>0</v>
      </c>
      <c r="Q29" s="458">
        <v>0</v>
      </c>
      <c r="R29" s="457">
        <f>S29+T29</f>
        <v>0</v>
      </c>
      <c r="S29" s="458">
        <v>0</v>
      </c>
      <c r="T29" s="458">
        <v>0</v>
      </c>
      <c r="U29" s="457">
        <f>V29+W29</f>
        <v>0</v>
      </c>
      <c r="V29" s="458">
        <v>0</v>
      </c>
      <c r="W29" s="458">
        <v>0</v>
      </c>
    </row>
    <row r="30" spans="1:23" s="701" customFormat="1" ht="13.5" customHeight="1" hidden="1">
      <c r="A30" s="878"/>
      <c r="B30" s="844"/>
      <c r="C30" s="846"/>
      <c r="D30" s="872"/>
      <c r="E30" s="848"/>
      <c r="F30" s="848"/>
      <c r="G30" s="844"/>
      <c r="H30" s="700">
        <v>1704000</v>
      </c>
      <c r="I30" s="700">
        <v>583375</v>
      </c>
      <c r="J30" s="842">
        <f>J27+J29</f>
        <v>3839166</v>
      </c>
      <c r="K30" s="842">
        <f aca="true" t="shared" si="2" ref="K30:W30">K27+K29</f>
        <v>3263291</v>
      </c>
      <c r="L30" s="842">
        <f t="shared" si="2"/>
        <v>3263291</v>
      </c>
      <c r="M30" s="842">
        <f t="shared" si="2"/>
        <v>0</v>
      </c>
      <c r="N30" s="842">
        <f t="shared" si="2"/>
        <v>575875</v>
      </c>
      <c r="O30" s="842">
        <f t="shared" si="2"/>
        <v>0</v>
      </c>
      <c r="P30" s="842">
        <f t="shared" si="2"/>
        <v>0</v>
      </c>
      <c r="Q30" s="842">
        <f t="shared" si="2"/>
        <v>0</v>
      </c>
      <c r="R30" s="842">
        <f t="shared" si="2"/>
        <v>575875</v>
      </c>
      <c r="S30" s="842">
        <f t="shared" si="2"/>
        <v>575875</v>
      </c>
      <c r="T30" s="842">
        <f t="shared" si="2"/>
        <v>0</v>
      </c>
      <c r="U30" s="842">
        <f t="shared" si="2"/>
        <v>0</v>
      </c>
      <c r="V30" s="842">
        <f t="shared" si="2"/>
        <v>0</v>
      </c>
      <c r="W30" s="842">
        <f t="shared" si="2"/>
        <v>0</v>
      </c>
    </row>
    <row r="31" spans="1:23" s="701" customFormat="1" ht="13.5" customHeight="1" hidden="1">
      <c r="A31" s="878"/>
      <c r="B31" s="844"/>
      <c r="C31" s="846"/>
      <c r="D31" s="872"/>
      <c r="E31" s="848"/>
      <c r="F31" s="848"/>
      <c r="G31" s="844"/>
      <c r="H31" s="700">
        <v>0</v>
      </c>
      <c r="I31" s="700">
        <v>0</v>
      </c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</row>
    <row r="32" spans="1:23" s="701" customFormat="1" ht="13.5" customHeight="1">
      <c r="A32" s="848">
        <v>3</v>
      </c>
      <c r="B32" s="844" t="s">
        <v>753</v>
      </c>
      <c r="C32" s="846" t="s">
        <v>982</v>
      </c>
      <c r="D32" s="872" t="s">
        <v>756</v>
      </c>
      <c r="E32" s="848" t="s">
        <v>581</v>
      </c>
      <c r="F32" s="848" t="s">
        <v>983</v>
      </c>
      <c r="G32" s="844" t="s">
        <v>588</v>
      </c>
      <c r="H32" s="700">
        <f>H33+H34+H35+H36</f>
        <v>9743979</v>
      </c>
      <c r="I32" s="700">
        <f>I33+I34+I35+I36</f>
        <v>590901</v>
      </c>
      <c r="J32" s="842">
        <f>K32+N32</f>
        <v>4911598</v>
      </c>
      <c r="K32" s="842">
        <f>L32+M32</f>
        <v>4174859</v>
      </c>
      <c r="L32" s="842">
        <v>4174859</v>
      </c>
      <c r="M32" s="842">
        <v>0</v>
      </c>
      <c r="N32" s="842">
        <f>O32+R32+U32</f>
        <v>736739</v>
      </c>
      <c r="O32" s="842">
        <f>P32+Q32</f>
        <v>0</v>
      </c>
      <c r="P32" s="842">
        <v>0</v>
      </c>
      <c r="Q32" s="842">
        <v>0</v>
      </c>
      <c r="R32" s="842">
        <f>S32+T32</f>
        <v>736739</v>
      </c>
      <c r="S32" s="842">
        <v>736739</v>
      </c>
      <c r="T32" s="842">
        <v>0</v>
      </c>
      <c r="U32" s="842">
        <f>V32+W32</f>
        <v>0</v>
      </c>
      <c r="V32" s="842">
        <v>0</v>
      </c>
      <c r="W32" s="842">
        <v>0</v>
      </c>
    </row>
    <row r="33" spans="1:23" s="701" customFormat="1" ht="13.5" customHeight="1">
      <c r="A33" s="848"/>
      <c r="B33" s="844"/>
      <c r="C33" s="846"/>
      <c r="D33" s="872"/>
      <c r="E33" s="848"/>
      <c r="F33" s="848"/>
      <c r="G33" s="844"/>
      <c r="H33" s="700">
        <v>8282382</v>
      </c>
      <c r="I33" s="700">
        <v>502266</v>
      </c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</row>
    <row r="34" spans="1:23" s="701" customFormat="1" ht="13.5" customHeight="1">
      <c r="A34" s="848"/>
      <c r="B34" s="844"/>
      <c r="C34" s="846"/>
      <c r="D34" s="872"/>
      <c r="E34" s="848"/>
      <c r="F34" s="848"/>
      <c r="G34" s="844"/>
      <c r="H34" s="700">
        <v>0</v>
      </c>
      <c r="I34" s="700">
        <v>0</v>
      </c>
      <c r="J34" s="457">
        <f>K34+N34</f>
        <v>753522</v>
      </c>
      <c r="K34" s="457">
        <f>L34+M34</f>
        <v>640493</v>
      </c>
      <c r="L34" s="458">
        <v>640493</v>
      </c>
      <c r="M34" s="458">
        <v>0</v>
      </c>
      <c r="N34" s="457">
        <f>O34+R34+U34</f>
        <v>113029</v>
      </c>
      <c r="O34" s="457">
        <f>P34+Q34</f>
        <v>0</v>
      </c>
      <c r="P34" s="458">
        <v>0</v>
      </c>
      <c r="Q34" s="458">
        <v>0</v>
      </c>
      <c r="R34" s="457">
        <f>S34+T34</f>
        <v>113029</v>
      </c>
      <c r="S34" s="458">
        <v>113029</v>
      </c>
      <c r="T34" s="458">
        <v>0</v>
      </c>
      <c r="U34" s="457">
        <f>V34+W34</f>
        <v>0</v>
      </c>
      <c r="V34" s="458">
        <v>0</v>
      </c>
      <c r="W34" s="458">
        <v>0</v>
      </c>
    </row>
    <row r="35" spans="1:23" s="701" customFormat="1" ht="13.5" customHeight="1">
      <c r="A35" s="848"/>
      <c r="B35" s="844"/>
      <c r="C35" s="846"/>
      <c r="D35" s="872"/>
      <c r="E35" s="848"/>
      <c r="F35" s="848"/>
      <c r="G35" s="844"/>
      <c r="H35" s="700">
        <v>1461597</v>
      </c>
      <c r="I35" s="700">
        <v>88635</v>
      </c>
      <c r="J35" s="842">
        <f>J32+J34</f>
        <v>5665120</v>
      </c>
      <c r="K35" s="842">
        <f aca="true" t="shared" si="3" ref="K35:W35">K32+K34</f>
        <v>4815352</v>
      </c>
      <c r="L35" s="842">
        <f t="shared" si="3"/>
        <v>4815352</v>
      </c>
      <c r="M35" s="842">
        <f t="shared" si="3"/>
        <v>0</v>
      </c>
      <c r="N35" s="842">
        <f t="shared" si="3"/>
        <v>849768</v>
      </c>
      <c r="O35" s="842">
        <f t="shared" si="3"/>
        <v>0</v>
      </c>
      <c r="P35" s="842">
        <f t="shared" si="3"/>
        <v>0</v>
      </c>
      <c r="Q35" s="842">
        <f t="shared" si="3"/>
        <v>0</v>
      </c>
      <c r="R35" s="842">
        <f t="shared" si="3"/>
        <v>849768</v>
      </c>
      <c r="S35" s="842">
        <f t="shared" si="3"/>
        <v>849768</v>
      </c>
      <c r="T35" s="842">
        <f t="shared" si="3"/>
        <v>0</v>
      </c>
      <c r="U35" s="842">
        <f t="shared" si="3"/>
        <v>0</v>
      </c>
      <c r="V35" s="842">
        <f t="shared" si="3"/>
        <v>0</v>
      </c>
      <c r="W35" s="842">
        <f t="shared" si="3"/>
        <v>0</v>
      </c>
    </row>
    <row r="36" spans="1:23" s="701" customFormat="1" ht="13.5" customHeight="1">
      <c r="A36" s="848"/>
      <c r="B36" s="844"/>
      <c r="C36" s="846"/>
      <c r="D36" s="872"/>
      <c r="E36" s="848"/>
      <c r="F36" s="848"/>
      <c r="G36" s="844"/>
      <c r="H36" s="700">
        <v>0</v>
      </c>
      <c r="I36" s="700">
        <v>0</v>
      </c>
      <c r="J36" s="842"/>
      <c r="K36" s="842"/>
      <c r="L36" s="842"/>
      <c r="M36" s="842"/>
      <c r="N36" s="842"/>
      <c r="O36" s="842"/>
      <c r="P36" s="842"/>
      <c r="Q36" s="842"/>
      <c r="R36" s="842"/>
      <c r="S36" s="842"/>
      <c r="T36" s="842"/>
      <c r="U36" s="842"/>
      <c r="V36" s="842"/>
      <c r="W36" s="842"/>
    </row>
    <row r="37" spans="1:23" s="701" customFormat="1" ht="13.5" customHeight="1">
      <c r="A37" s="848">
        <v>4</v>
      </c>
      <c r="B37" s="859" t="s">
        <v>505</v>
      </c>
      <c r="C37" s="875" t="s">
        <v>985</v>
      </c>
      <c r="D37" s="869" t="s">
        <v>749</v>
      </c>
      <c r="E37" s="849" t="s">
        <v>581</v>
      </c>
      <c r="F37" s="849" t="s">
        <v>986</v>
      </c>
      <c r="G37" s="859" t="s">
        <v>593</v>
      </c>
      <c r="H37" s="700">
        <f>H38+H39+H40+H41</f>
        <v>113069501</v>
      </c>
      <c r="I37" s="700">
        <f>I38+I39+I40+I41</f>
        <v>4411376</v>
      </c>
      <c r="J37" s="842">
        <f>K37+N37</f>
        <v>36892697</v>
      </c>
      <c r="K37" s="842">
        <f>L37+M37</f>
        <v>36632855</v>
      </c>
      <c r="L37" s="842">
        <v>1076955</v>
      </c>
      <c r="M37" s="842">
        <v>35555900</v>
      </c>
      <c r="N37" s="842">
        <f>O37+R37+U37</f>
        <v>259842</v>
      </c>
      <c r="O37" s="842">
        <f>P37+Q37</f>
        <v>0</v>
      </c>
      <c r="P37" s="842">
        <v>0</v>
      </c>
      <c r="Q37" s="842">
        <v>0</v>
      </c>
      <c r="R37" s="842">
        <f>S37+T37</f>
        <v>193660</v>
      </c>
      <c r="S37" s="842">
        <v>123870</v>
      </c>
      <c r="T37" s="842">
        <v>69790</v>
      </c>
      <c r="U37" s="842">
        <f>V37+W37</f>
        <v>66182</v>
      </c>
      <c r="V37" s="842">
        <v>66182</v>
      </c>
      <c r="W37" s="842">
        <v>0</v>
      </c>
    </row>
    <row r="38" spans="1:23" s="701" customFormat="1" ht="13.5" customHeight="1">
      <c r="A38" s="848"/>
      <c r="B38" s="860"/>
      <c r="C38" s="876"/>
      <c r="D38" s="870"/>
      <c r="E38" s="850"/>
      <c r="F38" s="850"/>
      <c r="G38" s="860"/>
      <c r="H38" s="700">
        <v>109055000</v>
      </c>
      <c r="I38" s="700">
        <v>4178224</v>
      </c>
      <c r="J38" s="842"/>
      <c r="K38" s="842"/>
      <c r="L38" s="842"/>
      <c r="M38" s="842"/>
      <c r="N38" s="842"/>
      <c r="O38" s="842"/>
      <c r="P38" s="842"/>
      <c r="Q38" s="842"/>
      <c r="R38" s="842"/>
      <c r="S38" s="842"/>
      <c r="T38" s="842"/>
      <c r="U38" s="842"/>
      <c r="V38" s="842"/>
      <c r="W38" s="842"/>
    </row>
    <row r="39" spans="1:23" s="701" customFormat="1" ht="13.5" customHeight="1">
      <c r="A39" s="848"/>
      <c r="B39" s="860"/>
      <c r="C39" s="876"/>
      <c r="D39" s="870"/>
      <c r="E39" s="850"/>
      <c r="F39" s="850"/>
      <c r="G39" s="860"/>
      <c r="H39" s="700">
        <v>0</v>
      </c>
      <c r="I39" s="700">
        <v>0</v>
      </c>
      <c r="J39" s="457">
        <f>K39+N39</f>
        <v>22550</v>
      </c>
      <c r="K39" s="457">
        <f>L39+M39</f>
        <v>-787056</v>
      </c>
      <c r="L39" s="458">
        <v>19167</v>
      </c>
      <c r="M39" s="458">
        <v>-806223</v>
      </c>
      <c r="N39" s="457">
        <f>O39+R39+U39</f>
        <v>809606</v>
      </c>
      <c r="O39" s="457">
        <f>P39+Q39</f>
        <v>0</v>
      </c>
      <c r="P39" s="458">
        <v>0</v>
      </c>
      <c r="Q39" s="458">
        <v>0</v>
      </c>
      <c r="R39" s="457">
        <f>S39+T39</f>
        <v>807298</v>
      </c>
      <c r="S39" s="458">
        <v>1075</v>
      </c>
      <c r="T39" s="458">
        <v>806223</v>
      </c>
      <c r="U39" s="457">
        <f>V39+W39</f>
        <v>2308</v>
      </c>
      <c r="V39" s="458">
        <v>2308</v>
      </c>
      <c r="W39" s="458">
        <v>0</v>
      </c>
    </row>
    <row r="40" spans="1:23" s="701" customFormat="1" ht="13.5" customHeight="1">
      <c r="A40" s="848"/>
      <c r="B40" s="860"/>
      <c r="C40" s="876"/>
      <c r="D40" s="870"/>
      <c r="E40" s="850"/>
      <c r="F40" s="850"/>
      <c r="G40" s="860"/>
      <c r="H40" s="700">
        <v>3730066</v>
      </c>
      <c r="I40" s="700">
        <v>233152</v>
      </c>
      <c r="J40" s="842">
        <f>J37+J39</f>
        <v>36915247</v>
      </c>
      <c r="K40" s="842">
        <f aca="true" t="shared" si="4" ref="K40:W40">K37+K39</f>
        <v>35845799</v>
      </c>
      <c r="L40" s="842">
        <f t="shared" si="4"/>
        <v>1096122</v>
      </c>
      <c r="M40" s="842">
        <f t="shared" si="4"/>
        <v>34749677</v>
      </c>
      <c r="N40" s="842">
        <f t="shared" si="4"/>
        <v>1069448</v>
      </c>
      <c r="O40" s="842">
        <f t="shared" si="4"/>
        <v>0</v>
      </c>
      <c r="P40" s="842">
        <f t="shared" si="4"/>
        <v>0</v>
      </c>
      <c r="Q40" s="842">
        <f t="shared" si="4"/>
        <v>0</v>
      </c>
      <c r="R40" s="842">
        <f t="shared" si="4"/>
        <v>1000958</v>
      </c>
      <c r="S40" s="842">
        <f t="shared" si="4"/>
        <v>124945</v>
      </c>
      <c r="T40" s="842">
        <f t="shared" si="4"/>
        <v>876013</v>
      </c>
      <c r="U40" s="842">
        <f t="shared" si="4"/>
        <v>68490</v>
      </c>
      <c r="V40" s="842">
        <f t="shared" si="4"/>
        <v>68490</v>
      </c>
      <c r="W40" s="842">
        <f t="shared" si="4"/>
        <v>0</v>
      </c>
    </row>
    <row r="41" spans="1:23" s="701" customFormat="1" ht="13.5" customHeight="1">
      <c r="A41" s="848"/>
      <c r="B41" s="861"/>
      <c r="C41" s="877"/>
      <c r="D41" s="871"/>
      <c r="E41" s="851"/>
      <c r="F41" s="851"/>
      <c r="G41" s="861"/>
      <c r="H41" s="700">
        <v>284435</v>
      </c>
      <c r="I41" s="700">
        <v>0</v>
      </c>
      <c r="J41" s="842"/>
      <c r="K41" s="842"/>
      <c r="L41" s="842"/>
      <c r="M41" s="842"/>
      <c r="N41" s="842"/>
      <c r="O41" s="842"/>
      <c r="P41" s="842"/>
      <c r="Q41" s="842"/>
      <c r="R41" s="842"/>
      <c r="S41" s="842"/>
      <c r="T41" s="842"/>
      <c r="U41" s="842"/>
      <c r="V41" s="842"/>
      <c r="W41" s="842"/>
    </row>
    <row r="42" spans="1:23" s="701" customFormat="1" ht="13.5" customHeight="1">
      <c r="A42" s="848">
        <v>5</v>
      </c>
      <c r="B42" s="859" t="s">
        <v>505</v>
      </c>
      <c r="C42" s="875" t="s">
        <v>985</v>
      </c>
      <c r="D42" s="869" t="s">
        <v>750</v>
      </c>
      <c r="E42" s="849" t="s">
        <v>581</v>
      </c>
      <c r="F42" s="849" t="s">
        <v>986</v>
      </c>
      <c r="G42" s="859" t="s">
        <v>593</v>
      </c>
      <c r="H42" s="700">
        <f>H43+H44+H45+H46</f>
        <v>75482617</v>
      </c>
      <c r="I42" s="700">
        <f>I43+I44+I45+I46</f>
        <v>10555915</v>
      </c>
      <c r="J42" s="842">
        <f>K42+N42</f>
        <v>13930162</v>
      </c>
      <c r="K42" s="842">
        <f>L42+M42</f>
        <v>13669642</v>
      </c>
      <c r="L42" s="842">
        <v>1452560</v>
      </c>
      <c r="M42" s="842">
        <v>12217082</v>
      </c>
      <c r="N42" s="842">
        <f>O42+R42+U42</f>
        <v>260520</v>
      </c>
      <c r="O42" s="842">
        <f>P42+Q42</f>
        <v>0</v>
      </c>
      <c r="P42" s="842">
        <v>0</v>
      </c>
      <c r="Q42" s="842">
        <v>0</v>
      </c>
      <c r="R42" s="842">
        <f>S42+T42</f>
        <v>260520</v>
      </c>
      <c r="S42" s="842">
        <v>256335</v>
      </c>
      <c r="T42" s="842">
        <v>4185</v>
      </c>
      <c r="U42" s="842">
        <f>V42+W42</f>
        <v>0</v>
      </c>
      <c r="V42" s="842">
        <v>0</v>
      </c>
      <c r="W42" s="842">
        <v>0</v>
      </c>
    </row>
    <row r="43" spans="1:23" s="701" customFormat="1" ht="13.5" customHeight="1">
      <c r="A43" s="848"/>
      <c r="B43" s="860"/>
      <c r="C43" s="876"/>
      <c r="D43" s="870"/>
      <c r="E43" s="850"/>
      <c r="F43" s="850"/>
      <c r="G43" s="860"/>
      <c r="H43" s="700">
        <v>72842122</v>
      </c>
      <c r="I43" s="700">
        <v>10310205</v>
      </c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</row>
    <row r="44" spans="1:23" s="701" customFormat="1" ht="13.5" customHeight="1">
      <c r="A44" s="848"/>
      <c r="B44" s="860"/>
      <c r="C44" s="876"/>
      <c r="D44" s="870"/>
      <c r="E44" s="850"/>
      <c r="F44" s="850"/>
      <c r="G44" s="860"/>
      <c r="H44" s="700">
        <v>0</v>
      </c>
      <c r="I44" s="700">
        <v>0</v>
      </c>
      <c r="J44" s="457">
        <f>K44+N44</f>
        <v>7764485</v>
      </c>
      <c r="K44" s="457">
        <f>L44+M44</f>
        <v>7770801</v>
      </c>
      <c r="L44" s="458">
        <v>-35787</v>
      </c>
      <c r="M44" s="458">
        <v>7806588</v>
      </c>
      <c r="N44" s="457">
        <f>O44+R44+U44</f>
        <v>-6316</v>
      </c>
      <c r="O44" s="457">
        <f>P44+Q44</f>
        <v>0</v>
      </c>
      <c r="P44" s="458">
        <v>0</v>
      </c>
      <c r="Q44" s="458">
        <v>0</v>
      </c>
      <c r="R44" s="457">
        <f>S44+T44</f>
        <v>-6316</v>
      </c>
      <c r="S44" s="458">
        <v>-6316</v>
      </c>
      <c r="T44" s="458">
        <v>0</v>
      </c>
      <c r="U44" s="457">
        <f>V44+W44</f>
        <v>0</v>
      </c>
      <c r="V44" s="458">
        <v>0</v>
      </c>
      <c r="W44" s="458">
        <v>0</v>
      </c>
    </row>
    <row r="45" spans="1:23" s="701" customFormat="1" ht="13.5" customHeight="1">
      <c r="A45" s="848"/>
      <c r="B45" s="860"/>
      <c r="C45" s="876"/>
      <c r="D45" s="870"/>
      <c r="E45" s="850"/>
      <c r="F45" s="850"/>
      <c r="G45" s="860"/>
      <c r="H45" s="700">
        <v>2640495</v>
      </c>
      <c r="I45" s="700">
        <v>245710</v>
      </c>
      <c r="J45" s="842">
        <f>J42+J44</f>
        <v>21694647</v>
      </c>
      <c r="K45" s="842">
        <f aca="true" t="shared" si="5" ref="K45:W45">K42+K44</f>
        <v>21440443</v>
      </c>
      <c r="L45" s="842">
        <f t="shared" si="5"/>
        <v>1416773</v>
      </c>
      <c r="M45" s="842">
        <f t="shared" si="5"/>
        <v>20023670</v>
      </c>
      <c r="N45" s="842">
        <f t="shared" si="5"/>
        <v>254204</v>
      </c>
      <c r="O45" s="842">
        <f t="shared" si="5"/>
        <v>0</v>
      </c>
      <c r="P45" s="842">
        <f t="shared" si="5"/>
        <v>0</v>
      </c>
      <c r="Q45" s="842">
        <f t="shared" si="5"/>
        <v>0</v>
      </c>
      <c r="R45" s="842">
        <f t="shared" si="5"/>
        <v>254204</v>
      </c>
      <c r="S45" s="842">
        <f t="shared" si="5"/>
        <v>250019</v>
      </c>
      <c r="T45" s="842">
        <f t="shared" si="5"/>
        <v>4185</v>
      </c>
      <c r="U45" s="842">
        <f t="shared" si="5"/>
        <v>0</v>
      </c>
      <c r="V45" s="842">
        <f t="shared" si="5"/>
        <v>0</v>
      </c>
      <c r="W45" s="842">
        <f t="shared" si="5"/>
        <v>0</v>
      </c>
    </row>
    <row r="46" spans="1:23" s="701" customFormat="1" ht="13.5" customHeight="1">
      <c r="A46" s="848"/>
      <c r="B46" s="861"/>
      <c r="C46" s="877"/>
      <c r="D46" s="871"/>
      <c r="E46" s="851"/>
      <c r="F46" s="851"/>
      <c r="G46" s="861"/>
      <c r="H46" s="700">
        <v>0</v>
      </c>
      <c r="I46" s="700">
        <v>0</v>
      </c>
      <c r="J46" s="842"/>
      <c r="K46" s="842"/>
      <c r="L46" s="842"/>
      <c r="M46" s="842"/>
      <c r="N46" s="842"/>
      <c r="O46" s="842"/>
      <c r="P46" s="842"/>
      <c r="Q46" s="842"/>
      <c r="R46" s="842"/>
      <c r="S46" s="842"/>
      <c r="T46" s="842"/>
      <c r="U46" s="842"/>
      <c r="V46" s="842"/>
      <c r="W46" s="842"/>
    </row>
    <row r="47" spans="1:23" s="701" customFormat="1" ht="13.5" customHeight="1" hidden="1">
      <c r="A47" s="848">
        <v>7</v>
      </c>
      <c r="B47" s="859" t="s">
        <v>505</v>
      </c>
      <c r="C47" s="875" t="s">
        <v>985</v>
      </c>
      <c r="D47" s="869" t="s">
        <v>751</v>
      </c>
      <c r="E47" s="849" t="s">
        <v>581</v>
      </c>
      <c r="F47" s="849" t="s">
        <v>986</v>
      </c>
      <c r="G47" s="859" t="s">
        <v>648</v>
      </c>
      <c r="H47" s="700">
        <f>H48+H49+H50+H51</f>
        <v>21697885</v>
      </c>
      <c r="I47" s="700">
        <f>I48+I49+I50+I51</f>
        <v>229196</v>
      </c>
      <c r="J47" s="842">
        <f>K47+N47</f>
        <v>4513918</v>
      </c>
      <c r="K47" s="842">
        <f>L47+M47</f>
        <v>4474330</v>
      </c>
      <c r="L47" s="842">
        <v>224330</v>
      </c>
      <c r="M47" s="842">
        <v>4250000</v>
      </c>
      <c r="N47" s="842">
        <f>O47+R47+U47</f>
        <v>39588</v>
      </c>
      <c r="O47" s="842">
        <f>P47+Q47</f>
        <v>0</v>
      </c>
      <c r="P47" s="842">
        <v>0</v>
      </c>
      <c r="Q47" s="842">
        <v>0</v>
      </c>
      <c r="R47" s="842">
        <f>S47+T47</f>
        <v>39588</v>
      </c>
      <c r="S47" s="842">
        <v>39588</v>
      </c>
      <c r="T47" s="842">
        <v>0</v>
      </c>
      <c r="U47" s="842">
        <f>V47+W47</f>
        <v>0</v>
      </c>
      <c r="V47" s="842">
        <v>0</v>
      </c>
      <c r="W47" s="842">
        <v>0</v>
      </c>
    </row>
    <row r="48" spans="1:23" s="701" customFormat="1" ht="13.5" customHeight="1" hidden="1">
      <c r="A48" s="848"/>
      <c r="B48" s="860"/>
      <c r="C48" s="876"/>
      <c r="D48" s="870"/>
      <c r="E48" s="850"/>
      <c r="F48" s="850"/>
      <c r="G48" s="860"/>
      <c r="H48" s="700">
        <v>21496495</v>
      </c>
      <c r="I48" s="700">
        <v>194816</v>
      </c>
      <c r="J48" s="842"/>
      <c r="K48" s="842"/>
      <c r="L48" s="842"/>
      <c r="M48" s="842"/>
      <c r="N48" s="842"/>
      <c r="O48" s="842"/>
      <c r="P48" s="842"/>
      <c r="Q48" s="842"/>
      <c r="R48" s="842"/>
      <c r="S48" s="842"/>
      <c r="T48" s="842"/>
      <c r="U48" s="842"/>
      <c r="V48" s="842"/>
      <c r="W48" s="842"/>
    </row>
    <row r="49" spans="1:23" s="701" customFormat="1" ht="13.5" customHeight="1" hidden="1">
      <c r="A49" s="848"/>
      <c r="B49" s="860"/>
      <c r="C49" s="876"/>
      <c r="D49" s="870"/>
      <c r="E49" s="850"/>
      <c r="F49" s="850"/>
      <c r="G49" s="860"/>
      <c r="H49" s="700">
        <v>0</v>
      </c>
      <c r="I49" s="700">
        <v>0</v>
      </c>
      <c r="J49" s="457">
        <f>K49+N49</f>
        <v>0</v>
      </c>
      <c r="K49" s="457">
        <f>L49+M49</f>
        <v>0</v>
      </c>
      <c r="L49" s="458">
        <v>0</v>
      </c>
      <c r="M49" s="458">
        <v>0</v>
      </c>
      <c r="N49" s="457">
        <f>O49+R49+U49</f>
        <v>0</v>
      </c>
      <c r="O49" s="457">
        <f>P49+Q49</f>
        <v>0</v>
      </c>
      <c r="P49" s="458">
        <v>0</v>
      </c>
      <c r="Q49" s="458">
        <v>0</v>
      </c>
      <c r="R49" s="457">
        <f>S49+T49</f>
        <v>0</v>
      </c>
      <c r="S49" s="458">
        <v>0</v>
      </c>
      <c r="T49" s="458">
        <v>0</v>
      </c>
      <c r="U49" s="457">
        <f>V49+W49</f>
        <v>0</v>
      </c>
      <c r="V49" s="458">
        <v>0</v>
      </c>
      <c r="W49" s="458">
        <v>0</v>
      </c>
    </row>
    <row r="50" spans="1:23" s="701" customFormat="1" ht="13.5" customHeight="1" hidden="1">
      <c r="A50" s="848"/>
      <c r="B50" s="860"/>
      <c r="C50" s="876"/>
      <c r="D50" s="870"/>
      <c r="E50" s="850"/>
      <c r="F50" s="850"/>
      <c r="G50" s="860"/>
      <c r="H50" s="700">
        <v>201390</v>
      </c>
      <c r="I50" s="700">
        <v>34380</v>
      </c>
      <c r="J50" s="842">
        <f>J47+J49</f>
        <v>4513918</v>
      </c>
      <c r="K50" s="842">
        <f aca="true" t="shared" si="6" ref="K50:W50">K47+K49</f>
        <v>4474330</v>
      </c>
      <c r="L50" s="842">
        <f t="shared" si="6"/>
        <v>224330</v>
      </c>
      <c r="M50" s="842">
        <f t="shared" si="6"/>
        <v>4250000</v>
      </c>
      <c r="N50" s="842">
        <f t="shared" si="6"/>
        <v>39588</v>
      </c>
      <c r="O50" s="842">
        <f t="shared" si="6"/>
        <v>0</v>
      </c>
      <c r="P50" s="842">
        <f t="shared" si="6"/>
        <v>0</v>
      </c>
      <c r="Q50" s="842">
        <f t="shared" si="6"/>
        <v>0</v>
      </c>
      <c r="R50" s="842">
        <f t="shared" si="6"/>
        <v>39588</v>
      </c>
      <c r="S50" s="842">
        <f t="shared" si="6"/>
        <v>39588</v>
      </c>
      <c r="T50" s="842">
        <f t="shared" si="6"/>
        <v>0</v>
      </c>
      <c r="U50" s="842">
        <f t="shared" si="6"/>
        <v>0</v>
      </c>
      <c r="V50" s="842">
        <f t="shared" si="6"/>
        <v>0</v>
      </c>
      <c r="W50" s="842">
        <f t="shared" si="6"/>
        <v>0</v>
      </c>
    </row>
    <row r="51" spans="1:23" s="701" customFormat="1" ht="13.5" customHeight="1" hidden="1">
      <c r="A51" s="848"/>
      <c r="B51" s="861"/>
      <c r="C51" s="877"/>
      <c r="D51" s="871"/>
      <c r="E51" s="851"/>
      <c r="F51" s="851"/>
      <c r="G51" s="861"/>
      <c r="H51" s="700">
        <v>0</v>
      </c>
      <c r="I51" s="700">
        <v>0</v>
      </c>
      <c r="J51" s="842"/>
      <c r="K51" s="842"/>
      <c r="L51" s="842"/>
      <c r="M51" s="842"/>
      <c r="N51" s="842"/>
      <c r="O51" s="842"/>
      <c r="P51" s="842"/>
      <c r="Q51" s="842"/>
      <c r="R51" s="842"/>
      <c r="S51" s="842"/>
      <c r="T51" s="842"/>
      <c r="U51" s="842"/>
      <c r="V51" s="842"/>
      <c r="W51" s="842"/>
    </row>
    <row r="52" spans="1:23" s="701" customFormat="1" ht="14.25" customHeight="1">
      <c r="A52" s="848">
        <v>6</v>
      </c>
      <c r="B52" s="859" t="s">
        <v>511</v>
      </c>
      <c r="C52" s="875" t="s">
        <v>987</v>
      </c>
      <c r="D52" s="869" t="s">
        <v>752</v>
      </c>
      <c r="E52" s="849" t="s">
        <v>581</v>
      </c>
      <c r="F52" s="849" t="s">
        <v>986</v>
      </c>
      <c r="G52" s="859" t="s">
        <v>627</v>
      </c>
      <c r="H52" s="700">
        <f>H53+H54+H55+H56</f>
        <v>22747200</v>
      </c>
      <c r="I52" s="700">
        <f>I53+I54+I55+I56</f>
        <v>1631859</v>
      </c>
      <c r="J52" s="842">
        <f>K52+N52</f>
        <v>14921964</v>
      </c>
      <c r="K52" s="842">
        <f>L52+M52</f>
        <v>14361453</v>
      </c>
      <c r="L52" s="842">
        <v>624373</v>
      </c>
      <c r="M52" s="842">
        <v>13737080</v>
      </c>
      <c r="N52" s="842">
        <f>O52+R52+U52</f>
        <v>560511</v>
      </c>
      <c r="O52" s="842">
        <f>P52+Q52</f>
        <v>0</v>
      </c>
      <c r="P52" s="842">
        <v>0</v>
      </c>
      <c r="Q52" s="842">
        <v>0</v>
      </c>
      <c r="R52" s="842">
        <f>S52+T52</f>
        <v>497826</v>
      </c>
      <c r="S52" s="842">
        <v>110183</v>
      </c>
      <c r="T52" s="842">
        <v>387643</v>
      </c>
      <c r="U52" s="842">
        <f>V52+W52</f>
        <v>62685</v>
      </c>
      <c r="V52" s="842">
        <v>0</v>
      </c>
      <c r="W52" s="842">
        <v>62685</v>
      </c>
    </row>
    <row r="53" spans="1:23" s="701" customFormat="1" ht="14.25" customHeight="1">
      <c r="A53" s="848"/>
      <c r="B53" s="860"/>
      <c r="C53" s="876"/>
      <c r="D53" s="870"/>
      <c r="E53" s="850"/>
      <c r="F53" s="850"/>
      <c r="G53" s="860"/>
      <c r="H53" s="700">
        <v>21574001</v>
      </c>
      <c r="I53" s="700">
        <v>1552915</v>
      </c>
      <c r="J53" s="842"/>
      <c r="K53" s="842"/>
      <c r="L53" s="842"/>
      <c r="M53" s="842"/>
      <c r="N53" s="842"/>
      <c r="O53" s="842"/>
      <c r="P53" s="842"/>
      <c r="Q53" s="842"/>
      <c r="R53" s="842"/>
      <c r="S53" s="842"/>
      <c r="T53" s="842"/>
      <c r="U53" s="842"/>
      <c r="V53" s="842"/>
      <c r="W53" s="842"/>
    </row>
    <row r="54" spans="1:23" s="701" customFormat="1" ht="14.25" customHeight="1">
      <c r="A54" s="848"/>
      <c r="B54" s="860"/>
      <c r="C54" s="876"/>
      <c r="D54" s="870"/>
      <c r="E54" s="850"/>
      <c r="F54" s="850"/>
      <c r="G54" s="860"/>
      <c r="H54" s="700">
        <v>0</v>
      </c>
      <c r="I54" s="700">
        <v>0</v>
      </c>
      <c r="J54" s="457">
        <f>K54+N54</f>
        <v>2775278</v>
      </c>
      <c r="K54" s="457">
        <f>L54+M54</f>
        <v>2754247</v>
      </c>
      <c r="L54" s="458">
        <v>118872</v>
      </c>
      <c r="M54" s="458">
        <v>2635375</v>
      </c>
      <c r="N54" s="457">
        <f>O54+R54+U54</f>
        <v>21031</v>
      </c>
      <c r="O54" s="457">
        <f>P54+Q54</f>
        <v>0</v>
      </c>
      <c r="P54" s="458">
        <v>0</v>
      </c>
      <c r="Q54" s="458">
        <v>0</v>
      </c>
      <c r="R54" s="457">
        <f>S54+T54</f>
        <v>20978</v>
      </c>
      <c r="S54" s="458">
        <v>20978</v>
      </c>
      <c r="T54" s="458">
        <v>0</v>
      </c>
      <c r="U54" s="457">
        <f>V54+W54</f>
        <v>53</v>
      </c>
      <c r="V54" s="458">
        <v>0</v>
      </c>
      <c r="W54" s="458">
        <v>53</v>
      </c>
    </row>
    <row r="55" spans="1:23" s="701" customFormat="1" ht="14.25" customHeight="1">
      <c r="A55" s="848"/>
      <c r="B55" s="860"/>
      <c r="C55" s="876"/>
      <c r="D55" s="870"/>
      <c r="E55" s="850"/>
      <c r="F55" s="850"/>
      <c r="G55" s="860"/>
      <c r="H55" s="700">
        <v>1099954</v>
      </c>
      <c r="I55" s="700">
        <v>68437</v>
      </c>
      <c r="J55" s="842">
        <f>J52+J54</f>
        <v>17697242</v>
      </c>
      <c r="K55" s="842">
        <f aca="true" t="shared" si="7" ref="K55:W55">K52+K54</f>
        <v>17115700</v>
      </c>
      <c r="L55" s="842">
        <f t="shared" si="7"/>
        <v>743245</v>
      </c>
      <c r="M55" s="842">
        <f t="shared" si="7"/>
        <v>16372455</v>
      </c>
      <c r="N55" s="842">
        <f t="shared" si="7"/>
        <v>581542</v>
      </c>
      <c r="O55" s="842">
        <f t="shared" si="7"/>
        <v>0</v>
      </c>
      <c r="P55" s="842">
        <f t="shared" si="7"/>
        <v>0</v>
      </c>
      <c r="Q55" s="842">
        <f t="shared" si="7"/>
        <v>0</v>
      </c>
      <c r="R55" s="842">
        <f t="shared" si="7"/>
        <v>518804</v>
      </c>
      <c r="S55" s="842">
        <f t="shared" si="7"/>
        <v>131161</v>
      </c>
      <c r="T55" s="842">
        <f t="shared" si="7"/>
        <v>387643</v>
      </c>
      <c r="U55" s="842">
        <f t="shared" si="7"/>
        <v>62738</v>
      </c>
      <c r="V55" s="842">
        <f t="shared" si="7"/>
        <v>0</v>
      </c>
      <c r="W55" s="842">
        <f t="shared" si="7"/>
        <v>62738</v>
      </c>
    </row>
    <row r="56" spans="1:23" s="701" customFormat="1" ht="14.25" customHeight="1">
      <c r="A56" s="848"/>
      <c r="B56" s="861"/>
      <c r="C56" s="877"/>
      <c r="D56" s="871"/>
      <c r="E56" s="851"/>
      <c r="F56" s="851"/>
      <c r="G56" s="861"/>
      <c r="H56" s="700">
        <v>73245</v>
      </c>
      <c r="I56" s="700">
        <v>10507</v>
      </c>
      <c r="J56" s="842"/>
      <c r="K56" s="842"/>
      <c r="L56" s="842"/>
      <c r="M56" s="842"/>
      <c r="N56" s="842"/>
      <c r="O56" s="842"/>
      <c r="P56" s="842"/>
      <c r="Q56" s="842"/>
      <c r="R56" s="842"/>
      <c r="S56" s="842"/>
      <c r="T56" s="842"/>
      <c r="U56" s="842"/>
      <c r="V56" s="842"/>
      <c r="W56" s="842"/>
    </row>
    <row r="57" spans="1:23" s="701" customFormat="1" ht="14.25" customHeight="1">
      <c r="A57" s="848">
        <v>7</v>
      </c>
      <c r="B57" s="844" t="s">
        <v>988</v>
      </c>
      <c r="C57" s="846" t="s">
        <v>989</v>
      </c>
      <c r="D57" s="872" t="s">
        <v>990</v>
      </c>
      <c r="E57" s="848" t="s">
        <v>991</v>
      </c>
      <c r="F57" s="848" t="s">
        <v>992</v>
      </c>
      <c r="G57" s="844" t="s">
        <v>606</v>
      </c>
      <c r="H57" s="700">
        <f>H58+H59+H60+H61</f>
        <v>3687356</v>
      </c>
      <c r="I57" s="700">
        <f>I58+I59+I60+I61</f>
        <v>95971</v>
      </c>
      <c r="J57" s="842">
        <f>K57+N57</f>
        <v>2284252</v>
      </c>
      <c r="K57" s="842">
        <f>L57+M57</f>
        <v>2284252</v>
      </c>
      <c r="L57" s="842">
        <v>0</v>
      </c>
      <c r="M57" s="842">
        <v>2284252</v>
      </c>
      <c r="N57" s="842">
        <f>O57+R57+U57</f>
        <v>0</v>
      </c>
      <c r="O57" s="842">
        <f>P57+Q57</f>
        <v>0</v>
      </c>
      <c r="P57" s="842">
        <v>0</v>
      </c>
      <c r="Q57" s="842">
        <v>0</v>
      </c>
      <c r="R57" s="842">
        <f>S57+T57</f>
        <v>0</v>
      </c>
      <c r="S57" s="842">
        <v>0</v>
      </c>
      <c r="T57" s="842">
        <v>0</v>
      </c>
      <c r="U57" s="842">
        <f>V57+W57</f>
        <v>0</v>
      </c>
      <c r="V57" s="842">
        <v>0</v>
      </c>
      <c r="W57" s="842">
        <v>0</v>
      </c>
    </row>
    <row r="58" spans="1:23" s="701" customFormat="1" ht="14.25" customHeight="1">
      <c r="A58" s="848"/>
      <c r="B58" s="844"/>
      <c r="C58" s="846"/>
      <c r="D58" s="872"/>
      <c r="E58" s="848"/>
      <c r="F58" s="848"/>
      <c r="G58" s="844"/>
      <c r="H58" s="700">
        <v>3134252</v>
      </c>
      <c r="I58" s="700">
        <v>81575</v>
      </c>
      <c r="J58" s="842"/>
      <c r="K58" s="842"/>
      <c r="L58" s="842"/>
      <c r="M58" s="842"/>
      <c r="N58" s="842"/>
      <c r="O58" s="842"/>
      <c r="P58" s="842"/>
      <c r="Q58" s="842"/>
      <c r="R58" s="842"/>
      <c r="S58" s="842"/>
      <c r="T58" s="842"/>
      <c r="U58" s="842"/>
      <c r="V58" s="842"/>
      <c r="W58" s="842"/>
    </row>
    <row r="59" spans="1:23" s="701" customFormat="1" ht="14.25" customHeight="1">
      <c r="A59" s="848"/>
      <c r="B59" s="844"/>
      <c r="C59" s="846"/>
      <c r="D59" s="872"/>
      <c r="E59" s="848"/>
      <c r="F59" s="848"/>
      <c r="G59" s="844"/>
      <c r="H59" s="700">
        <v>0</v>
      </c>
      <c r="I59" s="700">
        <v>0</v>
      </c>
      <c r="J59" s="457">
        <f>K59+N59</f>
        <v>1307133</v>
      </c>
      <c r="K59" s="457">
        <f>L59+M59</f>
        <v>768425</v>
      </c>
      <c r="L59" s="458">
        <v>0</v>
      </c>
      <c r="M59" s="458">
        <v>768425</v>
      </c>
      <c r="N59" s="457">
        <f>O59+R59+U59</f>
        <v>538708</v>
      </c>
      <c r="O59" s="457">
        <f>P59+Q59</f>
        <v>0</v>
      </c>
      <c r="P59" s="458">
        <v>0</v>
      </c>
      <c r="Q59" s="458">
        <v>0</v>
      </c>
      <c r="R59" s="457">
        <f>S59+T59</f>
        <v>0</v>
      </c>
      <c r="S59" s="458">
        <v>0</v>
      </c>
      <c r="T59" s="458">
        <v>0</v>
      </c>
      <c r="U59" s="457">
        <f>V59+W59</f>
        <v>538708</v>
      </c>
      <c r="V59" s="458">
        <v>0</v>
      </c>
      <c r="W59" s="458">
        <v>538708</v>
      </c>
    </row>
    <row r="60" spans="1:23" s="701" customFormat="1" ht="14.25" customHeight="1">
      <c r="A60" s="848"/>
      <c r="B60" s="844"/>
      <c r="C60" s="846"/>
      <c r="D60" s="872"/>
      <c r="E60" s="848"/>
      <c r="F60" s="848"/>
      <c r="G60" s="844"/>
      <c r="H60" s="700">
        <v>0</v>
      </c>
      <c r="I60" s="700">
        <v>0</v>
      </c>
      <c r="J60" s="842">
        <f>J57+J59</f>
        <v>3591385</v>
      </c>
      <c r="K60" s="842">
        <f aca="true" t="shared" si="8" ref="K60:W60">K57+K59</f>
        <v>3052677</v>
      </c>
      <c r="L60" s="842">
        <f t="shared" si="8"/>
        <v>0</v>
      </c>
      <c r="M60" s="842">
        <f t="shared" si="8"/>
        <v>3052677</v>
      </c>
      <c r="N60" s="842">
        <f t="shared" si="8"/>
        <v>538708</v>
      </c>
      <c r="O60" s="842">
        <f t="shared" si="8"/>
        <v>0</v>
      </c>
      <c r="P60" s="842">
        <f t="shared" si="8"/>
        <v>0</v>
      </c>
      <c r="Q60" s="842">
        <f t="shared" si="8"/>
        <v>0</v>
      </c>
      <c r="R60" s="842">
        <f t="shared" si="8"/>
        <v>0</v>
      </c>
      <c r="S60" s="842">
        <f t="shared" si="8"/>
        <v>0</v>
      </c>
      <c r="T60" s="842">
        <f t="shared" si="8"/>
        <v>0</v>
      </c>
      <c r="U60" s="842">
        <f t="shared" si="8"/>
        <v>538708</v>
      </c>
      <c r="V60" s="842">
        <f t="shared" si="8"/>
        <v>0</v>
      </c>
      <c r="W60" s="842">
        <f t="shared" si="8"/>
        <v>538708</v>
      </c>
    </row>
    <row r="61" spans="1:23" s="701" customFormat="1" ht="14.25" customHeight="1">
      <c r="A61" s="848"/>
      <c r="B61" s="844"/>
      <c r="C61" s="846"/>
      <c r="D61" s="872"/>
      <c r="E61" s="848"/>
      <c r="F61" s="848"/>
      <c r="G61" s="844"/>
      <c r="H61" s="700">
        <v>553104</v>
      </c>
      <c r="I61" s="700">
        <v>14396</v>
      </c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</row>
    <row r="62" spans="1:23" s="701" customFormat="1" ht="12.75" customHeight="1">
      <c r="A62" s="848">
        <v>8</v>
      </c>
      <c r="B62" s="859" t="s">
        <v>745</v>
      </c>
      <c r="C62" s="875" t="s">
        <v>989</v>
      </c>
      <c r="D62" s="869" t="s">
        <v>746</v>
      </c>
      <c r="E62" s="849" t="s">
        <v>581</v>
      </c>
      <c r="F62" s="849" t="s">
        <v>993</v>
      </c>
      <c r="G62" s="859" t="s">
        <v>623</v>
      </c>
      <c r="H62" s="700">
        <f>H63+H64+H65+H66</f>
        <v>1236074</v>
      </c>
      <c r="I62" s="700">
        <f>I63+I64+I65+I66</f>
        <v>69543</v>
      </c>
      <c r="J62" s="842">
        <f>K62+N62</f>
        <v>289058</v>
      </c>
      <c r="K62" s="842">
        <f>L62+M62</f>
        <v>0</v>
      </c>
      <c r="L62" s="842">
        <v>0</v>
      </c>
      <c r="M62" s="842">
        <v>0</v>
      </c>
      <c r="N62" s="842">
        <f>O62+R62+U62</f>
        <v>289058</v>
      </c>
      <c r="O62" s="842">
        <f>P62+Q62</f>
        <v>0</v>
      </c>
      <c r="P62" s="842">
        <v>0</v>
      </c>
      <c r="Q62" s="842">
        <v>0</v>
      </c>
      <c r="R62" s="842">
        <f>S62+T62</f>
        <v>289058</v>
      </c>
      <c r="S62" s="842">
        <v>0</v>
      </c>
      <c r="T62" s="842">
        <v>289058</v>
      </c>
      <c r="U62" s="842">
        <f>V62+W62</f>
        <v>0</v>
      </c>
      <c r="V62" s="842">
        <v>0</v>
      </c>
      <c r="W62" s="842">
        <v>0</v>
      </c>
    </row>
    <row r="63" spans="1:23" s="701" customFormat="1" ht="12.75" customHeight="1">
      <c r="A63" s="848"/>
      <c r="B63" s="860"/>
      <c r="C63" s="876"/>
      <c r="D63" s="870"/>
      <c r="E63" s="850"/>
      <c r="F63" s="850"/>
      <c r="G63" s="860"/>
      <c r="H63" s="700">
        <v>0</v>
      </c>
      <c r="I63" s="700">
        <v>0</v>
      </c>
      <c r="J63" s="842"/>
      <c r="K63" s="842"/>
      <c r="L63" s="842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</row>
    <row r="64" spans="1:23" s="701" customFormat="1" ht="12.75" customHeight="1">
      <c r="A64" s="848"/>
      <c r="B64" s="860"/>
      <c r="C64" s="876"/>
      <c r="D64" s="870"/>
      <c r="E64" s="850"/>
      <c r="F64" s="850"/>
      <c r="G64" s="860"/>
      <c r="H64" s="700">
        <v>0</v>
      </c>
      <c r="I64" s="700">
        <v>0</v>
      </c>
      <c r="J64" s="457">
        <f>K64+N64</f>
        <v>0</v>
      </c>
      <c r="K64" s="457">
        <f>L64+M64</f>
        <v>0</v>
      </c>
      <c r="L64" s="458">
        <v>0</v>
      </c>
      <c r="M64" s="458">
        <v>0</v>
      </c>
      <c r="N64" s="457">
        <f>O64+R64+U64</f>
        <v>0</v>
      </c>
      <c r="O64" s="457">
        <f>P64+Q64</f>
        <v>0</v>
      </c>
      <c r="P64" s="458">
        <v>0</v>
      </c>
      <c r="Q64" s="458">
        <v>0</v>
      </c>
      <c r="R64" s="457">
        <f>S64+T64</f>
        <v>0</v>
      </c>
      <c r="S64" s="458">
        <v>0</v>
      </c>
      <c r="T64" s="458">
        <v>0</v>
      </c>
      <c r="U64" s="457">
        <f>V64+W64</f>
        <v>0</v>
      </c>
      <c r="V64" s="458">
        <v>0</v>
      </c>
      <c r="W64" s="458">
        <v>0</v>
      </c>
    </row>
    <row r="65" spans="1:23" s="701" customFormat="1" ht="12.75" customHeight="1">
      <c r="A65" s="848"/>
      <c r="B65" s="860"/>
      <c r="C65" s="876"/>
      <c r="D65" s="870"/>
      <c r="E65" s="850"/>
      <c r="F65" s="850"/>
      <c r="G65" s="860"/>
      <c r="H65" s="700">
        <v>1236074</v>
      </c>
      <c r="I65" s="700">
        <v>69543</v>
      </c>
      <c r="J65" s="842">
        <f>J62+J64</f>
        <v>289058</v>
      </c>
      <c r="K65" s="842">
        <f aca="true" t="shared" si="9" ref="K65:W65">K62+K64</f>
        <v>0</v>
      </c>
      <c r="L65" s="842">
        <f t="shared" si="9"/>
        <v>0</v>
      </c>
      <c r="M65" s="842">
        <f t="shared" si="9"/>
        <v>0</v>
      </c>
      <c r="N65" s="842">
        <f t="shared" si="9"/>
        <v>289058</v>
      </c>
      <c r="O65" s="842">
        <f t="shared" si="9"/>
        <v>0</v>
      </c>
      <c r="P65" s="842">
        <f t="shared" si="9"/>
        <v>0</v>
      </c>
      <c r="Q65" s="842">
        <f t="shared" si="9"/>
        <v>0</v>
      </c>
      <c r="R65" s="842">
        <f t="shared" si="9"/>
        <v>289058</v>
      </c>
      <c r="S65" s="842">
        <f t="shared" si="9"/>
        <v>0</v>
      </c>
      <c r="T65" s="842">
        <f t="shared" si="9"/>
        <v>289058</v>
      </c>
      <c r="U65" s="842">
        <f t="shared" si="9"/>
        <v>0</v>
      </c>
      <c r="V65" s="842">
        <f t="shared" si="9"/>
        <v>0</v>
      </c>
      <c r="W65" s="842">
        <f t="shared" si="9"/>
        <v>0</v>
      </c>
    </row>
    <row r="66" spans="1:23" s="701" customFormat="1" ht="12.75" customHeight="1">
      <c r="A66" s="848"/>
      <c r="B66" s="861"/>
      <c r="C66" s="877"/>
      <c r="D66" s="871"/>
      <c r="E66" s="851"/>
      <c r="F66" s="851"/>
      <c r="G66" s="861"/>
      <c r="H66" s="700">
        <v>0</v>
      </c>
      <c r="I66" s="700">
        <v>0</v>
      </c>
      <c r="J66" s="842"/>
      <c r="K66" s="842"/>
      <c r="L66" s="842"/>
      <c r="M66" s="842"/>
      <c r="N66" s="842"/>
      <c r="O66" s="842"/>
      <c r="P66" s="842"/>
      <c r="Q66" s="842"/>
      <c r="R66" s="842"/>
      <c r="S66" s="842"/>
      <c r="T66" s="842"/>
      <c r="U66" s="842"/>
      <c r="V66" s="842"/>
      <c r="W66" s="842"/>
    </row>
    <row r="67" spans="1:23" s="701" customFormat="1" ht="14.25" customHeight="1">
      <c r="A67" s="848">
        <v>9</v>
      </c>
      <c r="B67" s="859" t="s">
        <v>745</v>
      </c>
      <c r="C67" s="875" t="s">
        <v>989</v>
      </c>
      <c r="D67" s="869" t="s">
        <v>994</v>
      </c>
      <c r="E67" s="849" t="s">
        <v>581</v>
      </c>
      <c r="F67" s="849" t="s">
        <v>993</v>
      </c>
      <c r="G67" s="859" t="s">
        <v>995</v>
      </c>
      <c r="H67" s="700">
        <f>H68+H69+H70+H71</f>
        <v>2098415</v>
      </c>
      <c r="I67" s="700">
        <f>I68+I69+I70+I71</f>
        <v>0</v>
      </c>
      <c r="J67" s="842">
        <f>K67+N67</f>
        <v>660000</v>
      </c>
      <c r="K67" s="842">
        <f>L67+M67</f>
        <v>0</v>
      </c>
      <c r="L67" s="842">
        <v>0</v>
      </c>
      <c r="M67" s="842">
        <v>0</v>
      </c>
      <c r="N67" s="842">
        <f>O67+R67+U67</f>
        <v>660000</v>
      </c>
      <c r="O67" s="842">
        <f>P67+Q67</f>
        <v>0</v>
      </c>
      <c r="P67" s="842">
        <v>0</v>
      </c>
      <c r="Q67" s="842">
        <v>0</v>
      </c>
      <c r="R67" s="842">
        <f>S67+T67</f>
        <v>660000</v>
      </c>
      <c r="S67" s="842">
        <v>0</v>
      </c>
      <c r="T67" s="842">
        <v>660000</v>
      </c>
      <c r="U67" s="842">
        <f>V67+W67</f>
        <v>0</v>
      </c>
      <c r="V67" s="842">
        <v>0</v>
      </c>
      <c r="W67" s="842">
        <v>0</v>
      </c>
    </row>
    <row r="68" spans="1:23" s="701" customFormat="1" ht="14.25" customHeight="1">
      <c r="A68" s="848"/>
      <c r="B68" s="860"/>
      <c r="C68" s="876"/>
      <c r="D68" s="870"/>
      <c r="E68" s="850"/>
      <c r="F68" s="850"/>
      <c r="G68" s="860"/>
      <c r="H68" s="700">
        <v>0</v>
      </c>
      <c r="I68" s="700">
        <v>0</v>
      </c>
      <c r="J68" s="842"/>
      <c r="K68" s="842"/>
      <c r="L68" s="842"/>
      <c r="M68" s="842"/>
      <c r="N68" s="842"/>
      <c r="O68" s="842"/>
      <c r="P68" s="842"/>
      <c r="Q68" s="842"/>
      <c r="R68" s="842"/>
      <c r="S68" s="842"/>
      <c r="T68" s="842"/>
      <c r="U68" s="842"/>
      <c r="V68" s="842"/>
      <c r="W68" s="842"/>
    </row>
    <row r="69" spans="1:23" s="701" customFormat="1" ht="14.25" customHeight="1">
      <c r="A69" s="848"/>
      <c r="B69" s="860"/>
      <c r="C69" s="876"/>
      <c r="D69" s="870"/>
      <c r="E69" s="850"/>
      <c r="F69" s="850"/>
      <c r="G69" s="860"/>
      <c r="H69" s="700">
        <v>0</v>
      </c>
      <c r="I69" s="700">
        <v>0</v>
      </c>
      <c r="J69" s="457">
        <f>K69+N69</f>
        <v>0</v>
      </c>
      <c r="K69" s="457">
        <f>L69+M69</f>
        <v>0</v>
      </c>
      <c r="L69" s="458">
        <v>0</v>
      </c>
      <c r="M69" s="458">
        <v>0</v>
      </c>
      <c r="N69" s="457">
        <f>O69+R69+U69</f>
        <v>0</v>
      </c>
      <c r="O69" s="457">
        <f>P69+Q69</f>
        <v>0</v>
      </c>
      <c r="P69" s="458">
        <v>0</v>
      </c>
      <c r="Q69" s="458">
        <v>0</v>
      </c>
      <c r="R69" s="457">
        <f>S69+T69</f>
        <v>0</v>
      </c>
      <c r="S69" s="458">
        <v>0</v>
      </c>
      <c r="T69" s="458">
        <v>0</v>
      </c>
      <c r="U69" s="457">
        <f>V69+W69</f>
        <v>0</v>
      </c>
      <c r="V69" s="458">
        <v>0</v>
      </c>
      <c r="W69" s="458">
        <v>0</v>
      </c>
    </row>
    <row r="70" spans="1:23" s="701" customFormat="1" ht="14.25" customHeight="1">
      <c r="A70" s="848"/>
      <c r="B70" s="860"/>
      <c r="C70" s="876"/>
      <c r="D70" s="870"/>
      <c r="E70" s="850"/>
      <c r="F70" s="850"/>
      <c r="G70" s="860"/>
      <c r="H70" s="700">
        <v>2098415</v>
      </c>
      <c r="I70" s="700">
        <v>0</v>
      </c>
      <c r="J70" s="842">
        <f>J67+J69</f>
        <v>660000</v>
      </c>
      <c r="K70" s="842">
        <f aca="true" t="shared" si="10" ref="K70:W70">K67+K69</f>
        <v>0</v>
      </c>
      <c r="L70" s="842">
        <f t="shared" si="10"/>
        <v>0</v>
      </c>
      <c r="M70" s="842">
        <f t="shared" si="10"/>
        <v>0</v>
      </c>
      <c r="N70" s="842">
        <f t="shared" si="10"/>
        <v>660000</v>
      </c>
      <c r="O70" s="842">
        <f t="shared" si="10"/>
        <v>0</v>
      </c>
      <c r="P70" s="842">
        <f t="shared" si="10"/>
        <v>0</v>
      </c>
      <c r="Q70" s="842">
        <f t="shared" si="10"/>
        <v>0</v>
      </c>
      <c r="R70" s="842">
        <f t="shared" si="10"/>
        <v>660000</v>
      </c>
      <c r="S70" s="842">
        <f t="shared" si="10"/>
        <v>0</v>
      </c>
      <c r="T70" s="842">
        <f t="shared" si="10"/>
        <v>660000</v>
      </c>
      <c r="U70" s="842">
        <f t="shared" si="10"/>
        <v>0</v>
      </c>
      <c r="V70" s="842">
        <f t="shared" si="10"/>
        <v>0</v>
      </c>
      <c r="W70" s="842">
        <f t="shared" si="10"/>
        <v>0</v>
      </c>
    </row>
    <row r="71" spans="1:23" s="701" customFormat="1" ht="14.25" customHeight="1">
      <c r="A71" s="848"/>
      <c r="B71" s="861"/>
      <c r="C71" s="877"/>
      <c r="D71" s="871"/>
      <c r="E71" s="851"/>
      <c r="F71" s="851"/>
      <c r="G71" s="861"/>
      <c r="H71" s="700">
        <v>0</v>
      </c>
      <c r="I71" s="700">
        <v>0</v>
      </c>
      <c r="J71" s="842"/>
      <c r="K71" s="842"/>
      <c r="L71" s="842"/>
      <c r="M71" s="842"/>
      <c r="N71" s="842"/>
      <c r="O71" s="842"/>
      <c r="P71" s="842"/>
      <c r="Q71" s="842"/>
      <c r="R71" s="842"/>
      <c r="S71" s="842"/>
      <c r="T71" s="842"/>
      <c r="U71" s="842"/>
      <c r="V71" s="842"/>
      <c r="W71" s="842"/>
    </row>
    <row r="72" spans="1:23" s="701" customFormat="1" ht="14.25" customHeight="1" hidden="1">
      <c r="A72" s="848">
        <v>12</v>
      </c>
      <c r="B72" s="859" t="s">
        <v>745</v>
      </c>
      <c r="C72" s="875" t="s">
        <v>989</v>
      </c>
      <c r="D72" s="869" t="s">
        <v>996</v>
      </c>
      <c r="E72" s="849" t="s">
        <v>581</v>
      </c>
      <c r="F72" s="849" t="s">
        <v>993</v>
      </c>
      <c r="G72" s="859">
        <v>2019</v>
      </c>
      <c r="H72" s="700">
        <f>H73+H74+H75+H76</f>
        <v>106500</v>
      </c>
      <c r="I72" s="700">
        <f>I73+I74+I75+I76</f>
        <v>0</v>
      </c>
      <c r="J72" s="842">
        <f>K72+N72</f>
        <v>106500</v>
      </c>
      <c r="K72" s="842">
        <f>L72+M72</f>
        <v>0</v>
      </c>
      <c r="L72" s="842">
        <v>0</v>
      </c>
      <c r="M72" s="842">
        <v>0</v>
      </c>
      <c r="N72" s="842">
        <f>O72+R72+U72</f>
        <v>106500</v>
      </c>
      <c r="O72" s="842">
        <f>P72+Q72</f>
        <v>0</v>
      </c>
      <c r="P72" s="842">
        <v>0</v>
      </c>
      <c r="Q72" s="842">
        <v>0</v>
      </c>
      <c r="R72" s="842">
        <f>S72+T72</f>
        <v>106500</v>
      </c>
      <c r="S72" s="842">
        <v>0</v>
      </c>
      <c r="T72" s="842">
        <v>106500</v>
      </c>
      <c r="U72" s="842">
        <f>V72+W72</f>
        <v>0</v>
      </c>
      <c r="V72" s="842">
        <v>0</v>
      </c>
      <c r="W72" s="842">
        <v>0</v>
      </c>
    </row>
    <row r="73" spans="1:23" s="701" customFormat="1" ht="14.25" customHeight="1" hidden="1">
      <c r="A73" s="848"/>
      <c r="B73" s="860"/>
      <c r="C73" s="876"/>
      <c r="D73" s="870"/>
      <c r="E73" s="850"/>
      <c r="F73" s="850"/>
      <c r="G73" s="860"/>
      <c r="H73" s="700">
        <v>0</v>
      </c>
      <c r="I73" s="700">
        <v>0</v>
      </c>
      <c r="J73" s="842"/>
      <c r="K73" s="842"/>
      <c r="L73" s="842"/>
      <c r="M73" s="842"/>
      <c r="N73" s="842"/>
      <c r="O73" s="842"/>
      <c r="P73" s="842"/>
      <c r="Q73" s="842"/>
      <c r="R73" s="842"/>
      <c r="S73" s="842"/>
      <c r="T73" s="842"/>
      <c r="U73" s="842"/>
      <c r="V73" s="842"/>
      <c r="W73" s="842"/>
    </row>
    <row r="74" spans="1:23" s="701" customFormat="1" ht="14.25" customHeight="1" hidden="1">
      <c r="A74" s="848"/>
      <c r="B74" s="860"/>
      <c r="C74" s="876"/>
      <c r="D74" s="870"/>
      <c r="E74" s="850"/>
      <c r="F74" s="850"/>
      <c r="G74" s="860"/>
      <c r="H74" s="700">
        <v>0</v>
      </c>
      <c r="I74" s="700">
        <v>0</v>
      </c>
      <c r="J74" s="457">
        <f>K74+N74</f>
        <v>0</v>
      </c>
      <c r="K74" s="457">
        <f>L74+M74</f>
        <v>0</v>
      </c>
      <c r="L74" s="458">
        <v>0</v>
      </c>
      <c r="M74" s="458">
        <v>0</v>
      </c>
      <c r="N74" s="457">
        <f>O74+R74+U74</f>
        <v>0</v>
      </c>
      <c r="O74" s="457">
        <f>P74+Q74</f>
        <v>0</v>
      </c>
      <c r="P74" s="458">
        <v>0</v>
      </c>
      <c r="Q74" s="458">
        <v>0</v>
      </c>
      <c r="R74" s="457">
        <f>S74+T74</f>
        <v>0</v>
      </c>
      <c r="S74" s="458">
        <v>0</v>
      </c>
      <c r="T74" s="458">
        <v>0</v>
      </c>
      <c r="U74" s="457">
        <f>V74+W74</f>
        <v>0</v>
      </c>
      <c r="V74" s="458">
        <v>0</v>
      </c>
      <c r="W74" s="458">
        <v>0</v>
      </c>
    </row>
    <row r="75" spans="1:23" s="701" customFormat="1" ht="14.25" customHeight="1" hidden="1">
      <c r="A75" s="848"/>
      <c r="B75" s="860"/>
      <c r="C75" s="876"/>
      <c r="D75" s="870"/>
      <c r="E75" s="850"/>
      <c r="F75" s="850"/>
      <c r="G75" s="860"/>
      <c r="H75" s="700">
        <v>106500</v>
      </c>
      <c r="I75" s="700">
        <v>0</v>
      </c>
      <c r="J75" s="842">
        <f>J72+J74</f>
        <v>106500</v>
      </c>
      <c r="K75" s="842">
        <f aca="true" t="shared" si="11" ref="K75:W75">K72+K74</f>
        <v>0</v>
      </c>
      <c r="L75" s="842">
        <f t="shared" si="11"/>
        <v>0</v>
      </c>
      <c r="M75" s="842">
        <f t="shared" si="11"/>
        <v>0</v>
      </c>
      <c r="N75" s="842">
        <f t="shared" si="11"/>
        <v>106500</v>
      </c>
      <c r="O75" s="842">
        <f t="shared" si="11"/>
        <v>0</v>
      </c>
      <c r="P75" s="842">
        <f t="shared" si="11"/>
        <v>0</v>
      </c>
      <c r="Q75" s="842">
        <f t="shared" si="11"/>
        <v>0</v>
      </c>
      <c r="R75" s="842">
        <f t="shared" si="11"/>
        <v>106500</v>
      </c>
      <c r="S75" s="842">
        <f t="shared" si="11"/>
        <v>0</v>
      </c>
      <c r="T75" s="842">
        <f t="shared" si="11"/>
        <v>106500</v>
      </c>
      <c r="U75" s="842">
        <f t="shared" si="11"/>
        <v>0</v>
      </c>
      <c r="V75" s="842">
        <f t="shared" si="11"/>
        <v>0</v>
      </c>
      <c r="W75" s="842">
        <f t="shared" si="11"/>
        <v>0</v>
      </c>
    </row>
    <row r="76" spans="1:23" s="701" customFormat="1" ht="14.25" customHeight="1" hidden="1">
      <c r="A76" s="848"/>
      <c r="B76" s="861"/>
      <c r="C76" s="877"/>
      <c r="D76" s="871"/>
      <c r="E76" s="851"/>
      <c r="F76" s="851"/>
      <c r="G76" s="861"/>
      <c r="H76" s="700">
        <v>0</v>
      </c>
      <c r="I76" s="700">
        <v>0</v>
      </c>
      <c r="J76" s="842"/>
      <c r="K76" s="842"/>
      <c r="L76" s="842"/>
      <c r="M76" s="842"/>
      <c r="N76" s="842"/>
      <c r="O76" s="842"/>
      <c r="P76" s="842"/>
      <c r="Q76" s="842"/>
      <c r="R76" s="842"/>
      <c r="S76" s="842"/>
      <c r="T76" s="842"/>
      <c r="U76" s="842"/>
      <c r="V76" s="842"/>
      <c r="W76" s="842"/>
    </row>
    <row r="77" spans="1:23" s="701" customFormat="1" ht="14.25" customHeight="1" hidden="1">
      <c r="A77" s="848">
        <v>13</v>
      </c>
      <c r="B77" s="859" t="s">
        <v>745</v>
      </c>
      <c r="C77" s="875" t="s">
        <v>989</v>
      </c>
      <c r="D77" s="869" t="s">
        <v>997</v>
      </c>
      <c r="E77" s="849" t="s">
        <v>991</v>
      </c>
      <c r="F77" s="849" t="s">
        <v>993</v>
      </c>
      <c r="G77" s="859" t="s">
        <v>627</v>
      </c>
      <c r="H77" s="700">
        <f>H78+H79+H80+H81</f>
        <v>8745088</v>
      </c>
      <c r="I77" s="700">
        <f>I78+I79+I80+I81</f>
        <v>734104</v>
      </c>
      <c r="J77" s="842">
        <f>K77+N77</f>
        <v>6101591</v>
      </c>
      <c r="K77" s="842">
        <f>L77+M77</f>
        <v>2687486</v>
      </c>
      <c r="L77" s="842">
        <v>0</v>
      </c>
      <c r="M77" s="842">
        <v>2687486</v>
      </c>
      <c r="N77" s="842">
        <f>O77+R77+U77</f>
        <v>3414105</v>
      </c>
      <c r="O77" s="842">
        <f>P77+Q77</f>
        <v>0</v>
      </c>
      <c r="P77" s="842">
        <v>0</v>
      </c>
      <c r="Q77" s="842">
        <v>0</v>
      </c>
      <c r="R77" s="842">
        <f>S77+T77</f>
        <v>1365642</v>
      </c>
      <c r="S77" s="842">
        <v>0</v>
      </c>
      <c r="T77" s="842">
        <v>1365642</v>
      </c>
      <c r="U77" s="842">
        <f>V77+W77</f>
        <v>2048463</v>
      </c>
      <c r="V77" s="842">
        <v>0</v>
      </c>
      <c r="W77" s="842">
        <v>2048463</v>
      </c>
    </row>
    <row r="78" spans="1:23" s="701" customFormat="1" ht="14.25" customHeight="1" hidden="1">
      <c r="A78" s="848"/>
      <c r="B78" s="860"/>
      <c r="C78" s="876"/>
      <c r="D78" s="870"/>
      <c r="E78" s="850"/>
      <c r="F78" s="850"/>
      <c r="G78" s="860"/>
      <c r="H78" s="700">
        <v>3798257</v>
      </c>
      <c r="I78" s="700">
        <v>308464</v>
      </c>
      <c r="J78" s="842"/>
      <c r="K78" s="842"/>
      <c r="L78" s="842"/>
      <c r="M78" s="842"/>
      <c r="N78" s="842"/>
      <c r="O78" s="842"/>
      <c r="P78" s="842"/>
      <c r="Q78" s="842"/>
      <c r="R78" s="842"/>
      <c r="S78" s="842"/>
      <c r="T78" s="842"/>
      <c r="U78" s="842"/>
      <c r="V78" s="842"/>
      <c r="W78" s="842"/>
    </row>
    <row r="79" spans="1:23" s="701" customFormat="1" ht="14.25" customHeight="1" hidden="1">
      <c r="A79" s="848"/>
      <c r="B79" s="860"/>
      <c r="C79" s="876"/>
      <c r="D79" s="870"/>
      <c r="E79" s="850"/>
      <c r="F79" s="850"/>
      <c r="G79" s="860"/>
      <c r="H79" s="700">
        <v>0</v>
      </c>
      <c r="I79" s="700">
        <v>0</v>
      </c>
      <c r="J79" s="457">
        <f>K79+N79</f>
        <v>0</v>
      </c>
      <c r="K79" s="457">
        <f>L79+M79</f>
        <v>0</v>
      </c>
      <c r="L79" s="458">
        <v>0</v>
      </c>
      <c r="M79" s="458">
        <v>0</v>
      </c>
      <c r="N79" s="457">
        <f>O79+R79+U79</f>
        <v>0</v>
      </c>
      <c r="O79" s="457">
        <f>P79+Q79</f>
        <v>0</v>
      </c>
      <c r="P79" s="458">
        <v>0</v>
      </c>
      <c r="Q79" s="458">
        <v>0</v>
      </c>
      <c r="R79" s="457">
        <f>S79+T79</f>
        <v>0</v>
      </c>
      <c r="S79" s="458">
        <v>0</v>
      </c>
      <c r="T79" s="458">
        <v>0</v>
      </c>
      <c r="U79" s="457">
        <f>V79+W79</f>
        <v>0</v>
      </c>
      <c r="V79" s="458">
        <v>0</v>
      </c>
      <c r="W79" s="458">
        <v>0</v>
      </c>
    </row>
    <row r="80" spans="1:23" s="701" customFormat="1" ht="14.25" customHeight="1" hidden="1">
      <c r="A80" s="848"/>
      <c r="B80" s="860"/>
      <c r="C80" s="876"/>
      <c r="D80" s="870"/>
      <c r="E80" s="850"/>
      <c r="F80" s="850"/>
      <c r="G80" s="860"/>
      <c r="H80" s="700">
        <v>1978733</v>
      </c>
      <c r="I80" s="700">
        <v>170256</v>
      </c>
      <c r="J80" s="842">
        <f>J77+J79</f>
        <v>6101591</v>
      </c>
      <c r="K80" s="842">
        <f aca="true" t="shared" si="12" ref="K80:W80">K77+K79</f>
        <v>2687486</v>
      </c>
      <c r="L80" s="842">
        <f t="shared" si="12"/>
        <v>0</v>
      </c>
      <c r="M80" s="842">
        <f t="shared" si="12"/>
        <v>2687486</v>
      </c>
      <c r="N80" s="842">
        <f t="shared" si="12"/>
        <v>3414105</v>
      </c>
      <c r="O80" s="842">
        <f t="shared" si="12"/>
        <v>0</v>
      </c>
      <c r="P80" s="842">
        <f t="shared" si="12"/>
        <v>0</v>
      </c>
      <c r="Q80" s="842">
        <f t="shared" si="12"/>
        <v>0</v>
      </c>
      <c r="R80" s="842">
        <f t="shared" si="12"/>
        <v>1365642</v>
      </c>
      <c r="S80" s="842">
        <f t="shared" si="12"/>
        <v>0</v>
      </c>
      <c r="T80" s="842">
        <f t="shared" si="12"/>
        <v>1365642</v>
      </c>
      <c r="U80" s="842">
        <f t="shared" si="12"/>
        <v>2048463</v>
      </c>
      <c r="V80" s="842">
        <f t="shared" si="12"/>
        <v>0</v>
      </c>
      <c r="W80" s="842">
        <f t="shared" si="12"/>
        <v>2048463</v>
      </c>
    </row>
    <row r="81" spans="1:23" s="701" customFormat="1" ht="14.25" customHeight="1" hidden="1">
      <c r="A81" s="848"/>
      <c r="B81" s="861"/>
      <c r="C81" s="877"/>
      <c r="D81" s="871"/>
      <c r="E81" s="851"/>
      <c r="F81" s="851"/>
      <c r="G81" s="861"/>
      <c r="H81" s="700">
        <v>2968098</v>
      </c>
      <c r="I81" s="700">
        <v>255384</v>
      </c>
      <c r="J81" s="842"/>
      <c r="K81" s="842"/>
      <c r="L81" s="842"/>
      <c r="M81" s="842"/>
      <c r="N81" s="842"/>
      <c r="O81" s="842"/>
      <c r="P81" s="842"/>
      <c r="Q81" s="842"/>
      <c r="R81" s="842"/>
      <c r="S81" s="842"/>
      <c r="T81" s="842"/>
      <c r="U81" s="842"/>
      <c r="V81" s="842"/>
      <c r="W81" s="842"/>
    </row>
    <row r="82" spans="1:23" s="701" customFormat="1" ht="14.25" customHeight="1" hidden="1">
      <c r="A82" s="848">
        <v>14</v>
      </c>
      <c r="B82" s="859" t="s">
        <v>745</v>
      </c>
      <c r="C82" s="875" t="s">
        <v>989</v>
      </c>
      <c r="D82" s="869" t="s">
        <v>998</v>
      </c>
      <c r="E82" s="849" t="s">
        <v>991</v>
      </c>
      <c r="F82" s="849" t="s">
        <v>993</v>
      </c>
      <c r="G82" s="859" t="s">
        <v>627</v>
      </c>
      <c r="H82" s="700">
        <f>H83+H84+H85+H86</f>
        <v>6216006</v>
      </c>
      <c r="I82" s="700">
        <f>I83+I84+I85+I86</f>
        <v>415431</v>
      </c>
      <c r="J82" s="842">
        <f>K82+N82</f>
        <v>4468585</v>
      </c>
      <c r="K82" s="842">
        <f>L82+M82</f>
        <v>1443155</v>
      </c>
      <c r="L82" s="842">
        <v>0</v>
      </c>
      <c r="M82" s="842">
        <v>1443155</v>
      </c>
      <c r="N82" s="842">
        <f>O82+R82+U82</f>
        <v>3025430</v>
      </c>
      <c r="O82" s="842">
        <f>P82+Q82</f>
        <v>0</v>
      </c>
      <c r="P82" s="842">
        <v>0</v>
      </c>
      <c r="Q82" s="842">
        <v>0</v>
      </c>
      <c r="R82" s="842">
        <f>S82+T82</f>
        <v>1210172</v>
      </c>
      <c r="S82" s="842">
        <v>0</v>
      </c>
      <c r="T82" s="842">
        <v>1210172</v>
      </c>
      <c r="U82" s="842">
        <f>V82+W82</f>
        <v>1815258</v>
      </c>
      <c r="V82" s="842">
        <v>0</v>
      </c>
      <c r="W82" s="842">
        <v>1815258</v>
      </c>
    </row>
    <row r="83" spans="1:23" s="701" customFormat="1" ht="14.25" customHeight="1" hidden="1">
      <c r="A83" s="848"/>
      <c r="B83" s="860"/>
      <c r="C83" s="876"/>
      <c r="D83" s="870"/>
      <c r="E83" s="850"/>
      <c r="F83" s="850"/>
      <c r="G83" s="860"/>
      <c r="H83" s="700">
        <v>1939207</v>
      </c>
      <c r="I83" s="700">
        <v>134347</v>
      </c>
      <c r="J83" s="842"/>
      <c r="K83" s="842"/>
      <c r="L83" s="842"/>
      <c r="M83" s="842"/>
      <c r="N83" s="842"/>
      <c r="O83" s="842"/>
      <c r="P83" s="842"/>
      <c r="Q83" s="842"/>
      <c r="R83" s="842"/>
      <c r="S83" s="842"/>
      <c r="T83" s="842"/>
      <c r="U83" s="842"/>
      <c r="V83" s="842"/>
      <c r="W83" s="842"/>
    </row>
    <row r="84" spans="1:23" s="701" customFormat="1" ht="14.25" customHeight="1" hidden="1">
      <c r="A84" s="848"/>
      <c r="B84" s="860"/>
      <c r="C84" s="876"/>
      <c r="D84" s="870"/>
      <c r="E84" s="850"/>
      <c r="F84" s="850"/>
      <c r="G84" s="860"/>
      <c r="H84" s="700">
        <v>0</v>
      </c>
      <c r="I84" s="700">
        <v>0</v>
      </c>
      <c r="J84" s="457">
        <f>K84+N84</f>
        <v>0</v>
      </c>
      <c r="K84" s="457">
        <f>L84+M84</f>
        <v>0</v>
      </c>
      <c r="L84" s="458">
        <v>0</v>
      </c>
      <c r="M84" s="458">
        <v>0</v>
      </c>
      <c r="N84" s="457">
        <f>O84+R84+U84</f>
        <v>0</v>
      </c>
      <c r="O84" s="457">
        <f>P84+Q84</f>
        <v>0</v>
      </c>
      <c r="P84" s="458">
        <v>0</v>
      </c>
      <c r="Q84" s="458">
        <v>0</v>
      </c>
      <c r="R84" s="457">
        <f>S84+T84</f>
        <v>0</v>
      </c>
      <c r="S84" s="458">
        <v>0</v>
      </c>
      <c r="T84" s="458">
        <v>0</v>
      </c>
      <c r="U84" s="457">
        <f>V84+W84</f>
        <v>0</v>
      </c>
      <c r="V84" s="458">
        <v>0</v>
      </c>
      <c r="W84" s="458">
        <v>0</v>
      </c>
    </row>
    <row r="85" spans="1:23" s="701" customFormat="1" ht="14.25" customHeight="1" hidden="1">
      <c r="A85" s="848"/>
      <c r="B85" s="860"/>
      <c r="C85" s="876"/>
      <c r="D85" s="870"/>
      <c r="E85" s="850"/>
      <c r="F85" s="850"/>
      <c r="G85" s="860"/>
      <c r="H85" s="700">
        <v>1710720</v>
      </c>
      <c r="I85" s="700">
        <v>112434</v>
      </c>
      <c r="J85" s="842">
        <f>J82+J84</f>
        <v>4468585</v>
      </c>
      <c r="K85" s="842">
        <f aca="true" t="shared" si="13" ref="K85:W85">K82+K84</f>
        <v>1443155</v>
      </c>
      <c r="L85" s="842">
        <f t="shared" si="13"/>
        <v>0</v>
      </c>
      <c r="M85" s="842">
        <f t="shared" si="13"/>
        <v>1443155</v>
      </c>
      <c r="N85" s="842">
        <f t="shared" si="13"/>
        <v>3025430</v>
      </c>
      <c r="O85" s="842">
        <f t="shared" si="13"/>
        <v>0</v>
      </c>
      <c r="P85" s="842">
        <f t="shared" si="13"/>
        <v>0</v>
      </c>
      <c r="Q85" s="842">
        <f t="shared" si="13"/>
        <v>0</v>
      </c>
      <c r="R85" s="842">
        <f t="shared" si="13"/>
        <v>1210172</v>
      </c>
      <c r="S85" s="842">
        <f t="shared" si="13"/>
        <v>0</v>
      </c>
      <c r="T85" s="842">
        <f t="shared" si="13"/>
        <v>1210172</v>
      </c>
      <c r="U85" s="842">
        <f t="shared" si="13"/>
        <v>1815258</v>
      </c>
      <c r="V85" s="842">
        <f t="shared" si="13"/>
        <v>0</v>
      </c>
      <c r="W85" s="842">
        <f t="shared" si="13"/>
        <v>1815258</v>
      </c>
    </row>
    <row r="86" spans="1:23" s="701" customFormat="1" ht="14.25" customHeight="1" hidden="1">
      <c r="A86" s="848"/>
      <c r="B86" s="861"/>
      <c r="C86" s="877"/>
      <c r="D86" s="871"/>
      <c r="E86" s="851"/>
      <c r="F86" s="851"/>
      <c r="G86" s="861"/>
      <c r="H86" s="700">
        <v>2566079</v>
      </c>
      <c r="I86" s="700">
        <v>168650</v>
      </c>
      <c r="J86" s="842"/>
      <c r="K86" s="842"/>
      <c r="L86" s="842"/>
      <c r="M86" s="842"/>
      <c r="N86" s="842"/>
      <c r="O86" s="842"/>
      <c r="P86" s="842"/>
      <c r="Q86" s="842"/>
      <c r="R86" s="842"/>
      <c r="S86" s="842"/>
      <c r="T86" s="842"/>
      <c r="U86" s="842"/>
      <c r="V86" s="842"/>
      <c r="W86" s="842"/>
    </row>
    <row r="87" spans="1:23" s="701" customFormat="1" ht="14.25" customHeight="1" hidden="1">
      <c r="A87" s="848">
        <v>15</v>
      </c>
      <c r="B87" s="859" t="s">
        <v>745</v>
      </c>
      <c r="C87" s="875" t="s">
        <v>989</v>
      </c>
      <c r="D87" s="869" t="s">
        <v>999</v>
      </c>
      <c r="E87" s="849" t="s">
        <v>991</v>
      </c>
      <c r="F87" s="849" t="s">
        <v>993</v>
      </c>
      <c r="G87" s="859" t="s">
        <v>627</v>
      </c>
      <c r="H87" s="700">
        <f>H88+H89+H90+H91</f>
        <v>6077984</v>
      </c>
      <c r="I87" s="700">
        <f>I88+I89+I90+I91</f>
        <v>420569</v>
      </c>
      <c r="J87" s="842">
        <f>K87+N87</f>
        <v>4359803</v>
      </c>
      <c r="K87" s="842">
        <f>L87+M87</f>
        <v>1417699</v>
      </c>
      <c r="L87" s="842">
        <v>0</v>
      </c>
      <c r="M87" s="842">
        <v>1417699</v>
      </c>
      <c r="N87" s="842">
        <f>O87+R87+U87</f>
        <v>2942104</v>
      </c>
      <c r="O87" s="842">
        <f>P87+Q87</f>
        <v>0</v>
      </c>
      <c r="P87" s="842">
        <v>0</v>
      </c>
      <c r="Q87" s="842">
        <v>0</v>
      </c>
      <c r="R87" s="842">
        <f>S87+T87</f>
        <v>1176842</v>
      </c>
      <c r="S87" s="842">
        <v>0</v>
      </c>
      <c r="T87" s="842">
        <v>1176842</v>
      </c>
      <c r="U87" s="842">
        <f>V87+W87</f>
        <v>1765262</v>
      </c>
      <c r="V87" s="842">
        <v>0</v>
      </c>
      <c r="W87" s="842">
        <v>1765262</v>
      </c>
    </row>
    <row r="88" spans="1:23" s="701" customFormat="1" ht="14.25" customHeight="1" hidden="1">
      <c r="A88" s="848"/>
      <c r="B88" s="860"/>
      <c r="C88" s="876"/>
      <c r="D88" s="870"/>
      <c r="E88" s="850"/>
      <c r="F88" s="850"/>
      <c r="G88" s="860"/>
      <c r="H88" s="700">
        <v>1908240</v>
      </c>
      <c r="I88" s="700">
        <v>126715</v>
      </c>
      <c r="J88" s="842"/>
      <c r="K88" s="842"/>
      <c r="L88" s="842"/>
      <c r="M88" s="842"/>
      <c r="N88" s="842"/>
      <c r="O88" s="842"/>
      <c r="P88" s="842"/>
      <c r="Q88" s="842"/>
      <c r="R88" s="842"/>
      <c r="S88" s="842"/>
      <c r="T88" s="842"/>
      <c r="U88" s="842"/>
      <c r="V88" s="842"/>
      <c r="W88" s="842"/>
    </row>
    <row r="89" spans="1:23" s="701" customFormat="1" ht="14.25" customHeight="1" hidden="1">
      <c r="A89" s="848"/>
      <c r="B89" s="860"/>
      <c r="C89" s="876"/>
      <c r="D89" s="870"/>
      <c r="E89" s="850"/>
      <c r="F89" s="850"/>
      <c r="G89" s="860"/>
      <c r="H89" s="700">
        <v>0</v>
      </c>
      <c r="I89" s="700">
        <v>0</v>
      </c>
      <c r="J89" s="457">
        <f>K89+N89</f>
        <v>0</v>
      </c>
      <c r="K89" s="457">
        <f>L89+M89</f>
        <v>0</v>
      </c>
      <c r="L89" s="458">
        <v>0</v>
      </c>
      <c r="M89" s="458">
        <v>0</v>
      </c>
      <c r="N89" s="457">
        <f>O89+R89+U89</f>
        <v>0</v>
      </c>
      <c r="O89" s="457">
        <f>P89+Q89</f>
        <v>0</v>
      </c>
      <c r="P89" s="458">
        <v>0</v>
      </c>
      <c r="Q89" s="458">
        <v>0</v>
      </c>
      <c r="R89" s="457">
        <f>S89+T89</f>
        <v>0</v>
      </c>
      <c r="S89" s="458">
        <v>0</v>
      </c>
      <c r="T89" s="458">
        <v>0</v>
      </c>
      <c r="U89" s="457">
        <f>V89+W89</f>
        <v>0</v>
      </c>
      <c r="V89" s="458">
        <v>0</v>
      </c>
      <c r="W89" s="458">
        <v>0</v>
      </c>
    </row>
    <row r="90" spans="1:23" s="701" customFormat="1" ht="14.25" customHeight="1" hidden="1">
      <c r="A90" s="848"/>
      <c r="B90" s="860"/>
      <c r="C90" s="876"/>
      <c r="D90" s="870"/>
      <c r="E90" s="850"/>
      <c r="F90" s="850"/>
      <c r="G90" s="860"/>
      <c r="H90" s="700">
        <v>1667898</v>
      </c>
      <c r="I90" s="700">
        <v>117542</v>
      </c>
      <c r="J90" s="842">
        <f>J87+J89</f>
        <v>4359803</v>
      </c>
      <c r="K90" s="842">
        <f aca="true" t="shared" si="14" ref="K90:W90">K87+K89</f>
        <v>1417699</v>
      </c>
      <c r="L90" s="842">
        <f t="shared" si="14"/>
        <v>0</v>
      </c>
      <c r="M90" s="842">
        <f t="shared" si="14"/>
        <v>1417699</v>
      </c>
      <c r="N90" s="842">
        <f t="shared" si="14"/>
        <v>2942104</v>
      </c>
      <c r="O90" s="842">
        <f t="shared" si="14"/>
        <v>0</v>
      </c>
      <c r="P90" s="842">
        <f t="shared" si="14"/>
        <v>0</v>
      </c>
      <c r="Q90" s="842">
        <f t="shared" si="14"/>
        <v>0</v>
      </c>
      <c r="R90" s="842">
        <f t="shared" si="14"/>
        <v>1176842</v>
      </c>
      <c r="S90" s="842">
        <f t="shared" si="14"/>
        <v>0</v>
      </c>
      <c r="T90" s="842">
        <f t="shared" si="14"/>
        <v>1176842</v>
      </c>
      <c r="U90" s="842">
        <f t="shared" si="14"/>
        <v>1765262</v>
      </c>
      <c r="V90" s="842">
        <f t="shared" si="14"/>
        <v>0</v>
      </c>
      <c r="W90" s="842">
        <f t="shared" si="14"/>
        <v>1765262</v>
      </c>
    </row>
    <row r="91" spans="1:23" s="701" customFormat="1" ht="14.25" customHeight="1" hidden="1">
      <c r="A91" s="848"/>
      <c r="B91" s="861"/>
      <c r="C91" s="877"/>
      <c r="D91" s="871"/>
      <c r="E91" s="851"/>
      <c r="F91" s="851"/>
      <c r="G91" s="861"/>
      <c r="H91" s="700">
        <v>2501846</v>
      </c>
      <c r="I91" s="700">
        <v>176312</v>
      </c>
      <c r="J91" s="842"/>
      <c r="K91" s="842"/>
      <c r="L91" s="842"/>
      <c r="M91" s="842"/>
      <c r="N91" s="842"/>
      <c r="O91" s="842"/>
      <c r="P91" s="842"/>
      <c r="Q91" s="842"/>
      <c r="R91" s="842"/>
      <c r="S91" s="842"/>
      <c r="T91" s="842"/>
      <c r="U91" s="842"/>
      <c r="V91" s="842"/>
      <c r="W91" s="842"/>
    </row>
    <row r="92" spans="1:23" s="701" customFormat="1" ht="14.25" customHeight="1">
      <c r="A92" s="848">
        <v>10</v>
      </c>
      <c r="B92" s="844" t="s">
        <v>521</v>
      </c>
      <c r="C92" s="846" t="s">
        <v>1000</v>
      </c>
      <c r="D92" s="872" t="s">
        <v>802</v>
      </c>
      <c r="E92" s="848" t="s">
        <v>581</v>
      </c>
      <c r="F92" s="848" t="s">
        <v>1001</v>
      </c>
      <c r="G92" s="844" t="s">
        <v>598</v>
      </c>
      <c r="H92" s="700">
        <f>H93+H94+H95+H96</f>
        <v>21216000</v>
      </c>
      <c r="I92" s="700">
        <f>I93+I94+I95+I96</f>
        <v>0</v>
      </c>
      <c r="J92" s="842">
        <f>K92+N92</f>
        <v>5490358</v>
      </c>
      <c r="K92" s="842">
        <f>L92+M92</f>
        <v>5490358</v>
      </c>
      <c r="L92" s="842">
        <v>1548817</v>
      </c>
      <c r="M92" s="842">
        <v>3941541</v>
      </c>
      <c r="N92" s="842">
        <f>O92+R92+U92</f>
        <v>0</v>
      </c>
      <c r="O92" s="842">
        <f>P92+Q92</f>
        <v>0</v>
      </c>
      <c r="P92" s="842">
        <v>0</v>
      </c>
      <c r="Q92" s="842">
        <v>0</v>
      </c>
      <c r="R92" s="842">
        <f>S92+T92</f>
        <v>0</v>
      </c>
      <c r="S92" s="842">
        <v>0</v>
      </c>
      <c r="T92" s="842">
        <v>0</v>
      </c>
      <c r="U92" s="842">
        <f>V92+W92</f>
        <v>0</v>
      </c>
      <c r="V92" s="842">
        <v>0</v>
      </c>
      <c r="W92" s="842">
        <v>0</v>
      </c>
    </row>
    <row r="93" spans="1:23" s="701" customFormat="1" ht="14.25" customHeight="1">
      <c r="A93" s="848"/>
      <c r="B93" s="844"/>
      <c r="C93" s="846"/>
      <c r="D93" s="872"/>
      <c r="E93" s="848"/>
      <c r="F93" s="848"/>
      <c r="G93" s="844"/>
      <c r="H93" s="700">
        <v>21216000</v>
      </c>
      <c r="I93" s="700">
        <v>0</v>
      </c>
      <c r="J93" s="842"/>
      <c r="K93" s="842"/>
      <c r="L93" s="842"/>
      <c r="M93" s="842"/>
      <c r="N93" s="842"/>
      <c r="O93" s="842"/>
      <c r="P93" s="842"/>
      <c r="Q93" s="842"/>
      <c r="R93" s="842"/>
      <c r="S93" s="842"/>
      <c r="T93" s="842"/>
      <c r="U93" s="842"/>
      <c r="V93" s="842"/>
      <c r="W93" s="842"/>
    </row>
    <row r="94" spans="1:23" s="701" customFormat="1" ht="14.25" customHeight="1">
      <c r="A94" s="848"/>
      <c r="B94" s="844"/>
      <c r="C94" s="846"/>
      <c r="D94" s="872"/>
      <c r="E94" s="848"/>
      <c r="F94" s="848"/>
      <c r="G94" s="844"/>
      <c r="H94" s="700">
        <v>0</v>
      </c>
      <c r="I94" s="700">
        <v>0</v>
      </c>
      <c r="J94" s="457">
        <f>K94+N94</f>
        <v>0</v>
      </c>
      <c r="K94" s="457">
        <f>L94+M94</f>
        <v>0</v>
      </c>
      <c r="L94" s="458">
        <v>0</v>
      </c>
      <c r="M94" s="458">
        <v>0</v>
      </c>
      <c r="N94" s="457">
        <f>O94+R94+U94</f>
        <v>0</v>
      </c>
      <c r="O94" s="457">
        <f>P94+Q94</f>
        <v>0</v>
      </c>
      <c r="P94" s="458">
        <v>0</v>
      </c>
      <c r="Q94" s="458">
        <v>0</v>
      </c>
      <c r="R94" s="457">
        <f>S94+T94</f>
        <v>0</v>
      </c>
      <c r="S94" s="458">
        <v>0</v>
      </c>
      <c r="T94" s="458">
        <v>0</v>
      </c>
      <c r="U94" s="457">
        <f>V94+W94</f>
        <v>0</v>
      </c>
      <c r="V94" s="458">
        <v>0</v>
      </c>
      <c r="W94" s="458">
        <v>0</v>
      </c>
    </row>
    <row r="95" spans="1:23" s="701" customFormat="1" ht="14.25" customHeight="1">
      <c r="A95" s="848"/>
      <c r="B95" s="844"/>
      <c r="C95" s="846"/>
      <c r="D95" s="872"/>
      <c r="E95" s="848"/>
      <c r="F95" s="848"/>
      <c r="G95" s="844"/>
      <c r="H95" s="700">
        <v>0</v>
      </c>
      <c r="I95" s="700">
        <v>0</v>
      </c>
      <c r="J95" s="842">
        <f>J92+J94</f>
        <v>5490358</v>
      </c>
      <c r="K95" s="842">
        <f aca="true" t="shared" si="15" ref="K95:W95">K92+K94</f>
        <v>5490358</v>
      </c>
      <c r="L95" s="842">
        <f t="shared" si="15"/>
        <v>1548817</v>
      </c>
      <c r="M95" s="842">
        <f t="shared" si="15"/>
        <v>3941541</v>
      </c>
      <c r="N95" s="842">
        <f t="shared" si="15"/>
        <v>0</v>
      </c>
      <c r="O95" s="842">
        <f t="shared" si="15"/>
        <v>0</v>
      </c>
      <c r="P95" s="842">
        <f t="shared" si="15"/>
        <v>0</v>
      </c>
      <c r="Q95" s="842">
        <f t="shared" si="15"/>
        <v>0</v>
      </c>
      <c r="R95" s="842">
        <f t="shared" si="15"/>
        <v>0</v>
      </c>
      <c r="S95" s="842">
        <f t="shared" si="15"/>
        <v>0</v>
      </c>
      <c r="T95" s="842">
        <f t="shared" si="15"/>
        <v>0</v>
      </c>
      <c r="U95" s="842">
        <f t="shared" si="15"/>
        <v>0</v>
      </c>
      <c r="V95" s="842">
        <f t="shared" si="15"/>
        <v>0</v>
      </c>
      <c r="W95" s="842">
        <f t="shared" si="15"/>
        <v>0</v>
      </c>
    </row>
    <row r="96" spans="1:23" s="701" customFormat="1" ht="14.25" customHeight="1">
      <c r="A96" s="848"/>
      <c r="B96" s="844"/>
      <c r="C96" s="846"/>
      <c r="D96" s="872"/>
      <c r="E96" s="848"/>
      <c r="F96" s="848"/>
      <c r="G96" s="844"/>
      <c r="H96" s="700">
        <v>0</v>
      </c>
      <c r="I96" s="700">
        <v>0</v>
      </c>
      <c r="J96" s="842"/>
      <c r="K96" s="842"/>
      <c r="L96" s="842"/>
      <c r="M96" s="842"/>
      <c r="N96" s="842"/>
      <c r="O96" s="842"/>
      <c r="P96" s="842"/>
      <c r="Q96" s="842"/>
      <c r="R96" s="842"/>
      <c r="S96" s="842"/>
      <c r="T96" s="842"/>
      <c r="U96" s="842"/>
      <c r="V96" s="842"/>
      <c r="W96" s="842"/>
    </row>
    <row r="97" spans="1:23" s="701" customFormat="1" ht="14.25" customHeight="1">
      <c r="A97" s="848">
        <v>11</v>
      </c>
      <c r="B97" s="844" t="s">
        <v>809</v>
      </c>
      <c r="C97" s="846" t="s">
        <v>1002</v>
      </c>
      <c r="D97" s="872" t="s">
        <v>811</v>
      </c>
      <c r="E97" s="848" t="s">
        <v>581</v>
      </c>
      <c r="F97" s="848" t="s">
        <v>626</v>
      </c>
      <c r="G97" s="844" t="s">
        <v>606</v>
      </c>
      <c r="H97" s="700">
        <f>H98+H99+H100+H101</f>
        <v>4562825</v>
      </c>
      <c r="I97" s="700">
        <f>I98+I99+I100+I101</f>
        <v>4424925</v>
      </c>
      <c r="J97" s="842">
        <f>K97+N97</f>
        <v>0</v>
      </c>
      <c r="K97" s="842">
        <f>L97+M97</f>
        <v>0</v>
      </c>
      <c r="L97" s="842">
        <v>0</v>
      </c>
      <c r="M97" s="842">
        <v>0</v>
      </c>
      <c r="N97" s="842">
        <f>O97+R97+U97</f>
        <v>0</v>
      </c>
      <c r="O97" s="842">
        <f>P97+Q97</f>
        <v>0</v>
      </c>
      <c r="P97" s="842">
        <v>0</v>
      </c>
      <c r="Q97" s="842">
        <v>0</v>
      </c>
      <c r="R97" s="842">
        <f>S97+T97</f>
        <v>0</v>
      </c>
      <c r="S97" s="842">
        <v>0</v>
      </c>
      <c r="T97" s="842">
        <v>0</v>
      </c>
      <c r="U97" s="842">
        <f>V97+W97</f>
        <v>0</v>
      </c>
      <c r="V97" s="842">
        <v>0</v>
      </c>
      <c r="W97" s="842">
        <v>0</v>
      </c>
    </row>
    <row r="98" spans="1:23" s="701" customFormat="1" ht="14.25" customHeight="1">
      <c r="A98" s="848"/>
      <c r="B98" s="844"/>
      <c r="C98" s="846"/>
      <c r="D98" s="872"/>
      <c r="E98" s="848"/>
      <c r="F98" s="848"/>
      <c r="G98" s="844"/>
      <c r="H98" s="700">
        <v>4488327</v>
      </c>
      <c r="I98" s="700">
        <v>4350427</v>
      </c>
      <c r="J98" s="842"/>
      <c r="K98" s="842"/>
      <c r="L98" s="842"/>
      <c r="M98" s="842"/>
      <c r="N98" s="842"/>
      <c r="O98" s="842"/>
      <c r="P98" s="842"/>
      <c r="Q98" s="842"/>
      <c r="R98" s="842"/>
      <c r="S98" s="842"/>
      <c r="T98" s="842"/>
      <c r="U98" s="842"/>
      <c r="V98" s="842"/>
      <c r="W98" s="842"/>
    </row>
    <row r="99" spans="1:23" s="701" customFormat="1" ht="14.25" customHeight="1">
      <c r="A99" s="848"/>
      <c r="B99" s="844"/>
      <c r="C99" s="846"/>
      <c r="D99" s="872"/>
      <c r="E99" s="848"/>
      <c r="F99" s="848"/>
      <c r="G99" s="844"/>
      <c r="H99" s="700">
        <v>0</v>
      </c>
      <c r="I99" s="700">
        <v>0</v>
      </c>
      <c r="J99" s="457">
        <f>K99+N99</f>
        <v>137900</v>
      </c>
      <c r="K99" s="457">
        <f>L99+M99</f>
        <v>137900</v>
      </c>
      <c r="L99" s="458">
        <v>137900</v>
      </c>
      <c r="M99" s="458">
        <v>0</v>
      </c>
      <c r="N99" s="457">
        <f>O99+R99+U99</f>
        <v>0</v>
      </c>
      <c r="O99" s="457">
        <f>P99+Q99</f>
        <v>0</v>
      </c>
      <c r="P99" s="458">
        <v>0</v>
      </c>
      <c r="Q99" s="458">
        <v>0</v>
      </c>
      <c r="R99" s="457">
        <f>S99+T99</f>
        <v>0</v>
      </c>
      <c r="S99" s="458">
        <v>0</v>
      </c>
      <c r="T99" s="458">
        <v>0</v>
      </c>
      <c r="U99" s="457">
        <f>V99+W99</f>
        <v>0</v>
      </c>
      <c r="V99" s="458">
        <v>0</v>
      </c>
      <c r="W99" s="458">
        <v>0</v>
      </c>
    </row>
    <row r="100" spans="1:23" s="701" customFormat="1" ht="14.25" customHeight="1">
      <c r="A100" s="848"/>
      <c r="B100" s="844"/>
      <c r="C100" s="846"/>
      <c r="D100" s="872"/>
      <c r="E100" s="848"/>
      <c r="F100" s="848"/>
      <c r="G100" s="844"/>
      <c r="H100" s="700">
        <v>74498</v>
      </c>
      <c r="I100" s="700">
        <v>74498</v>
      </c>
      <c r="J100" s="842">
        <f>J97+J99</f>
        <v>137900</v>
      </c>
      <c r="K100" s="842">
        <f aca="true" t="shared" si="16" ref="K100:W100">K97+K99</f>
        <v>137900</v>
      </c>
      <c r="L100" s="842">
        <f t="shared" si="16"/>
        <v>137900</v>
      </c>
      <c r="M100" s="842">
        <f t="shared" si="16"/>
        <v>0</v>
      </c>
      <c r="N100" s="842">
        <f t="shared" si="16"/>
        <v>0</v>
      </c>
      <c r="O100" s="842">
        <f t="shared" si="16"/>
        <v>0</v>
      </c>
      <c r="P100" s="842">
        <f t="shared" si="16"/>
        <v>0</v>
      </c>
      <c r="Q100" s="842">
        <f t="shared" si="16"/>
        <v>0</v>
      </c>
      <c r="R100" s="842">
        <f t="shared" si="16"/>
        <v>0</v>
      </c>
      <c r="S100" s="842">
        <f t="shared" si="16"/>
        <v>0</v>
      </c>
      <c r="T100" s="842">
        <f t="shared" si="16"/>
        <v>0</v>
      </c>
      <c r="U100" s="842">
        <f t="shared" si="16"/>
        <v>0</v>
      </c>
      <c r="V100" s="842">
        <f t="shared" si="16"/>
        <v>0</v>
      </c>
      <c r="W100" s="842">
        <f t="shared" si="16"/>
        <v>0</v>
      </c>
    </row>
    <row r="101" spans="1:23" s="701" customFormat="1" ht="14.25" customHeight="1">
      <c r="A101" s="848"/>
      <c r="B101" s="844"/>
      <c r="C101" s="846"/>
      <c r="D101" s="872"/>
      <c r="E101" s="848"/>
      <c r="F101" s="848"/>
      <c r="G101" s="844"/>
      <c r="H101" s="700">
        <v>0</v>
      </c>
      <c r="I101" s="700">
        <v>0</v>
      </c>
      <c r="J101" s="842"/>
      <c r="K101" s="842"/>
      <c r="L101" s="842"/>
      <c r="M101" s="842"/>
      <c r="N101" s="842"/>
      <c r="O101" s="842"/>
      <c r="P101" s="842"/>
      <c r="Q101" s="842"/>
      <c r="R101" s="842"/>
      <c r="S101" s="842"/>
      <c r="T101" s="842"/>
      <c r="U101" s="842"/>
      <c r="V101" s="842"/>
      <c r="W101" s="842"/>
    </row>
    <row r="102" spans="1:23" s="701" customFormat="1" ht="14.25" customHeight="1">
      <c r="A102" s="848">
        <v>12</v>
      </c>
      <c r="B102" s="844" t="s">
        <v>809</v>
      </c>
      <c r="C102" s="846" t="s">
        <v>1002</v>
      </c>
      <c r="D102" s="872" t="s">
        <v>812</v>
      </c>
      <c r="E102" s="848" t="s">
        <v>581</v>
      </c>
      <c r="F102" s="848" t="s">
        <v>626</v>
      </c>
      <c r="G102" s="844" t="s">
        <v>644</v>
      </c>
      <c r="H102" s="700">
        <f>H103+H104+H105+H106</f>
        <v>5012114</v>
      </c>
      <c r="I102" s="700">
        <f>I103+I104+I105+I106</f>
        <v>3397026</v>
      </c>
      <c r="J102" s="842">
        <f>K102+N102</f>
        <v>175681</v>
      </c>
      <c r="K102" s="842">
        <f>L102+M102</f>
        <v>149329</v>
      </c>
      <c r="L102" s="842">
        <v>149329</v>
      </c>
      <c r="M102" s="842">
        <v>0</v>
      </c>
      <c r="N102" s="842">
        <f>O102+R102+U102</f>
        <v>26352</v>
      </c>
      <c r="O102" s="842">
        <f>P102+Q102</f>
        <v>0</v>
      </c>
      <c r="P102" s="842">
        <v>0</v>
      </c>
      <c r="Q102" s="842">
        <v>0</v>
      </c>
      <c r="R102" s="842">
        <f>S102+T102</f>
        <v>26352</v>
      </c>
      <c r="S102" s="842">
        <v>26352</v>
      </c>
      <c r="T102" s="842">
        <v>0</v>
      </c>
      <c r="U102" s="842">
        <f>V102+W102</f>
        <v>0</v>
      </c>
      <c r="V102" s="842">
        <v>0</v>
      </c>
      <c r="W102" s="842">
        <v>0</v>
      </c>
    </row>
    <row r="103" spans="1:23" s="701" customFormat="1" ht="14.25" customHeight="1">
      <c r="A103" s="848"/>
      <c r="B103" s="844"/>
      <c r="C103" s="846"/>
      <c r="D103" s="872"/>
      <c r="E103" s="848"/>
      <c r="F103" s="848"/>
      <c r="G103" s="844"/>
      <c r="H103" s="700">
        <v>4947197</v>
      </c>
      <c r="I103" s="700">
        <v>3389530</v>
      </c>
      <c r="J103" s="842"/>
      <c r="K103" s="842"/>
      <c r="L103" s="842"/>
      <c r="M103" s="842"/>
      <c r="N103" s="842"/>
      <c r="O103" s="842"/>
      <c r="P103" s="842"/>
      <c r="Q103" s="842"/>
      <c r="R103" s="842"/>
      <c r="S103" s="842"/>
      <c r="T103" s="842"/>
      <c r="U103" s="842"/>
      <c r="V103" s="842"/>
      <c r="W103" s="842"/>
    </row>
    <row r="104" spans="1:23" s="701" customFormat="1" ht="14.25" customHeight="1">
      <c r="A104" s="848"/>
      <c r="B104" s="844"/>
      <c r="C104" s="846"/>
      <c r="D104" s="872"/>
      <c r="E104" s="848"/>
      <c r="F104" s="848"/>
      <c r="G104" s="844"/>
      <c r="H104" s="700">
        <v>0</v>
      </c>
      <c r="I104" s="700">
        <v>0</v>
      </c>
      <c r="J104" s="457">
        <f>K104+N104</f>
        <v>1439407</v>
      </c>
      <c r="K104" s="457">
        <f>L104+M104</f>
        <v>1408338</v>
      </c>
      <c r="L104" s="458">
        <v>1408338</v>
      </c>
      <c r="M104" s="458">
        <v>0</v>
      </c>
      <c r="N104" s="457">
        <f>O104+R104+U104</f>
        <v>31069</v>
      </c>
      <c r="O104" s="457">
        <f>P104+Q104</f>
        <v>0</v>
      </c>
      <c r="P104" s="458">
        <v>0</v>
      </c>
      <c r="Q104" s="458">
        <v>0</v>
      </c>
      <c r="R104" s="457">
        <f>S104+T104</f>
        <v>31069</v>
      </c>
      <c r="S104" s="458">
        <v>31069</v>
      </c>
      <c r="T104" s="458">
        <v>0</v>
      </c>
      <c r="U104" s="457">
        <f>V104+W104</f>
        <v>0</v>
      </c>
      <c r="V104" s="458">
        <v>0</v>
      </c>
      <c r="W104" s="458">
        <v>0</v>
      </c>
    </row>
    <row r="105" spans="1:23" s="701" customFormat="1" ht="14.25" customHeight="1">
      <c r="A105" s="848"/>
      <c r="B105" s="844"/>
      <c r="C105" s="846"/>
      <c r="D105" s="872"/>
      <c r="E105" s="848"/>
      <c r="F105" s="848"/>
      <c r="G105" s="844"/>
      <c r="H105" s="700">
        <v>64917</v>
      </c>
      <c r="I105" s="700">
        <v>7496</v>
      </c>
      <c r="J105" s="842">
        <f>J102+J104</f>
        <v>1615088</v>
      </c>
      <c r="K105" s="842">
        <f aca="true" t="shared" si="17" ref="K105:W105">K102+K104</f>
        <v>1557667</v>
      </c>
      <c r="L105" s="842">
        <f t="shared" si="17"/>
        <v>1557667</v>
      </c>
      <c r="M105" s="842">
        <f t="shared" si="17"/>
        <v>0</v>
      </c>
      <c r="N105" s="842">
        <f t="shared" si="17"/>
        <v>57421</v>
      </c>
      <c r="O105" s="842">
        <f t="shared" si="17"/>
        <v>0</v>
      </c>
      <c r="P105" s="842">
        <f t="shared" si="17"/>
        <v>0</v>
      </c>
      <c r="Q105" s="842">
        <f t="shared" si="17"/>
        <v>0</v>
      </c>
      <c r="R105" s="842">
        <f t="shared" si="17"/>
        <v>57421</v>
      </c>
      <c r="S105" s="842">
        <f t="shared" si="17"/>
        <v>57421</v>
      </c>
      <c r="T105" s="842">
        <f t="shared" si="17"/>
        <v>0</v>
      </c>
      <c r="U105" s="842">
        <f t="shared" si="17"/>
        <v>0</v>
      </c>
      <c r="V105" s="842">
        <f t="shared" si="17"/>
        <v>0</v>
      </c>
      <c r="W105" s="842">
        <f t="shared" si="17"/>
        <v>0</v>
      </c>
    </row>
    <row r="106" spans="1:23" s="701" customFormat="1" ht="14.25" customHeight="1">
      <c r="A106" s="848"/>
      <c r="B106" s="844"/>
      <c r="C106" s="846"/>
      <c r="D106" s="872"/>
      <c r="E106" s="848"/>
      <c r="F106" s="848"/>
      <c r="G106" s="844"/>
      <c r="H106" s="700">
        <v>0</v>
      </c>
      <c r="I106" s="700">
        <v>0</v>
      </c>
      <c r="J106" s="842"/>
      <c r="K106" s="842"/>
      <c r="L106" s="842"/>
      <c r="M106" s="842"/>
      <c r="N106" s="842"/>
      <c r="O106" s="842"/>
      <c r="P106" s="842"/>
      <c r="Q106" s="842"/>
      <c r="R106" s="842"/>
      <c r="S106" s="842"/>
      <c r="T106" s="842"/>
      <c r="U106" s="842"/>
      <c r="V106" s="842"/>
      <c r="W106" s="842"/>
    </row>
    <row r="107" spans="1:23" s="701" customFormat="1" ht="15" customHeight="1">
      <c r="A107" s="848">
        <v>13</v>
      </c>
      <c r="B107" s="844" t="s">
        <v>809</v>
      </c>
      <c r="C107" s="846" t="s">
        <v>1002</v>
      </c>
      <c r="D107" s="872" t="s">
        <v>1003</v>
      </c>
      <c r="E107" s="848" t="s">
        <v>581</v>
      </c>
      <c r="F107" s="848" t="s">
        <v>626</v>
      </c>
      <c r="G107" s="844" t="s">
        <v>602</v>
      </c>
      <c r="H107" s="700">
        <f>H108+H109+H110+H111</f>
        <v>66105</v>
      </c>
      <c r="I107" s="700">
        <f>I108+I109+I110+I111</f>
        <v>0</v>
      </c>
      <c r="J107" s="842">
        <f>K107+N107</f>
        <v>0</v>
      </c>
      <c r="K107" s="842">
        <f>L107+M107</f>
        <v>0</v>
      </c>
      <c r="L107" s="842">
        <v>0</v>
      </c>
      <c r="M107" s="842">
        <v>0</v>
      </c>
      <c r="N107" s="842">
        <f>O107+R107+U107</f>
        <v>0</v>
      </c>
      <c r="O107" s="842">
        <f>P107+Q107</f>
        <v>0</v>
      </c>
      <c r="P107" s="842">
        <v>0</v>
      </c>
      <c r="Q107" s="842">
        <v>0</v>
      </c>
      <c r="R107" s="842">
        <f>S107+T107</f>
        <v>0</v>
      </c>
      <c r="S107" s="842">
        <v>0</v>
      </c>
      <c r="T107" s="842">
        <v>0</v>
      </c>
      <c r="U107" s="842">
        <f>V107+W107</f>
        <v>0</v>
      </c>
      <c r="V107" s="842">
        <v>0</v>
      </c>
      <c r="W107" s="842">
        <v>0</v>
      </c>
    </row>
    <row r="108" spans="1:23" s="701" customFormat="1" ht="15" customHeight="1">
      <c r="A108" s="848"/>
      <c r="B108" s="844"/>
      <c r="C108" s="846"/>
      <c r="D108" s="872"/>
      <c r="E108" s="848"/>
      <c r="F108" s="848"/>
      <c r="G108" s="844"/>
      <c r="H108" s="700">
        <v>0</v>
      </c>
      <c r="I108" s="700">
        <v>0</v>
      </c>
      <c r="J108" s="842"/>
      <c r="K108" s="842"/>
      <c r="L108" s="842"/>
      <c r="M108" s="842"/>
      <c r="N108" s="842"/>
      <c r="O108" s="842"/>
      <c r="P108" s="842"/>
      <c r="Q108" s="842"/>
      <c r="R108" s="842"/>
      <c r="S108" s="842"/>
      <c r="T108" s="842"/>
      <c r="U108" s="842"/>
      <c r="V108" s="842"/>
      <c r="W108" s="842"/>
    </row>
    <row r="109" spans="1:23" s="701" customFormat="1" ht="15" customHeight="1">
      <c r="A109" s="848"/>
      <c r="B109" s="844"/>
      <c r="C109" s="846"/>
      <c r="D109" s="872"/>
      <c r="E109" s="848"/>
      <c r="F109" s="848"/>
      <c r="G109" s="844"/>
      <c r="H109" s="700">
        <v>0</v>
      </c>
      <c r="I109" s="700">
        <v>0</v>
      </c>
      <c r="J109" s="457">
        <f>K109+N109</f>
        <v>46274</v>
      </c>
      <c r="K109" s="457">
        <f>L109+M109</f>
        <v>0</v>
      </c>
      <c r="L109" s="458">
        <v>0</v>
      </c>
      <c r="M109" s="458">
        <v>0</v>
      </c>
      <c r="N109" s="457">
        <f>O109+R109+U109</f>
        <v>46274</v>
      </c>
      <c r="O109" s="457">
        <f>P109+Q109</f>
        <v>0</v>
      </c>
      <c r="P109" s="458">
        <v>0</v>
      </c>
      <c r="Q109" s="458">
        <v>0</v>
      </c>
      <c r="R109" s="457">
        <f>S109+T109</f>
        <v>46274</v>
      </c>
      <c r="S109" s="458">
        <v>46274</v>
      </c>
      <c r="T109" s="458">
        <v>0</v>
      </c>
      <c r="U109" s="457">
        <f>V109+W109</f>
        <v>0</v>
      </c>
      <c r="V109" s="458">
        <v>0</v>
      </c>
      <c r="W109" s="458">
        <v>0</v>
      </c>
    </row>
    <row r="110" spans="1:23" s="701" customFormat="1" ht="15" customHeight="1">
      <c r="A110" s="848"/>
      <c r="B110" s="844"/>
      <c r="C110" s="846"/>
      <c r="D110" s="872"/>
      <c r="E110" s="848"/>
      <c r="F110" s="848"/>
      <c r="G110" s="844"/>
      <c r="H110" s="700">
        <v>66105</v>
      </c>
      <c r="I110" s="700">
        <v>0</v>
      </c>
      <c r="J110" s="842">
        <f>J107+J109</f>
        <v>46274</v>
      </c>
      <c r="K110" s="842">
        <f aca="true" t="shared" si="18" ref="K110:W110">K107+K109</f>
        <v>0</v>
      </c>
      <c r="L110" s="842">
        <f t="shared" si="18"/>
        <v>0</v>
      </c>
      <c r="M110" s="842">
        <f t="shared" si="18"/>
        <v>0</v>
      </c>
      <c r="N110" s="842">
        <f t="shared" si="18"/>
        <v>46274</v>
      </c>
      <c r="O110" s="842">
        <f t="shared" si="18"/>
        <v>0</v>
      </c>
      <c r="P110" s="842">
        <f t="shared" si="18"/>
        <v>0</v>
      </c>
      <c r="Q110" s="842">
        <f t="shared" si="18"/>
        <v>0</v>
      </c>
      <c r="R110" s="842">
        <f t="shared" si="18"/>
        <v>46274</v>
      </c>
      <c r="S110" s="842">
        <f t="shared" si="18"/>
        <v>46274</v>
      </c>
      <c r="T110" s="842">
        <f t="shared" si="18"/>
        <v>0</v>
      </c>
      <c r="U110" s="842">
        <f t="shared" si="18"/>
        <v>0</v>
      </c>
      <c r="V110" s="842">
        <f t="shared" si="18"/>
        <v>0</v>
      </c>
      <c r="W110" s="842">
        <f t="shared" si="18"/>
        <v>0</v>
      </c>
    </row>
    <row r="111" spans="1:23" s="701" customFormat="1" ht="15" customHeight="1">
      <c r="A111" s="848"/>
      <c r="B111" s="844"/>
      <c r="C111" s="846"/>
      <c r="D111" s="872"/>
      <c r="E111" s="848"/>
      <c r="F111" s="848"/>
      <c r="G111" s="844"/>
      <c r="H111" s="700">
        <v>0</v>
      </c>
      <c r="I111" s="700">
        <v>0</v>
      </c>
      <c r="J111" s="842"/>
      <c r="K111" s="842"/>
      <c r="L111" s="842"/>
      <c r="M111" s="842"/>
      <c r="N111" s="842"/>
      <c r="O111" s="842"/>
      <c r="P111" s="842"/>
      <c r="Q111" s="842"/>
      <c r="R111" s="842"/>
      <c r="S111" s="842"/>
      <c r="T111" s="842"/>
      <c r="U111" s="842"/>
      <c r="V111" s="842"/>
      <c r="W111" s="842"/>
    </row>
    <row r="112" spans="1:23" s="701" customFormat="1" ht="15" customHeight="1">
      <c r="A112" s="848">
        <v>14</v>
      </c>
      <c r="B112" s="844" t="s">
        <v>809</v>
      </c>
      <c r="C112" s="846" t="s">
        <v>1004</v>
      </c>
      <c r="D112" s="872" t="s">
        <v>810</v>
      </c>
      <c r="E112" s="848" t="s">
        <v>581</v>
      </c>
      <c r="F112" s="848" t="s">
        <v>1005</v>
      </c>
      <c r="G112" s="844" t="s">
        <v>644</v>
      </c>
      <c r="H112" s="700">
        <f>H113+H114+H115+H116</f>
        <v>9720387</v>
      </c>
      <c r="I112" s="700">
        <f>I113+I114+I115+I116</f>
        <v>7338455</v>
      </c>
      <c r="J112" s="842">
        <f>K112+N112</f>
        <v>2060498</v>
      </c>
      <c r="K112" s="842">
        <f>L112+M112</f>
        <v>2060498</v>
      </c>
      <c r="L112" s="842">
        <v>2060498</v>
      </c>
      <c r="M112" s="842">
        <v>0</v>
      </c>
      <c r="N112" s="842">
        <f>O112+R112+U112</f>
        <v>0</v>
      </c>
      <c r="O112" s="842">
        <f>P112+Q112</f>
        <v>0</v>
      </c>
      <c r="P112" s="842">
        <v>0</v>
      </c>
      <c r="Q112" s="842">
        <v>0</v>
      </c>
      <c r="R112" s="842">
        <f>S112+T112</f>
        <v>0</v>
      </c>
      <c r="S112" s="842">
        <v>0</v>
      </c>
      <c r="T112" s="842">
        <v>0</v>
      </c>
      <c r="U112" s="842">
        <f>V112+W112</f>
        <v>0</v>
      </c>
      <c r="V112" s="842">
        <v>0</v>
      </c>
      <c r="W112" s="842">
        <v>0</v>
      </c>
    </row>
    <row r="113" spans="1:23" s="701" customFormat="1" ht="15" customHeight="1">
      <c r="A113" s="848"/>
      <c r="B113" s="844"/>
      <c r="C113" s="846"/>
      <c r="D113" s="872"/>
      <c r="E113" s="848"/>
      <c r="F113" s="848"/>
      <c r="G113" s="844"/>
      <c r="H113" s="700">
        <v>9519923</v>
      </c>
      <c r="I113" s="700">
        <v>7186208</v>
      </c>
      <c r="J113" s="842"/>
      <c r="K113" s="842"/>
      <c r="L113" s="842"/>
      <c r="M113" s="842"/>
      <c r="N113" s="842"/>
      <c r="O113" s="842"/>
      <c r="P113" s="842"/>
      <c r="Q113" s="842"/>
      <c r="R113" s="842"/>
      <c r="S113" s="842"/>
      <c r="T113" s="842"/>
      <c r="U113" s="842"/>
      <c r="V113" s="842"/>
      <c r="W113" s="842"/>
    </row>
    <row r="114" spans="1:23" s="701" customFormat="1" ht="15" customHeight="1">
      <c r="A114" s="848"/>
      <c r="B114" s="844"/>
      <c r="C114" s="846"/>
      <c r="D114" s="872"/>
      <c r="E114" s="848"/>
      <c r="F114" s="848"/>
      <c r="G114" s="844"/>
      <c r="H114" s="700">
        <v>0</v>
      </c>
      <c r="I114" s="700">
        <v>0</v>
      </c>
      <c r="J114" s="457">
        <f>K114+N114</f>
        <v>321434</v>
      </c>
      <c r="K114" s="457">
        <f>L114+M114</f>
        <v>273217</v>
      </c>
      <c r="L114" s="458">
        <v>273217</v>
      </c>
      <c r="M114" s="458">
        <v>0</v>
      </c>
      <c r="N114" s="457">
        <f>O114+R114+U114</f>
        <v>48217</v>
      </c>
      <c r="O114" s="457">
        <f>P114+Q114</f>
        <v>0</v>
      </c>
      <c r="P114" s="458">
        <v>0</v>
      </c>
      <c r="Q114" s="458">
        <v>0</v>
      </c>
      <c r="R114" s="457">
        <f>S114+T114</f>
        <v>48217</v>
      </c>
      <c r="S114" s="458">
        <v>48217</v>
      </c>
      <c r="T114" s="458">
        <v>0</v>
      </c>
      <c r="U114" s="457">
        <f>V114+W114</f>
        <v>0</v>
      </c>
      <c r="V114" s="458">
        <v>0</v>
      </c>
      <c r="W114" s="458">
        <v>0</v>
      </c>
    </row>
    <row r="115" spans="1:23" s="701" customFormat="1" ht="15" customHeight="1">
      <c r="A115" s="848"/>
      <c r="B115" s="844"/>
      <c r="C115" s="846"/>
      <c r="D115" s="872"/>
      <c r="E115" s="848"/>
      <c r="F115" s="848"/>
      <c r="G115" s="844"/>
      <c r="H115" s="700">
        <v>200464</v>
      </c>
      <c r="I115" s="700">
        <v>152247</v>
      </c>
      <c r="J115" s="842">
        <f>J112+J114</f>
        <v>2381932</v>
      </c>
      <c r="K115" s="842">
        <f aca="true" t="shared" si="19" ref="K115:W115">K112+K114</f>
        <v>2333715</v>
      </c>
      <c r="L115" s="842">
        <f t="shared" si="19"/>
        <v>2333715</v>
      </c>
      <c r="M115" s="842">
        <f t="shared" si="19"/>
        <v>0</v>
      </c>
      <c r="N115" s="842">
        <f t="shared" si="19"/>
        <v>48217</v>
      </c>
      <c r="O115" s="842">
        <f t="shared" si="19"/>
        <v>0</v>
      </c>
      <c r="P115" s="842">
        <f t="shared" si="19"/>
        <v>0</v>
      </c>
      <c r="Q115" s="842">
        <f t="shared" si="19"/>
        <v>0</v>
      </c>
      <c r="R115" s="842">
        <f t="shared" si="19"/>
        <v>48217</v>
      </c>
      <c r="S115" s="842">
        <f t="shared" si="19"/>
        <v>48217</v>
      </c>
      <c r="T115" s="842">
        <f t="shared" si="19"/>
        <v>0</v>
      </c>
      <c r="U115" s="842">
        <f t="shared" si="19"/>
        <v>0</v>
      </c>
      <c r="V115" s="842">
        <f t="shared" si="19"/>
        <v>0</v>
      </c>
      <c r="W115" s="842">
        <f t="shared" si="19"/>
        <v>0</v>
      </c>
    </row>
    <row r="116" spans="1:23" s="701" customFormat="1" ht="15" customHeight="1">
      <c r="A116" s="848"/>
      <c r="B116" s="844"/>
      <c r="C116" s="846"/>
      <c r="D116" s="872"/>
      <c r="E116" s="848"/>
      <c r="F116" s="848"/>
      <c r="G116" s="844"/>
      <c r="H116" s="700">
        <v>0</v>
      </c>
      <c r="I116" s="700">
        <v>0</v>
      </c>
      <c r="J116" s="842"/>
      <c r="K116" s="842"/>
      <c r="L116" s="842"/>
      <c r="M116" s="842"/>
      <c r="N116" s="842"/>
      <c r="O116" s="842"/>
      <c r="P116" s="842"/>
      <c r="Q116" s="842"/>
      <c r="R116" s="842"/>
      <c r="S116" s="842"/>
      <c r="T116" s="842"/>
      <c r="U116" s="842"/>
      <c r="V116" s="842"/>
      <c r="W116" s="842"/>
    </row>
    <row r="117" spans="1:23" s="701" customFormat="1" ht="12.75" customHeight="1" hidden="1">
      <c r="A117" s="848">
        <v>19</v>
      </c>
      <c r="B117" s="844" t="s">
        <v>1006</v>
      </c>
      <c r="C117" s="846" t="s">
        <v>1007</v>
      </c>
      <c r="D117" s="872" t="s">
        <v>1008</v>
      </c>
      <c r="E117" s="848" t="s">
        <v>1009</v>
      </c>
      <c r="F117" s="848" t="s">
        <v>1010</v>
      </c>
      <c r="G117" s="844" t="s">
        <v>623</v>
      </c>
      <c r="H117" s="700">
        <f>H118+H119+H120+H121</f>
        <v>1445000</v>
      </c>
      <c r="I117" s="700">
        <f>I118+I119+I120+I121</f>
        <v>1242929</v>
      </c>
      <c r="J117" s="842">
        <f>K117+N117</f>
        <v>130164</v>
      </c>
      <c r="K117" s="842">
        <f>L117+M117</f>
        <v>58119</v>
      </c>
      <c r="L117" s="842">
        <v>58119</v>
      </c>
      <c r="M117" s="842">
        <v>0</v>
      </c>
      <c r="N117" s="842">
        <f>O117+R117+U117</f>
        <v>72045</v>
      </c>
      <c r="O117" s="842">
        <f>P117+Q117</f>
        <v>0</v>
      </c>
      <c r="P117" s="842">
        <v>0</v>
      </c>
      <c r="Q117" s="842">
        <v>0</v>
      </c>
      <c r="R117" s="842">
        <f>S117+T117</f>
        <v>72045</v>
      </c>
      <c r="S117" s="842">
        <v>72045</v>
      </c>
      <c r="T117" s="842">
        <v>0</v>
      </c>
      <c r="U117" s="842">
        <f>V117+W117</f>
        <v>0</v>
      </c>
      <c r="V117" s="842">
        <v>0</v>
      </c>
      <c r="W117" s="842">
        <v>0</v>
      </c>
    </row>
    <row r="118" spans="1:23" s="701" customFormat="1" ht="12.75" customHeight="1" hidden="1">
      <c r="A118" s="848"/>
      <c r="B118" s="844"/>
      <c r="C118" s="846"/>
      <c r="D118" s="872"/>
      <c r="E118" s="848"/>
      <c r="F118" s="848"/>
      <c r="G118" s="844"/>
      <c r="H118" s="700">
        <v>645277</v>
      </c>
      <c r="I118" s="700">
        <v>554968</v>
      </c>
      <c r="J118" s="842"/>
      <c r="K118" s="842"/>
      <c r="L118" s="842"/>
      <c r="M118" s="842"/>
      <c r="N118" s="842"/>
      <c r="O118" s="842"/>
      <c r="P118" s="842"/>
      <c r="Q118" s="842"/>
      <c r="R118" s="842"/>
      <c r="S118" s="842"/>
      <c r="T118" s="842"/>
      <c r="U118" s="842"/>
      <c r="V118" s="842"/>
      <c r="W118" s="842"/>
    </row>
    <row r="119" spans="1:23" s="701" customFormat="1" ht="12.75" customHeight="1" hidden="1">
      <c r="A119" s="848"/>
      <c r="B119" s="844"/>
      <c r="C119" s="846"/>
      <c r="D119" s="872"/>
      <c r="E119" s="848"/>
      <c r="F119" s="848"/>
      <c r="G119" s="844"/>
      <c r="H119" s="700">
        <v>0</v>
      </c>
      <c r="I119" s="700">
        <v>0</v>
      </c>
      <c r="J119" s="457">
        <f>K119+N119</f>
        <v>0</v>
      </c>
      <c r="K119" s="457">
        <f>L119+M119</f>
        <v>0</v>
      </c>
      <c r="L119" s="458">
        <v>0</v>
      </c>
      <c r="M119" s="458">
        <v>0</v>
      </c>
      <c r="N119" s="457">
        <f>O119+R119+U119</f>
        <v>0</v>
      </c>
      <c r="O119" s="457">
        <f>P119+Q119</f>
        <v>0</v>
      </c>
      <c r="P119" s="458">
        <v>0</v>
      </c>
      <c r="Q119" s="458">
        <v>0</v>
      </c>
      <c r="R119" s="457">
        <f>S119+T119</f>
        <v>0</v>
      </c>
      <c r="S119" s="458">
        <v>0</v>
      </c>
      <c r="T119" s="458">
        <v>0</v>
      </c>
      <c r="U119" s="457">
        <f>V119+W119</f>
        <v>0</v>
      </c>
      <c r="V119" s="458">
        <v>0</v>
      </c>
      <c r="W119" s="458">
        <v>0</v>
      </c>
    </row>
    <row r="120" spans="1:23" s="701" customFormat="1" ht="12.75" customHeight="1" hidden="1">
      <c r="A120" s="848"/>
      <c r="B120" s="844"/>
      <c r="C120" s="846"/>
      <c r="D120" s="872"/>
      <c r="E120" s="848"/>
      <c r="F120" s="848"/>
      <c r="G120" s="844"/>
      <c r="H120" s="700">
        <v>649723</v>
      </c>
      <c r="I120" s="700">
        <v>537961</v>
      </c>
      <c r="J120" s="842">
        <f>J117+J119</f>
        <v>130164</v>
      </c>
      <c r="K120" s="842">
        <f aca="true" t="shared" si="20" ref="K120:W120">K117+K119</f>
        <v>58119</v>
      </c>
      <c r="L120" s="842">
        <f t="shared" si="20"/>
        <v>58119</v>
      </c>
      <c r="M120" s="842">
        <f t="shared" si="20"/>
        <v>0</v>
      </c>
      <c r="N120" s="842">
        <f t="shared" si="20"/>
        <v>72045</v>
      </c>
      <c r="O120" s="842">
        <f t="shared" si="20"/>
        <v>0</v>
      </c>
      <c r="P120" s="842">
        <f t="shared" si="20"/>
        <v>0</v>
      </c>
      <c r="Q120" s="842">
        <f t="shared" si="20"/>
        <v>0</v>
      </c>
      <c r="R120" s="842">
        <f t="shared" si="20"/>
        <v>72045</v>
      </c>
      <c r="S120" s="842">
        <f t="shared" si="20"/>
        <v>72045</v>
      </c>
      <c r="T120" s="842">
        <f t="shared" si="20"/>
        <v>0</v>
      </c>
      <c r="U120" s="842">
        <f t="shared" si="20"/>
        <v>0</v>
      </c>
      <c r="V120" s="842">
        <f t="shared" si="20"/>
        <v>0</v>
      </c>
      <c r="W120" s="842">
        <f t="shared" si="20"/>
        <v>0</v>
      </c>
    </row>
    <row r="121" spans="1:23" s="701" customFormat="1" ht="12.75" customHeight="1" hidden="1">
      <c r="A121" s="848"/>
      <c r="B121" s="844"/>
      <c r="C121" s="846"/>
      <c r="D121" s="872"/>
      <c r="E121" s="848"/>
      <c r="F121" s="848"/>
      <c r="G121" s="844"/>
      <c r="H121" s="700">
        <v>150000</v>
      </c>
      <c r="I121" s="700">
        <v>150000</v>
      </c>
      <c r="J121" s="842"/>
      <c r="K121" s="842"/>
      <c r="L121" s="842"/>
      <c r="M121" s="842"/>
      <c r="N121" s="842"/>
      <c r="O121" s="842"/>
      <c r="P121" s="842"/>
      <c r="Q121" s="842"/>
      <c r="R121" s="842"/>
      <c r="S121" s="842"/>
      <c r="T121" s="842"/>
      <c r="U121" s="842"/>
      <c r="V121" s="842"/>
      <c r="W121" s="842"/>
    </row>
    <row r="122" spans="1:23" s="701" customFormat="1" ht="15" customHeight="1">
      <c r="A122" s="848">
        <v>15</v>
      </c>
      <c r="B122" s="844" t="s">
        <v>1006</v>
      </c>
      <c r="C122" s="846" t="s">
        <v>1007</v>
      </c>
      <c r="D122" s="872" t="s">
        <v>1011</v>
      </c>
      <c r="E122" s="848" t="s">
        <v>1012</v>
      </c>
      <c r="F122" s="848" t="s">
        <v>1010</v>
      </c>
      <c r="G122" s="844" t="s">
        <v>623</v>
      </c>
      <c r="H122" s="700">
        <f>H123+H124+H125+H126</f>
        <v>3300000</v>
      </c>
      <c r="I122" s="700">
        <f>I123+I124+I125+I126</f>
        <v>59778</v>
      </c>
      <c r="J122" s="842">
        <f>K122+N122</f>
        <v>1477060</v>
      </c>
      <c r="K122" s="842">
        <f>L122+M122</f>
        <v>960089</v>
      </c>
      <c r="L122" s="842">
        <v>1599</v>
      </c>
      <c r="M122" s="842">
        <v>958490</v>
      </c>
      <c r="N122" s="842">
        <f>O122+R122+U122</f>
        <v>516971</v>
      </c>
      <c r="O122" s="842">
        <f>P122+Q122</f>
        <v>0</v>
      </c>
      <c r="P122" s="842">
        <v>0</v>
      </c>
      <c r="Q122" s="842">
        <v>0</v>
      </c>
      <c r="R122" s="842">
        <f>S122+T122</f>
        <v>246807</v>
      </c>
      <c r="S122" s="842">
        <v>861</v>
      </c>
      <c r="T122" s="842">
        <v>245946</v>
      </c>
      <c r="U122" s="842">
        <f>V122+W122</f>
        <v>270164</v>
      </c>
      <c r="V122" s="842">
        <v>0</v>
      </c>
      <c r="W122" s="842">
        <v>270164</v>
      </c>
    </row>
    <row r="123" spans="1:23" s="701" customFormat="1" ht="15" customHeight="1">
      <c r="A123" s="848"/>
      <c r="B123" s="844"/>
      <c r="C123" s="846"/>
      <c r="D123" s="872"/>
      <c r="E123" s="848"/>
      <c r="F123" s="848"/>
      <c r="G123" s="844"/>
      <c r="H123" s="700">
        <v>1585308</v>
      </c>
      <c r="I123" s="700">
        <v>38856</v>
      </c>
      <c r="J123" s="842"/>
      <c r="K123" s="842"/>
      <c r="L123" s="842"/>
      <c r="M123" s="842"/>
      <c r="N123" s="842"/>
      <c r="O123" s="842"/>
      <c r="P123" s="842"/>
      <c r="Q123" s="842"/>
      <c r="R123" s="842"/>
      <c r="S123" s="842"/>
      <c r="T123" s="842"/>
      <c r="U123" s="842"/>
      <c r="V123" s="842"/>
      <c r="W123" s="842"/>
    </row>
    <row r="124" spans="1:23" s="701" customFormat="1" ht="15" customHeight="1">
      <c r="A124" s="848"/>
      <c r="B124" s="844"/>
      <c r="C124" s="846"/>
      <c r="D124" s="872"/>
      <c r="E124" s="848"/>
      <c r="F124" s="848"/>
      <c r="G124" s="844"/>
      <c r="H124" s="700">
        <v>0</v>
      </c>
      <c r="I124" s="700">
        <v>0</v>
      </c>
      <c r="J124" s="457">
        <f>K124+N124</f>
        <v>800000</v>
      </c>
      <c r="K124" s="457">
        <f>L124+M124</f>
        <v>0</v>
      </c>
      <c r="L124" s="458">
        <v>0</v>
      </c>
      <c r="M124" s="458">
        <v>0</v>
      </c>
      <c r="N124" s="457">
        <f>O124+R124+U124</f>
        <v>800000</v>
      </c>
      <c r="O124" s="457">
        <f>P124+Q124</f>
        <v>0</v>
      </c>
      <c r="P124" s="458">
        <v>0</v>
      </c>
      <c r="Q124" s="458">
        <v>0</v>
      </c>
      <c r="R124" s="457">
        <f>S124+T124</f>
        <v>800000</v>
      </c>
      <c r="S124" s="458">
        <v>0</v>
      </c>
      <c r="T124" s="458">
        <v>800000</v>
      </c>
      <c r="U124" s="457">
        <f>V124+W124</f>
        <v>0</v>
      </c>
      <c r="V124" s="458">
        <v>0</v>
      </c>
      <c r="W124" s="458">
        <v>0</v>
      </c>
    </row>
    <row r="125" spans="1:23" s="701" customFormat="1" ht="15" customHeight="1">
      <c r="A125" s="848"/>
      <c r="B125" s="844"/>
      <c r="C125" s="846"/>
      <c r="D125" s="872"/>
      <c r="E125" s="848"/>
      <c r="F125" s="848"/>
      <c r="G125" s="844"/>
      <c r="H125" s="700">
        <v>1233734</v>
      </c>
      <c r="I125" s="700">
        <v>20922</v>
      </c>
      <c r="J125" s="842">
        <f>J122+J124</f>
        <v>2277060</v>
      </c>
      <c r="K125" s="842">
        <f aca="true" t="shared" si="21" ref="K125:W125">K122+K124</f>
        <v>960089</v>
      </c>
      <c r="L125" s="842">
        <f t="shared" si="21"/>
        <v>1599</v>
      </c>
      <c r="M125" s="842">
        <f t="shared" si="21"/>
        <v>958490</v>
      </c>
      <c r="N125" s="842">
        <f t="shared" si="21"/>
        <v>1316971</v>
      </c>
      <c r="O125" s="842">
        <f t="shared" si="21"/>
        <v>0</v>
      </c>
      <c r="P125" s="842">
        <f t="shared" si="21"/>
        <v>0</v>
      </c>
      <c r="Q125" s="842">
        <f t="shared" si="21"/>
        <v>0</v>
      </c>
      <c r="R125" s="842">
        <f t="shared" si="21"/>
        <v>1046807</v>
      </c>
      <c r="S125" s="842">
        <f t="shared" si="21"/>
        <v>861</v>
      </c>
      <c r="T125" s="842">
        <f t="shared" si="21"/>
        <v>1045946</v>
      </c>
      <c r="U125" s="842">
        <f t="shared" si="21"/>
        <v>270164</v>
      </c>
      <c r="V125" s="842">
        <f t="shared" si="21"/>
        <v>0</v>
      </c>
      <c r="W125" s="842">
        <f t="shared" si="21"/>
        <v>270164</v>
      </c>
    </row>
    <row r="126" spans="1:23" s="701" customFormat="1" ht="15" customHeight="1">
      <c r="A126" s="848"/>
      <c r="B126" s="844"/>
      <c r="C126" s="846"/>
      <c r="D126" s="872"/>
      <c r="E126" s="848"/>
      <c r="F126" s="848"/>
      <c r="G126" s="844"/>
      <c r="H126" s="700">
        <v>480958</v>
      </c>
      <c r="I126" s="700">
        <v>0</v>
      </c>
      <c r="J126" s="842"/>
      <c r="K126" s="842"/>
      <c r="L126" s="842"/>
      <c r="M126" s="842"/>
      <c r="N126" s="842"/>
      <c r="O126" s="842"/>
      <c r="P126" s="842"/>
      <c r="Q126" s="842"/>
      <c r="R126" s="842"/>
      <c r="S126" s="842"/>
      <c r="T126" s="842"/>
      <c r="U126" s="842"/>
      <c r="V126" s="842"/>
      <c r="W126" s="842"/>
    </row>
    <row r="127" spans="1:23" s="701" customFormat="1" ht="15" customHeight="1" hidden="1">
      <c r="A127" s="848">
        <v>21</v>
      </c>
      <c r="B127" s="844" t="s">
        <v>1006</v>
      </c>
      <c r="C127" s="846" t="s">
        <v>1007</v>
      </c>
      <c r="D127" s="872" t="s">
        <v>1013</v>
      </c>
      <c r="E127" s="848" t="s">
        <v>1014</v>
      </c>
      <c r="F127" s="848" t="s">
        <v>1010</v>
      </c>
      <c r="G127" s="844" t="s">
        <v>623</v>
      </c>
      <c r="H127" s="700">
        <f>H128+H129+H130+H131</f>
        <v>1246316</v>
      </c>
      <c r="I127" s="700">
        <f>I128+I129+I130+I131</f>
        <v>42920</v>
      </c>
      <c r="J127" s="842">
        <f>K127+N127</f>
        <v>861500</v>
      </c>
      <c r="K127" s="842">
        <f>L127+M127</f>
        <v>714873</v>
      </c>
      <c r="L127" s="842">
        <v>42735</v>
      </c>
      <c r="M127" s="842">
        <v>672138</v>
      </c>
      <c r="N127" s="842">
        <f>O127+R127+U127</f>
        <v>146627</v>
      </c>
      <c r="O127" s="842">
        <f>P127+Q127</f>
        <v>0</v>
      </c>
      <c r="P127" s="842">
        <v>0</v>
      </c>
      <c r="Q127" s="842">
        <v>0</v>
      </c>
      <c r="R127" s="842">
        <f>S127+T127</f>
        <v>146627</v>
      </c>
      <c r="S127" s="842">
        <v>8765</v>
      </c>
      <c r="T127" s="842">
        <v>137862</v>
      </c>
      <c r="U127" s="842">
        <f>V127+W127</f>
        <v>0</v>
      </c>
      <c r="V127" s="842">
        <v>0</v>
      </c>
      <c r="W127" s="842">
        <v>0</v>
      </c>
    </row>
    <row r="128" spans="1:23" s="701" customFormat="1" ht="15" customHeight="1" hidden="1">
      <c r="A128" s="848"/>
      <c r="B128" s="844"/>
      <c r="C128" s="846"/>
      <c r="D128" s="872"/>
      <c r="E128" s="848"/>
      <c r="F128" s="848"/>
      <c r="G128" s="844"/>
      <c r="H128" s="700">
        <v>1034193</v>
      </c>
      <c r="I128" s="700">
        <v>35615</v>
      </c>
      <c r="J128" s="842"/>
      <c r="K128" s="842"/>
      <c r="L128" s="842"/>
      <c r="M128" s="842"/>
      <c r="N128" s="842"/>
      <c r="O128" s="842"/>
      <c r="P128" s="842"/>
      <c r="Q128" s="842"/>
      <c r="R128" s="842"/>
      <c r="S128" s="842"/>
      <c r="T128" s="842"/>
      <c r="U128" s="842"/>
      <c r="V128" s="842"/>
      <c r="W128" s="842"/>
    </row>
    <row r="129" spans="1:23" s="701" customFormat="1" ht="15" customHeight="1" hidden="1">
      <c r="A129" s="848"/>
      <c r="B129" s="844"/>
      <c r="C129" s="846"/>
      <c r="D129" s="872"/>
      <c r="E129" s="848"/>
      <c r="F129" s="848"/>
      <c r="G129" s="844"/>
      <c r="H129" s="700">
        <v>0</v>
      </c>
      <c r="I129" s="700">
        <v>0</v>
      </c>
      <c r="J129" s="457">
        <f>K129+N129</f>
        <v>0</v>
      </c>
      <c r="K129" s="457">
        <f>L129+M129</f>
        <v>0</v>
      </c>
      <c r="L129" s="458">
        <v>0</v>
      </c>
      <c r="M129" s="458">
        <v>0</v>
      </c>
      <c r="N129" s="457">
        <f>O129+R129+U129</f>
        <v>0</v>
      </c>
      <c r="O129" s="457">
        <f>P129+Q129</f>
        <v>0</v>
      </c>
      <c r="P129" s="458">
        <v>0</v>
      </c>
      <c r="Q129" s="458">
        <v>0</v>
      </c>
      <c r="R129" s="457">
        <f>S129+T129</f>
        <v>0</v>
      </c>
      <c r="S129" s="458">
        <v>0</v>
      </c>
      <c r="T129" s="458">
        <v>0</v>
      </c>
      <c r="U129" s="457">
        <f>V129+W129</f>
        <v>0</v>
      </c>
      <c r="V129" s="458">
        <v>0</v>
      </c>
      <c r="W129" s="458">
        <v>0</v>
      </c>
    </row>
    <row r="130" spans="1:23" s="701" customFormat="1" ht="15" customHeight="1" hidden="1">
      <c r="A130" s="848"/>
      <c r="B130" s="844"/>
      <c r="C130" s="846"/>
      <c r="D130" s="872"/>
      <c r="E130" s="848"/>
      <c r="F130" s="848"/>
      <c r="G130" s="844"/>
      <c r="H130" s="700">
        <v>212123</v>
      </c>
      <c r="I130" s="700">
        <v>7305</v>
      </c>
      <c r="J130" s="842">
        <f>J127+J129</f>
        <v>861500</v>
      </c>
      <c r="K130" s="842">
        <f aca="true" t="shared" si="22" ref="K130:W130">K127+K129</f>
        <v>714873</v>
      </c>
      <c r="L130" s="842">
        <f t="shared" si="22"/>
        <v>42735</v>
      </c>
      <c r="M130" s="842">
        <f t="shared" si="22"/>
        <v>672138</v>
      </c>
      <c r="N130" s="842">
        <f t="shared" si="22"/>
        <v>146627</v>
      </c>
      <c r="O130" s="842">
        <f t="shared" si="22"/>
        <v>0</v>
      </c>
      <c r="P130" s="842">
        <f t="shared" si="22"/>
        <v>0</v>
      </c>
      <c r="Q130" s="842">
        <f t="shared" si="22"/>
        <v>0</v>
      </c>
      <c r="R130" s="842">
        <f t="shared" si="22"/>
        <v>146627</v>
      </c>
      <c r="S130" s="842">
        <f t="shared" si="22"/>
        <v>8765</v>
      </c>
      <c r="T130" s="842">
        <f t="shared" si="22"/>
        <v>137862</v>
      </c>
      <c r="U130" s="842">
        <f t="shared" si="22"/>
        <v>0</v>
      </c>
      <c r="V130" s="842">
        <f t="shared" si="22"/>
        <v>0</v>
      </c>
      <c r="W130" s="842">
        <f t="shared" si="22"/>
        <v>0</v>
      </c>
    </row>
    <row r="131" spans="1:23" s="701" customFormat="1" ht="15" customHeight="1" hidden="1">
      <c r="A131" s="848"/>
      <c r="B131" s="844"/>
      <c r="C131" s="846"/>
      <c r="D131" s="872"/>
      <c r="E131" s="848"/>
      <c r="F131" s="848"/>
      <c r="G131" s="844"/>
      <c r="H131" s="700">
        <v>0</v>
      </c>
      <c r="I131" s="700">
        <v>0</v>
      </c>
      <c r="J131" s="842"/>
      <c r="K131" s="842"/>
      <c r="L131" s="842"/>
      <c r="M131" s="842"/>
      <c r="N131" s="842"/>
      <c r="O131" s="842"/>
      <c r="P131" s="842"/>
      <c r="Q131" s="842"/>
      <c r="R131" s="842"/>
      <c r="S131" s="842"/>
      <c r="T131" s="842"/>
      <c r="U131" s="842"/>
      <c r="V131" s="842"/>
      <c r="W131" s="842"/>
    </row>
    <row r="132" spans="1:23" s="701" customFormat="1" ht="15" customHeight="1" hidden="1">
      <c r="A132" s="848">
        <v>22</v>
      </c>
      <c r="B132" s="844" t="s">
        <v>1006</v>
      </c>
      <c r="C132" s="846" t="s">
        <v>1007</v>
      </c>
      <c r="D132" s="872" t="s">
        <v>1015</v>
      </c>
      <c r="E132" s="848" t="s">
        <v>1016</v>
      </c>
      <c r="F132" s="848" t="s">
        <v>1010</v>
      </c>
      <c r="G132" s="844" t="s">
        <v>623</v>
      </c>
      <c r="H132" s="700">
        <f>H133+H134+H135+H136</f>
        <v>925190</v>
      </c>
      <c r="I132" s="700">
        <f>I133+I134+I135+I136</f>
        <v>33016</v>
      </c>
      <c r="J132" s="842">
        <f>K132+N132</f>
        <v>495264</v>
      </c>
      <c r="K132" s="842">
        <f>L132+M132</f>
        <v>420974</v>
      </c>
      <c r="L132" s="842">
        <v>25693</v>
      </c>
      <c r="M132" s="842">
        <v>395281</v>
      </c>
      <c r="N132" s="842">
        <f>O132+R132+U132</f>
        <v>74290</v>
      </c>
      <c r="O132" s="842">
        <f>P132+Q132</f>
        <v>0</v>
      </c>
      <c r="P132" s="842">
        <v>0</v>
      </c>
      <c r="Q132" s="842">
        <v>0</v>
      </c>
      <c r="R132" s="842">
        <f>S132+T132</f>
        <v>74290</v>
      </c>
      <c r="S132" s="842">
        <v>4534</v>
      </c>
      <c r="T132" s="842">
        <v>69756</v>
      </c>
      <c r="U132" s="842">
        <f>V132+W132</f>
        <v>0</v>
      </c>
      <c r="V132" s="842">
        <v>0</v>
      </c>
      <c r="W132" s="842">
        <v>0</v>
      </c>
    </row>
    <row r="133" spans="1:23" s="701" customFormat="1" ht="15" customHeight="1" hidden="1">
      <c r="A133" s="848"/>
      <c r="B133" s="844"/>
      <c r="C133" s="846"/>
      <c r="D133" s="872"/>
      <c r="E133" s="848"/>
      <c r="F133" s="848"/>
      <c r="G133" s="844"/>
      <c r="H133" s="700">
        <v>786411</v>
      </c>
      <c r="I133" s="700">
        <v>28063</v>
      </c>
      <c r="J133" s="842"/>
      <c r="K133" s="842"/>
      <c r="L133" s="842"/>
      <c r="M133" s="842"/>
      <c r="N133" s="842"/>
      <c r="O133" s="842"/>
      <c r="P133" s="842"/>
      <c r="Q133" s="842"/>
      <c r="R133" s="842"/>
      <c r="S133" s="842"/>
      <c r="T133" s="842"/>
      <c r="U133" s="842"/>
      <c r="V133" s="842"/>
      <c r="W133" s="842"/>
    </row>
    <row r="134" spans="1:23" s="701" customFormat="1" ht="15" customHeight="1" hidden="1">
      <c r="A134" s="848"/>
      <c r="B134" s="844"/>
      <c r="C134" s="846"/>
      <c r="D134" s="872"/>
      <c r="E134" s="848"/>
      <c r="F134" s="848"/>
      <c r="G134" s="844"/>
      <c r="H134" s="700">
        <v>0</v>
      </c>
      <c r="I134" s="700">
        <v>0</v>
      </c>
      <c r="J134" s="457">
        <f>K134+N134</f>
        <v>0</v>
      </c>
      <c r="K134" s="457">
        <f>L134+M134</f>
        <v>0</v>
      </c>
      <c r="L134" s="458">
        <v>0</v>
      </c>
      <c r="M134" s="458">
        <v>0</v>
      </c>
      <c r="N134" s="457">
        <f>O134+R134+U134</f>
        <v>0</v>
      </c>
      <c r="O134" s="457">
        <f>P134+Q134</f>
        <v>0</v>
      </c>
      <c r="P134" s="458">
        <v>0</v>
      </c>
      <c r="Q134" s="458">
        <v>0</v>
      </c>
      <c r="R134" s="457">
        <f>S134+T134</f>
        <v>0</v>
      </c>
      <c r="S134" s="458">
        <v>0</v>
      </c>
      <c r="T134" s="458">
        <v>0</v>
      </c>
      <c r="U134" s="457">
        <f>V134+W134</f>
        <v>0</v>
      </c>
      <c r="V134" s="458">
        <v>0</v>
      </c>
      <c r="W134" s="458">
        <v>0</v>
      </c>
    </row>
    <row r="135" spans="1:23" s="701" customFormat="1" ht="15" customHeight="1" hidden="1">
      <c r="A135" s="848"/>
      <c r="B135" s="844"/>
      <c r="C135" s="846"/>
      <c r="D135" s="872"/>
      <c r="E135" s="848"/>
      <c r="F135" s="848"/>
      <c r="G135" s="844"/>
      <c r="H135" s="700">
        <v>138779</v>
      </c>
      <c r="I135" s="700">
        <v>4953</v>
      </c>
      <c r="J135" s="842">
        <f>J132+J134</f>
        <v>495264</v>
      </c>
      <c r="K135" s="842">
        <f aca="true" t="shared" si="23" ref="K135:W135">K132+K134</f>
        <v>420974</v>
      </c>
      <c r="L135" s="842">
        <f t="shared" si="23"/>
        <v>25693</v>
      </c>
      <c r="M135" s="842">
        <f t="shared" si="23"/>
        <v>395281</v>
      </c>
      <c r="N135" s="842">
        <f t="shared" si="23"/>
        <v>74290</v>
      </c>
      <c r="O135" s="842">
        <f t="shared" si="23"/>
        <v>0</v>
      </c>
      <c r="P135" s="842">
        <f t="shared" si="23"/>
        <v>0</v>
      </c>
      <c r="Q135" s="842">
        <f t="shared" si="23"/>
        <v>0</v>
      </c>
      <c r="R135" s="842">
        <f t="shared" si="23"/>
        <v>74290</v>
      </c>
      <c r="S135" s="842">
        <f t="shared" si="23"/>
        <v>4534</v>
      </c>
      <c r="T135" s="842">
        <f t="shared" si="23"/>
        <v>69756</v>
      </c>
      <c r="U135" s="842">
        <f t="shared" si="23"/>
        <v>0</v>
      </c>
      <c r="V135" s="842">
        <f t="shared" si="23"/>
        <v>0</v>
      </c>
      <c r="W135" s="842">
        <f t="shared" si="23"/>
        <v>0</v>
      </c>
    </row>
    <row r="136" spans="1:23" s="701" customFormat="1" ht="15" customHeight="1" hidden="1">
      <c r="A136" s="848"/>
      <c r="B136" s="844"/>
      <c r="C136" s="846"/>
      <c r="D136" s="872"/>
      <c r="E136" s="848"/>
      <c r="F136" s="848"/>
      <c r="G136" s="844"/>
      <c r="H136" s="700">
        <v>0</v>
      </c>
      <c r="I136" s="700">
        <v>0</v>
      </c>
      <c r="J136" s="842"/>
      <c r="K136" s="842"/>
      <c r="L136" s="842"/>
      <c r="M136" s="842"/>
      <c r="N136" s="842"/>
      <c r="O136" s="842"/>
      <c r="P136" s="842"/>
      <c r="Q136" s="842"/>
      <c r="R136" s="842"/>
      <c r="S136" s="842"/>
      <c r="T136" s="842"/>
      <c r="U136" s="842"/>
      <c r="V136" s="842"/>
      <c r="W136" s="842"/>
    </row>
    <row r="137" spans="1:23" s="701" customFormat="1" ht="15" customHeight="1" hidden="1">
      <c r="A137" s="848">
        <v>23</v>
      </c>
      <c r="B137" s="844" t="s">
        <v>1006</v>
      </c>
      <c r="C137" s="846" t="s">
        <v>1007</v>
      </c>
      <c r="D137" s="872" t="s">
        <v>1017</v>
      </c>
      <c r="E137" s="848" t="s">
        <v>1016</v>
      </c>
      <c r="F137" s="848" t="s">
        <v>1010</v>
      </c>
      <c r="G137" s="844" t="s">
        <v>588</v>
      </c>
      <c r="H137" s="700">
        <f>H138+H139+H140+H141</f>
        <v>4497149</v>
      </c>
      <c r="I137" s="700">
        <f>I138+I139+I140+I141</f>
        <v>65441</v>
      </c>
      <c r="J137" s="842">
        <f>K137+N137</f>
        <v>3141750</v>
      </c>
      <c r="K137" s="842">
        <f>L137+M137</f>
        <v>3016750</v>
      </c>
      <c r="L137" s="842">
        <v>146750</v>
      </c>
      <c r="M137" s="842">
        <v>2870000</v>
      </c>
      <c r="N137" s="842">
        <f>O137+R137+U137</f>
        <v>125000</v>
      </c>
      <c r="O137" s="842">
        <f>P137+Q137</f>
        <v>0</v>
      </c>
      <c r="P137" s="842">
        <v>0</v>
      </c>
      <c r="Q137" s="842">
        <v>0</v>
      </c>
      <c r="R137" s="842">
        <f>S137+T137</f>
        <v>0</v>
      </c>
      <c r="S137" s="842">
        <v>0</v>
      </c>
      <c r="T137" s="842">
        <v>0</v>
      </c>
      <c r="U137" s="842">
        <f>V137+W137</f>
        <v>125000</v>
      </c>
      <c r="V137" s="842">
        <v>0</v>
      </c>
      <c r="W137" s="842">
        <v>125000</v>
      </c>
    </row>
    <row r="138" spans="1:23" s="701" customFormat="1" ht="15" customHeight="1" hidden="1">
      <c r="A138" s="848"/>
      <c r="B138" s="844"/>
      <c r="C138" s="846"/>
      <c r="D138" s="872"/>
      <c r="E138" s="848"/>
      <c r="F138" s="848"/>
      <c r="G138" s="844"/>
      <c r="H138" s="700">
        <v>4246606</v>
      </c>
      <c r="I138" s="700">
        <v>65441</v>
      </c>
      <c r="J138" s="842"/>
      <c r="K138" s="842"/>
      <c r="L138" s="842"/>
      <c r="M138" s="842"/>
      <c r="N138" s="842"/>
      <c r="O138" s="842"/>
      <c r="P138" s="842"/>
      <c r="Q138" s="842"/>
      <c r="R138" s="842"/>
      <c r="S138" s="842"/>
      <c r="T138" s="842"/>
      <c r="U138" s="842"/>
      <c r="V138" s="842"/>
      <c r="W138" s="842"/>
    </row>
    <row r="139" spans="1:23" s="701" customFormat="1" ht="15" customHeight="1" hidden="1">
      <c r="A139" s="848"/>
      <c r="B139" s="844"/>
      <c r="C139" s="846"/>
      <c r="D139" s="872"/>
      <c r="E139" s="848"/>
      <c r="F139" s="848"/>
      <c r="G139" s="844"/>
      <c r="H139" s="700">
        <v>0</v>
      </c>
      <c r="I139" s="700">
        <v>0</v>
      </c>
      <c r="J139" s="457">
        <f>K139+N139</f>
        <v>0</v>
      </c>
      <c r="K139" s="457">
        <f>L139+M139</f>
        <v>0</v>
      </c>
      <c r="L139" s="458">
        <v>0</v>
      </c>
      <c r="M139" s="458">
        <v>0</v>
      </c>
      <c r="N139" s="457">
        <f>O139+R139+U139</f>
        <v>0</v>
      </c>
      <c r="O139" s="457">
        <f>P139+Q139</f>
        <v>0</v>
      </c>
      <c r="P139" s="458">
        <v>0</v>
      </c>
      <c r="Q139" s="458">
        <v>0</v>
      </c>
      <c r="R139" s="457">
        <f>S139+T139</f>
        <v>0</v>
      </c>
      <c r="S139" s="458">
        <v>0</v>
      </c>
      <c r="T139" s="458">
        <v>0</v>
      </c>
      <c r="U139" s="457">
        <f>V139+W139</f>
        <v>0</v>
      </c>
      <c r="V139" s="458">
        <v>0</v>
      </c>
      <c r="W139" s="458">
        <v>0</v>
      </c>
    </row>
    <row r="140" spans="1:23" s="701" customFormat="1" ht="15" customHeight="1" hidden="1">
      <c r="A140" s="848"/>
      <c r="B140" s="844"/>
      <c r="C140" s="846"/>
      <c r="D140" s="872"/>
      <c r="E140" s="848"/>
      <c r="F140" s="848"/>
      <c r="G140" s="844"/>
      <c r="H140" s="700">
        <v>0</v>
      </c>
      <c r="I140" s="700">
        <v>0</v>
      </c>
      <c r="J140" s="842">
        <f>J137+J139</f>
        <v>3141750</v>
      </c>
      <c r="K140" s="842">
        <f aca="true" t="shared" si="24" ref="K140:W140">K137+K139</f>
        <v>3016750</v>
      </c>
      <c r="L140" s="842">
        <f t="shared" si="24"/>
        <v>146750</v>
      </c>
      <c r="M140" s="842">
        <f t="shared" si="24"/>
        <v>2870000</v>
      </c>
      <c r="N140" s="842">
        <f t="shared" si="24"/>
        <v>125000</v>
      </c>
      <c r="O140" s="842">
        <f t="shared" si="24"/>
        <v>0</v>
      </c>
      <c r="P140" s="842">
        <f t="shared" si="24"/>
        <v>0</v>
      </c>
      <c r="Q140" s="842">
        <f t="shared" si="24"/>
        <v>0</v>
      </c>
      <c r="R140" s="842">
        <f t="shared" si="24"/>
        <v>0</v>
      </c>
      <c r="S140" s="842">
        <f t="shared" si="24"/>
        <v>0</v>
      </c>
      <c r="T140" s="842">
        <f t="shared" si="24"/>
        <v>0</v>
      </c>
      <c r="U140" s="842">
        <f t="shared" si="24"/>
        <v>125000</v>
      </c>
      <c r="V140" s="842">
        <f t="shared" si="24"/>
        <v>0</v>
      </c>
      <c r="W140" s="842">
        <f t="shared" si="24"/>
        <v>125000</v>
      </c>
    </row>
    <row r="141" spans="1:23" s="701" customFormat="1" ht="15" customHeight="1" hidden="1">
      <c r="A141" s="848"/>
      <c r="B141" s="844"/>
      <c r="C141" s="846"/>
      <c r="D141" s="872"/>
      <c r="E141" s="848"/>
      <c r="F141" s="848"/>
      <c r="G141" s="844"/>
      <c r="H141" s="700">
        <v>250543</v>
      </c>
      <c r="I141" s="700">
        <v>0</v>
      </c>
      <c r="J141" s="842"/>
      <c r="K141" s="842"/>
      <c r="L141" s="842"/>
      <c r="M141" s="842"/>
      <c r="N141" s="842"/>
      <c r="O141" s="842"/>
      <c r="P141" s="842"/>
      <c r="Q141" s="842"/>
      <c r="R141" s="842"/>
      <c r="S141" s="842"/>
      <c r="T141" s="842"/>
      <c r="U141" s="842"/>
      <c r="V141" s="842"/>
      <c r="W141" s="842"/>
    </row>
    <row r="142" spans="1:23" s="701" customFormat="1" ht="15" customHeight="1">
      <c r="A142" s="848">
        <v>16</v>
      </c>
      <c r="B142" s="845" t="s">
        <v>524</v>
      </c>
      <c r="C142" s="846" t="s">
        <v>1018</v>
      </c>
      <c r="D142" s="847" t="s">
        <v>1019</v>
      </c>
      <c r="E142" s="848" t="s">
        <v>991</v>
      </c>
      <c r="F142" s="848" t="s">
        <v>992</v>
      </c>
      <c r="G142" s="848" t="s">
        <v>627</v>
      </c>
      <c r="H142" s="700">
        <f>H144+H143+H145+H146</f>
        <v>50833492</v>
      </c>
      <c r="I142" s="700">
        <f>I144+I143+I145+I146</f>
        <v>13981736</v>
      </c>
      <c r="J142" s="842">
        <f>K142+N142</f>
        <v>22834346</v>
      </c>
      <c r="K142" s="842">
        <f>L142+M142</f>
        <v>20867414</v>
      </c>
      <c r="L142" s="842">
        <v>11951</v>
      </c>
      <c r="M142" s="842">
        <v>20855463</v>
      </c>
      <c r="N142" s="842">
        <f>O142+R142+U142</f>
        <v>1966932</v>
      </c>
      <c r="O142" s="842">
        <f>P142+Q142</f>
        <v>0</v>
      </c>
      <c r="P142" s="842">
        <v>0</v>
      </c>
      <c r="Q142" s="842">
        <v>0</v>
      </c>
      <c r="R142" s="842">
        <f>S142+T142</f>
        <v>910932</v>
      </c>
      <c r="S142" s="842">
        <v>2112</v>
      </c>
      <c r="T142" s="842">
        <v>908820</v>
      </c>
      <c r="U142" s="842">
        <f>V142+W142</f>
        <v>1056000</v>
      </c>
      <c r="V142" s="842">
        <v>0</v>
      </c>
      <c r="W142" s="842">
        <v>1056000</v>
      </c>
    </row>
    <row r="143" spans="1:23" s="701" customFormat="1" ht="15" customHeight="1">
      <c r="A143" s="848"/>
      <c r="B143" s="845"/>
      <c r="C143" s="846"/>
      <c r="D143" s="847"/>
      <c r="E143" s="848"/>
      <c r="F143" s="848"/>
      <c r="G143" s="848"/>
      <c r="H143" s="700">
        <v>43114373</v>
      </c>
      <c r="I143" s="700">
        <v>8512225</v>
      </c>
      <c r="J143" s="842"/>
      <c r="K143" s="842"/>
      <c r="L143" s="842"/>
      <c r="M143" s="842"/>
      <c r="N143" s="842"/>
      <c r="O143" s="842"/>
      <c r="P143" s="842"/>
      <c r="Q143" s="842"/>
      <c r="R143" s="842"/>
      <c r="S143" s="842"/>
      <c r="T143" s="842"/>
      <c r="U143" s="842"/>
      <c r="V143" s="842"/>
      <c r="W143" s="842"/>
    </row>
    <row r="144" spans="1:23" s="701" customFormat="1" ht="15" customHeight="1">
      <c r="A144" s="848"/>
      <c r="B144" s="845"/>
      <c r="C144" s="846"/>
      <c r="D144" s="847"/>
      <c r="E144" s="848"/>
      <c r="F144" s="848"/>
      <c r="G144" s="848"/>
      <c r="H144" s="700">
        <v>0</v>
      </c>
      <c r="I144" s="700">
        <v>0</v>
      </c>
      <c r="J144" s="457">
        <f>K144+N144</f>
        <v>267142</v>
      </c>
      <c r="K144" s="457">
        <f>L144+M144</f>
        <v>-15534</v>
      </c>
      <c r="L144" s="458">
        <v>78561</v>
      </c>
      <c r="M144" s="458">
        <v>-94095</v>
      </c>
      <c r="N144" s="457">
        <f>O144+R144+U144</f>
        <v>282676</v>
      </c>
      <c r="O144" s="457">
        <f>P144+Q144</f>
        <v>0</v>
      </c>
      <c r="P144" s="458">
        <v>0</v>
      </c>
      <c r="Q144" s="458">
        <v>0</v>
      </c>
      <c r="R144" s="457">
        <f>S144+T144</f>
        <v>107956</v>
      </c>
      <c r="S144" s="458">
        <v>13861</v>
      </c>
      <c r="T144" s="458">
        <v>94095</v>
      </c>
      <c r="U144" s="457">
        <f>V144+W144</f>
        <v>174720</v>
      </c>
      <c r="V144" s="458">
        <v>0</v>
      </c>
      <c r="W144" s="458">
        <v>174720</v>
      </c>
    </row>
    <row r="145" spans="1:23" s="701" customFormat="1" ht="15" customHeight="1">
      <c r="A145" s="848"/>
      <c r="B145" s="845"/>
      <c r="C145" s="846"/>
      <c r="D145" s="847"/>
      <c r="E145" s="848"/>
      <c r="F145" s="848"/>
      <c r="G145" s="848"/>
      <c r="H145" s="700">
        <v>6488399</v>
      </c>
      <c r="I145" s="702">
        <v>5469511</v>
      </c>
      <c r="J145" s="842">
        <f>J142+J144</f>
        <v>23101488</v>
      </c>
      <c r="K145" s="842">
        <f aca="true" t="shared" si="25" ref="K145:W145">K142+K144</f>
        <v>20851880</v>
      </c>
      <c r="L145" s="842">
        <f t="shared" si="25"/>
        <v>90512</v>
      </c>
      <c r="M145" s="842">
        <f t="shared" si="25"/>
        <v>20761368</v>
      </c>
      <c r="N145" s="842">
        <f t="shared" si="25"/>
        <v>2249608</v>
      </c>
      <c r="O145" s="842">
        <f t="shared" si="25"/>
        <v>0</v>
      </c>
      <c r="P145" s="842">
        <f t="shared" si="25"/>
        <v>0</v>
      </c>
      <c r="Q145" s="842">
        <f t="shared" si="25"/>
        <v>0</v>
      </c>
      <c r="R145" s="842">
        <f t="shared" si="25"/>
        <v>1018888</v>
      </c>
      <c r="S145" s="842">
        <f t="shared" si="25"/>
        <v>15973</v>
      </c>
      <c r="T145" s="842">
        <f t="shared" si="25"/>
        <v>1002915</v>
      </c>
      <c r="U145" s="842">
        <f t="shared" si="25"/>
        <v>1230720</v>
      </c>
      <c r="V145" s="842">
        <f t="shared" si="25"/>
        <v>0</v>
      </c>
      <c r="W145" s="842">
        <f t="shared" si="25"/>
        <v>1230720</v>
      </c>
    </row>
    <row r="146" spans="1:23" s="701" customFormat="1" ht="15" customHeight="1">
      <c r="A146" s="848"/>
      <c r="B146" s="845"/>
      <c r="C146" s="846"/>
      <c r="D146" s="847"/>
      <c r="E146" s="848"/>
      <c r="F146" s="848"/>
      <c r="G146" s="848"/>
      <c r="H146" s="700">
        <v>1230720</v>
      </c>
      <c r="I146" s="700">
        <v>0</v>
      </c>
      <c r="J146" s="842"/>
      <c r="K146" s="842"/>
      <c r="L146" s="842"/>
      <c r="M146" s="842"/>
      <c r="N146" s="842"/>
      <c r="O146" s="842"/>
      <c r="P146" s="842"/>
      <c r="Q146" s="842"/>
      <c r="R146" s="842"/>
      <c r="S146" s="842"/>
      <c r="T146" s="842"/>
      <c r="U146" s="842"/>
      <c r="V146" s="842"/>
      <c r="W146" s="842"/>
    </row>
    <row r="147" spans="1:23" s="701" customFormat="1" ht="14.25" customHeight="1">
      <c r="A147" s="848">
        <v>17</v>
      </c>
      <c r="B147" s="845" t="s">
        <v>524</v>
      </c>
      <c r="C147" s="846" t="s">
        <v>1018</v>
      </c>
      <c r="D147" s="847" t="s">
        <v>1020</v>
      </c>
      <c r="E147" s="848" t="s">
        <v>991</v>
      </c>
      <c r="F147" s="848" t="s">
        <v>992</v>
      </c>
      <c r="G147" s="848" t="s">
        <v>1021</v>
      </c>
      <c r="H147" s="700">
        <f>H149+H148+H150+H151</f>
        <v>97531514</v>
      </c>
      <c r="I147" s="700">
        <f>I149+I148+I150+I151</f>
        <v>23886079</v>
      </c>
      <c r="J147" s="842">
        <f>K147+N147</f>
        <v>58729654</v>
      </c>
      <c r="K147" s="842">
        <f>L147+M147</f>
        <v>51123447</v>
      </c>
      <c r="L147" s="842">
        <v>144549</v>
      </c>
      <c r="M147" s="842">
        <v>50978898</v>
      </c>
      <c r="N147" s="842">
        <f>O147+R147+U147</f>
        <v>7606207</v>
      </c>
      <c r="O147" s="842">
        <f>P147+Q147</f>
        <v>0</v>
      </c>
      <c r="P147" s="842">
        <v>0</v>
      </c>
      <c r="Q147" s="842">
        <v>0</v>
      </c>
      <c r="R147" s="842">
        <f>S147+T147</f>
        <v>3234751</v>
      </c>
      <c r="S147" s="842">
        <v>25507</v>
      </c>
      <c r="T147" s="842">
        <v>3209244</v>
      </c>
      <c r="U147" s="842">
        <f>V147+W147</f>
        <v>4371456</v>
      </c>
      <c r="V147" s="842">
        <v>0</v>
      </c>
      <c r="W147" s="842">
        <v>4371456</v>
      </c>
    </row>
    <row r="148" spans="1:23" s="701" customFormat="1" ht="14.25" customHeight="1">
      <c r="A148" s="848"/>
      <c r="B148" s="845"/>
      <c r="C148" s="846"/>
      <c r="D148" s="847"/>
      <c r="E148" s="848"/>
      <c r="F148" s="848"/>
      <c r="G148" s="848"/>
      <c r="H148" s="700">
        <v>79501787</v>
      </c>
      <c r="I148" s="700">
        <v>17501217</v>
      </c>
      <c r="J148" s="842"/>
      <c r="K148" s="842"/>
      <c r="L148" s="842"/>
      <c r="M148" s="842"/>
      <c r="N148" s="842"/>
      <c r="O148" s="842"/>
      <c r="P148" s="842"/>
      <c r="Q148" s="842"/>
      <c r="R148" s="842"/>
      <c r="S148" s="842"/>
      <c r="T148" s="842"/>
      <c r="U148" s="842"/>
      <c r="V148" s="842"/>
      <c r="W148" s="842"/>
    </row>
    <row r="149" spans="1:23" s="701" customFormat="1" ht="14.25" customHeight="1">
      <c r="A149" s="848"/>
      <c r="B149" s="845"/>
      <c r="C149" s="846"/>
      <c r="D149" s="847"/>
      <c r="E149" s="848"/>
      <c r="F149" s="848"/>
      <c r="G149" s="848"/>
      <c r="H149" s="700">
        <v>0</v>
      </c>
      <c r="I149" s="700">
        <v>0</v>
      </c>
      <c r="J149" s="457">
        <f>K149+N149</f>
        <v>-41737547</v>
      </c>
      <c r="K149" s="457">
        <f>L149+M149</f>
        <v>-42776205</v>
      </c>
      <c r="L149" s="458">
        <v>202693</v>
      </c>
      <c r="M149" s="458">
        <v>-42978898</v>
      </c>
      <c r="N149" s="457">
        <f>O149+R149+U149</f>
        <v>1038658</v>
      </c>
      <c r="O149" s="457">
        <f>P149+Q149</f>
        <v>0</v>
      </c>
      <c r="P149" s="458">
        <v>0</v>
      </c>
      <c r="Q149" s="458">
        <v>0</v>
      </c>
      <c r="R149" s="457">
        <f>S149+T149</f>
        <v>1038658</v>
      </c>
      <c r="S149" s="458">
        <v>35769</v>
      </c>
      <c r="T149" s="458">
        <v>1002889</v>
      </c>
      <c r="U149" s="457">
        <f>V149+W149</f>
        <v>0</v>
      </c>
      <c r="V149" s="458">
        <v>0</v>
      </c>
      <c r="W149" s="458">
        <v>0</v>
      </c>
    </row>
    <row r="150" spans="1:23" s="701" customFormat="1" ht="14.25" customHeight="1">
      <c r="A150" s="848"/>
      <c r="B150" s="845"/>
      <c r="C150" s="846"/>
      <c r="D150" s="847"/>
      <c r="E150" s="848"/>
      <c r="F150" s="848"/>
      <c r="G150" s="848"/>
      <c r="H150" s="700">
        <v>13658271</v>
      </c>
      <c r="I150" s="700">
        <v>6384862</v>
      </c>
      <c r="J150" s="842">
        <f>J147+J149</f>
        <v>16992107</v>
      </c>
      <c r="K150" s="842">
        <f aca="true" t="shared" si="26" ref="K150:W150">K147+K149</f>
        <v>8347242</v>
      </c>
      <c r="L150" s="842">
        <f t="shared" si="26"/>
        <v>347242</v>
      </c>
      <c r="M150" s="842">
        <f t="shared" si="26"/>
        <v>8000000</v>
      </c>
      <c r="N150" s="842">
        <f t="shared" si="26"/>
        <v>8644865</v>
      </c>
      <c r="O150" s="842">
        <f t="shared" si="26"/>
        <v>0</v>
      </c>
      <c r="P150" s="842">
        <f t="shared" si="26"/>
        <v>0</v>
      </c>
      <c r="Q150" s="842">
        <f t="shared" si="26"/>
        <v>0</v>
      </c>
      <c r="R150" s="842">
        <f t="shared" si="26"/>
        <v>4273409</v>
      </c>
      <c r="S150" s="842">
        <f t="shared" si="26"/>
        <v>61276</v>
      </c>
      <c r="T150" s="842">
        <f t="shared" si="26"/>
        <v>4212133</v>
      </c>
      <c r="U150" s="842">
        <f t="shared" si="26"/>
        <v>4371456</v>
      </c>
      <c r="V150" s="842">
        <f t="shared" si="26"/>
        <v>0</v>
      </c>
      <c r="W150" s="842">
        <f t="shared" si="26"/>
        <v>4371456</v>
      </c>
    </row>
    <row r="151" spans="1:23" s="701" customFormat="1" ht="14.25" customHeight="1">
      <c r="A151" s="848"/>
      <c r="B151" s="845"/>
      <c r="C151" s="846"/>
      <c r="D151" s="847"/>
      <c r="E151" s="848"/>
      <c r="F151" s="848"/>
      <c r="G151" s="848"/>
      <c r="H151" s="700">
        <v>4371456</v>
      </c>
      <c r="I151" s="700">
        <v>0</v>
      </c>
      <c r="J151" s="842"/>
      <c r="K151" s="842"/>
      <c r="L151" s="842"/>
      <c r="M151" s="842"/>
      <c r="N151" s="842"/>
      <c r="O151" s="842"/>
      <c r="P151" s="842"/>
      <c r="Q151" s="842"/>
      <c r="R151" s="842"/>
      <c r="S151" s="842"/>
      <c r="T151" s="842"/>
      <c r="U151" s="842"/>
      <c r="V151" s="842"/>
      <c r="W151" s="842"/>
    </row>
    <row r="152" spans="1:23" s="701" customFormat="1" ht="15" customHeight="1">
      <c r="A152" s="848">
        <v>18</v>
      </c>
      <c r="B152" s="845" t="s">
        <v>524</v>
      </c>
      <c r="C152" s="846" t="s">
        <v>1018</v>
      </c>
      <c r="D152" s="847" t="s">
        <v>1022</v>
      </c>
      <c r="E152" s="848" t="s">
        <v>991</v>
      </c>
      <c r="F152" s="848" t="s">
        <v>992</v>
      </c>
      <c r="G152" s="848" t="s">
        <v>627</v>
      </c>
      <c r="H152" s="700">
        <f>H154+H153+H155+H156</f>
        <v>66415462</v>
      </c>
      <c r="I152" s="700">
        <f>I154+I153+I155+I156</f>
        <v>19223352</v>
      </c>
      <c r="J152" s="842">
        <f>K152+N152</f>
        <v>41233300</v>
      </c>
      <c r="K152" s="842">
        <f>L152+M152</f>
        <v>40161868</v>
      </c>
      <c r="L152" s="842">
        <v>11283</v>
      </c>
      <c r="M152" s="842">
        <v>40150585</v>
      </c>
      <c r="N152" s="842">
        <f>O152+R152+U152</f>
        <v>1071432</v>
      </c>
      <c r="O152" s="842">
        <f>P152+Q152</f>
        <v>0</v>
      </c>
      <c r="P152" s="842">
        <v>0</v>
      </c>
      <c r="Q152" s="842">
        <v>0</v>
      </c>
      <c r="R152" s="842">
        <f>S152+T152</f>
        <v>1992</v>
      </c>
      <c r="S152" s="842">
        <v>1992</v>
      </c>
      <c r="T152" s="842">
        <v>0</v>
      </c>
      <c r="U152" s="842">
        <f>V152+W152</f>
        <v>1069440</v>
      </c>
      <c r="V152" s="842">
        <v>0</v>
      </c>
      <c r="W152" s="842">
        <v>1069440</v>
      </c>
    </row>
    <row r="153" spans="1:23" s="701" customFormat="1" ht="15" customHeight="1">
      <c r="A153" s="848"/>
      <c r="B153" s="845"/>
      <c r="C153" s="846"/>
      <c r="D153" s="847"/>
      <c r="E153" s="848"/>
      <c r="F153" s="848"/>
      <c r="G153" s="848"/>
      <c r="H153" s="700">
        <v>51447393</v>
      </c>
      <c r="I153" s="700">
        <v>10463613</v>
      </c>
      <c r="J153" s="842"/>
      <c r="K153" s="842"/>
      <c r="L153" s="842"/>
      <c r="M153" s="842"/>
      <c r="N153" s="842"/>
      <c r="O153" s="842"/>
      <c r="P153" s="842"/>
      <c r="Q153" s="842"/>
      <c r="R153" s="842"/>
      <c r="S153" s="842"/>
      <c r="T153" s="842"/>
      <c r="U153" s="842"/>
      <c r="V153" s="842"/>
      <c r="W153" s="842"/>
    </row>
    <row r="154" spans="1:23" s="701" customFormat="1" ht="15" customHeight="1">
      <c r="A154" s="848"/>
      <c r="B154" s="845"/>
      <c r="C154" s="846"/>
      <c r="D154" s="847"/>
      <c r="E154" s="848"/>
      <c r="F154" s="848"/>
      <c r="G154" s="848"/>
      <c r="H154" s="700">
        <v>0</v>
      </c>
      <c r="I154" s="700">
        <v>0</v>
      </c>
      <c r="J154" s="457">
        <f>K154+N154</f>
        <v>-15181318</v>
      </c>
      <c r="K154" s="457">
        <f>L154+M154</f>
        <v>-20318216</v>
      </c>
      <c r="L154" s="458">
        <v>81912</v>
      </c>
      <c r="M154" s="458">
        <v>-20400128</v>
      </c>
      <c r="N154" s="457">
        <f>O154+R154+U154</f>
        <v>5136898</v>
      </c>
      <c r="O154" s="457">
        <f>P154+Q154</f>
        <v>0</v>
      </c>
      <c r="P154" s="458">
        <v>0</v>
      </c>
      <c r="Q154" s="458">
        <v>0</v>
      </c>
      <c r="R154" s="457">
        <f>S154+T154</f>
        <v>5014684</v>
      </c>
      <c r="S154" s="458">
        <v>14664</v>
      </c>
      <c r="T154" s="458">
        <v>5000020</v>
      </c>
      <c r="U154" s="457">
        <f>V154+W154</f>
        <v>122214</v>
      </c>
      <c r="V154" s="458">
        <v>0</v>
      </c>
      <c r="W154" s="458">
        <v>122214</v>
      </c>
    </row>
    <row r="155" spans="1:23" s="701" customFormat="1" ht="15" customHeight="1">
      <c r="A155" s="848"/>
      <c r="B155" s="845"/>
      <c r="C155" s="846"/>
      <c r="D155" s="847"/>
      <c r="E155" s="848"/>
      <c r="F155" s="848"/>
      <c r="G155" s="848"/>
      <c r="H155" s="700">
        <v>13186825</v>
      </c>
      <c r="I155" s="700">
        <v>8170149</v>
      </c>
      <c r="J155" s="842">
        <f>J152+J154</f>
        <v>26051982</v>
      </c>
      <c r="K155" s="842">
        <f aca="true" t="shared" si="27" ref="K155:W155">K152+K154</f>
        <v>19843652</v>
      </c>
      <c r="L155" s="842">
        <f t="shared" si="27"/>
        <v>93195</v>
      </c>
      <c r="M155" s="842">
        <f t="shared" si="27"/>
        <v>19750457</v>
      </c>
      <c r="N155" s="842">
        <f t="shared" si="27"/>
        <v>6208330</v>
      </c>
      <c r="O155" s="842">
        <f t="shared" si="27"/>
        <v>0</v>
      </c>
      <c r="P155" s="842">
        <f t="shared" si="27"/>
        <v>0</v>
      </c>
      <c r="Q155" s="842">
        <f t="shared" si="27"/>
        <v>0</v>
      </c>
      <c r="R155" s="842">
        <f t="shared" si="27"/>
        <v>5016676</v>
      </c>
      <c r="S155" s="842">
        <f t="shared" si="27"/>
        <v>16656</v>
      </c>
      <c r="T155" s="842">
        <f t="shared" si="27"/>
        <v>5000020</v>
      </c>
      <c r="U155" s="842">
        <f t="shared" si="27"/>
        <v>1191654</v>
      </c>
      <c r="V155" s="842">
        <f t="shared" si="27"/>
        <v>0</v>
      </c>
      <c r="W155" s="842">
        <f t="shared" si="27"/>
        <v>1191654</v>
      </c>
    </row>
    <row r="156" spans="1:23" s="701" customFormat="1" ht="15" customHeight="1">
      <c r="A156" s="848"/>
      <c r="B156" s="845"/>
      <c r="C156" s="846"/>
      <c r="D156" s="847"/>
      <c r="E156" s="848"/>
      <c r="F156" s="848"/>
      <c r="G156" s="848"/>
      <c r="H156" s="700">
        <v>1781244</v>
      </c>
      <c r="I156" s="700">
        <v>589590</v>
      </c>
      <c r="J156" s="842"/>
      <c r="K156" s="842"/>
      <c r="L156" s="842"/>
      <c r="M156" s="842"/>
      <c r="N156" s="842"/>
      <c r="O156" s="842"/>
      <c r="P156" s="842"/>
      <c r="Q156" s="842"/>
      <c r="R156" s="842"/>
      <c r="S156" s="842"/>
      <c r="T156" s="842"/>
      <c r="U156" s="842"/>
      <c r="V156" s="842"/>
      <c r="W156" s="842"/>
    </row>
    <row r="157" spans="1:23" s="701" customFormat="1" ht="15" customHeight="1">
      <c r="A157" s="848">
        <v>19</v>
      </c>
      <c r="B157" s="844" t="s">
        <v>524</v>
      </c>
      <c r="C157" s="846" t="s">
        <v>1018</v>
      </c>
      <c r="D157" s="872" t="s">
        <v>1023</v>
      </c>
      <c r="E157" s="848" t="s">
        <v>991</v>
      </c>
      <c r="F157" s="848" t="s">
        <v>992</v>
      </c>
      <c r="G157" s="844" t="s">
        <v>627</v>
      </c>
      <c r="H157" s="700">
        <f>H158+H159+H160+H161</f>
        <v>62535537</v>
      </c>
      <c r="I157" s="700">
        <f>I158+I159+I160+I161</f>
        <v>25443229</v>
      </c>
      <c r="J157" s="842">
        <f>K157+N157</f>
        <v>24946118</v>
      </c>
      <c r="K157" s="842">
        <f>L157+M157</f>
        <v>23177735</v>
      </c>
      <c r="L157" s="842">
        <v>18188</v>
      </c>
      <c r="M157" s="842">
        <v>23159547</v>
      </c>
      <c r="N157" s="842">
        <f>O157+R157+U157</f>
        <v>1768383</v>
      </c>
      <c r="O157" s="842">
        <f>P157+Q157</f>
        <v>0</v>
      </c>
      <c r="P157" s="842">
        <v>0</v>
      </c>
      <c r="Q157" s="842">
        <v>0</v>
      </c>
      <c r="R157" s="842">
        <f>S157+T157</f>
        <v>1768383</v>
      </c>
      <c r="S157" s="842">
        <v>3209</v>
      </c>
      <c r="T157" s="842">
        <v>1765174</v>
      </c>
      <c r="U157" s="842">
        <f>V157+W157</f>
        <v>0</v>
      </c>
      <c r="V157" s="842">
        <v>0</v>
      </c>
      <c r="W157" s="842">
        <v>0</v>
      </c>
    </row>
    <row r="158" spans="1:23" s="701" customFormat="1" ht="15" customHeight="1">
      <c r="A158" s="848"/>
      <c r="B158" s="844"/>
      <c r="C158" s="846"/>
      <c r="D158" s="872"/>
      <c r="E158" s="848"/>
      <c r="F158" s="848"/>
      <c r="G158" s="844"/>
      <c r="H158" s="700">
        <v>53095638</v>
      </c>
      <c r="I158" s="700">
        <v>17843405</v>
      </c>
      <c r="J158" s="842"/>
      <c r="K158" s="842"/>
      <c r="L158" s="842"/>
      <c r="M158" s="842"/>
      <c r="N158" s="842"/>
      <c r="O158" s="842"/>
      <c r="P158" s="842"/>
      <c r="Q158" s="842"/>
      <c r="R158" s="842"/>
      <c r="S158" s="842"/>
      <c r="T158" s="842"/>
      <c r="U158" s="842"/>
      <c r="V158" s="842"/>
      <c r="W158" s="842"/>
    </row>
    <row r="159" spans="1:23" s="701" customFormat="1" ht="15" customHeight="1">
      <c r="A159" s="848"/>
      <c r="B159" s="844"/>
      <c r="C159" s="846"/>
      <c r="D159" s="872"/>
      <c r="E159" s="848"/>
      <c r="F159" s="848"/>
      <c r="G159" s="844"/>
      <c r="H159" s="700">
        <v>0</v>
      </c>
      <c r="I159" s="700">
        <v>0</v>
      </c>
      <c r="J159" s="457">
        <f>K159+N159</f>
        <v>778359</v>
      </c>
      <c r="K159" s="457">
        <f>L159+M159</f>
        <v>706667</v>
      </c>
      <c r="L159" s="458">
        <v>62946</v>
      </c>
      <c r="M159" s="458">
        <v>643721</v>
      </c>
      <c r="N159" s="457">
        <f>O159+R159+U159</f>
        <v>71692</v>
      </c>
      <c r="O159" s="457">
        <f>P159+Q159</f>
        <v>0</v>
      </c>
      <c r="P159" s="458">
        <v>0</v>
      </c>
      <c r="Q159" s="458">
        <v>0</v>
      </c>
      <c r="R159" s="457">
        <f>S159+T159</f>
        <v>71692</v>
      </c>
      <c r="S159" s="458">
        <v>17875</v>
      </c>
      <c r="T159" s="458">
        <v>53817</v>
      </c>
      <c r="U159" s="457">
        <f>V159+W159</f>
        <v>0</v>
      </c>
      <c r="V159" s="458">
        <v>0</v>
      </c>
      <c r="W159" s="458">
        <v>0</v>
      </c>
    </row>
    <row r="160" spans="1:23" s="701" customFormat="1" ht="15" customHeight="1">
      <c r="A160" s="848"/>
      <c r="B160" s="844"/>
      <c r="C160" s="846"/>
      <c r="D160" s="872"/>
      <c r="E160" s="848"/>
      <c r="F160" s="848"/>
      <c r="G160" s="844"/>
      <c r="H160" s="700">
        <v>9439899</v>
      </c>
      <c r="I160" s="700">
        <v>7599824</v>
      </c>
      <c r="J160" s="842">
        <f>J157+J159</f>
        <v>25724477</v>
      </c>
      <c r="K160" s="842">
        <f aca="true" t="shared" si="28" ref="K160:W160">K157+K159</f>
        <v>23884402</v>
      </c>
      <c r="L160" s="842">
        <f t="shared" si="28"/>
        <v>81134</v>
      </c>
      <c r="M160" s="842">
        <f t="shared" si="28"/>
        <v>23803268</v>
      </c>
      <c r="N160" s="842">
        <f t="shared" si="28"/>
        <v>1840075</v>
      </c>
      <c r="O160" s="842">
        <f t="shared" si="28"/>
        <v>0</v>
      </c>
      <c r="P160" s="842">
        <f t="shared" si="28"/>
        <v>0</v>
      </c>
      <c r="Q160" s="842">
        <f t="shared" si="28"/>
        <v>0</v>
      </c>
      <c r="R160" s="842">
        <f t="shared" si="28"/>
        <v>1840075</v>
      </c>
      <c r="S160" s="842">
        <f t="shared" si="28"/>
        <v>21084</v>
      </c>
      <c r="T160" s="842">
        <f t="shared" si="28"/>
        <v>1818991</v>
      </c>
      <c r="U160" s="842">
        <f t="shared" si="28"/>
        <v>0</v>
      </c>
      <c r="V160" s="842">
        <f t="shared" si="28"/>
        <v>0</v>
      </c>
      <c r="W160" s="842">
        <f t="shared" si="28"/>
        <v>0</v>
      </c>
    </row>
    <row r="161" spans="1:23" s="701" customFormat="1" ht="15" customHeight="1">
      <c r="A161" s="848"/>
      <c r="B161" s="844"/>
      <c r="C161" s="846"/>
      <c r="D161" s="872"/>
      <c r="E161" s="848"/>
      <c r="F161" s="848"/>
      <c r="G161" s="844"/>
      <c r="H161" s="700">
        <v>0</v>
      </c>
      <c r="I161" s="700">
        <v>0</v>
      </c>
      <c r="J161" s="842"/>
      <c r="K161" s="842"/>
      <c r="L161" s="842"/>
      <c r="M161" s="842"/>
      <c r="N161" s="842"/>
      <c r="O161" s="842"/>
      <c r="P161" s="842"/>
      <c r="Q161" s="842"/>
      <c r="R161" s="842"/>
      <c r="S161" s="842"/>
      <c r="T161" s="842"/>
      <c r="U161" s="842"/>
      <c r="V161" s="842"/>
      <c r="W161" s="842"/>
    </row>
    <row r="162" spans="1:23" s="701" customFormat="1" ht="15.75" customHeight="1">
      <c r="A162" s="848">
        <v>20</v>
      </c>
      <c r="B162" s="844" t="s">
        <v>524</v>
      </c>
      <c r="C162" s="846" t="s">
        <v>1018</v>
      </c>
      <c r="D162" s="872" t="s">
        <v>1024</v>
      </c>
      <c r="E162" s="848" t="s">
        <v>991</v>
      </c>
      <c r="F162" s="848" t="s">
        <v>992</v>
      </c>
      <c r="G162" s="844" t="s">
        <v>631</v>
      </c>
      <c r="H162" s="700">
        <f>H163+H164+H165+H166</f>
        <v>75471634</v>
      </c>
      <c r="I162" s="700">
        <f>I163+I164+I165+I166</f>
        <v>38739812</v>
      </c>
      <c r="J162" s="842">
        <f>K162+N162</f>
        <v>34978824</v>
      </c>
      <c r="K162" s="842">
        <f>L162+M162</f>
        <v>24179256</v>
      </c>
      <c r="L162" s="842">
        <v>10570</v>
      </c>
      <c r="M162" s="842">
        <v>24168686</v>
      </c>
      <c r="N162" s="842">
        <f>O162+R162+U162</f>
        <v>10799568</v>
      </c>
      <c r="O162" s="842">
        <f>P162+Q162</f>
        <v>0</v>
      </c>
      <c r="P162" s="842">
        <v>0</v>
      </c>
      <c r="Q162" s="842">
        <v>0</v>
      </c>
      <c r="R162" s="842">
        <f>S162+T162</f>
        <v>9291024</v>
      </c>
      <c r="S162" s="842">
        <v>1865</v>
      </c>
      <c r="T162" s="842">
        <v>9289159</v>
      </c>
      <c r="U162" s="842">
        <f>V162+W162</f>
        <v>1508544</v>
      </c>
      <c r="V162" s="842">
        <v>0</v>
      </c>
      <c r="W162" s="842">
        <v>1508544</v>
      </c>
    </row>
    <row r="163" spans="1:23" s="701" customFormat="1" ht="15.75" customHeight="1">
      <c r="A163" s="848"/>
      <c r="B163" s="844"/>
      <c r="C163" s="846"/>
      <c r="D163" s="872"/>
      <c r="E163" s="848"/>
      <c r="F163" s="848"/>
      <c r="G163" s="844"/>
      <c r="H163" s="700">
        <v>52310706</v>
      </c>
      <c r="I163" s="700">
        <v>26592549</v>
      </c>
      <c r="J163" s="842"/>
      <c r="K163" s="842"/>
      <c r="L163" s="842"/>
      <c r="M163" s="842"/>
      <c r="N163" s="842"/>
      <c r="O163" s="842"/>
      <c r="P163" s="842"/>
      <c r="Q163" s="842"/>
      <c r="R163" s="842"/>
      <c r="S163" s="842"/>
      <c r="T163" s="842"/>
      <c r="U163" s="842"/>
      <c r="V163" s="842"/>
      <c r="W163" s="842"/>
    </row>
    <row r="164" spans="1:23" s="701" customFormat="1" ht="15.75" customHeight="1">
      <c r="A164" s="848"/>
      <c r="B164" s="844"/>
      <c r="C164" s="846"/>
      <c r="D164" s="872"/>
      <c r="E164" s="848"/>
      <c r="F164" s="848"/>
      <c r="G164" s="844"/>
      <c r="H164" s="700">
        <v>0</v>
      </c>
      <c r="I164" s="700">
        <v>0</v>
      </c>
      <c r="J164" s="457">
        <f>K164+N164</f>
        <v>1752998</v>
      </c>
      <c r="K164" s="457">
        <f>L164+M164</f>
        <v>1538901</v>
      </c>
      <c r="L164" s="458">
        <v>93412</v>
      </c>
      <c r="M164" s="458">
        <v>1445489</v>
      </c>
      <c r="N164" s="457">
        <f>O164+R164+U164</f>
        <v>214097</v>
      </c>
      <c r="O164" s="457">
        <f>P164+Q164</f>
        <v>0</v>
      </c>
      <c r="P164" s="458">
        <v>0</v>
      </c>
      <c r="Q164" s="458">
        <v>0</v>
      </c>
      <c r="R164" s="457">
        <f>S164+T164</f>
        <v>18097</v>
      </c>
      <c r="S164" s="458">
        <v>16697</v>
      </c>
      <c r="T164" s="458">
        <v>1400</v>
      </c>
      <c r="U164" s="457">
        <f>V164+W164</f>
        <v>196000</v>
      </c>
      <c r="V164" s="458">
        <v>0</v>
      </c>
      <c r="W164" s="458">
        <v>196000</v>
      </c>
    </row>
    <row r="165" spans="1:23" s="701" customFormat="1" ht="15.75" customHeight="1">
      <c r="A165" s="848"/>
      <c r="B165" s="844"/>
      <c r="C165" s="846"/>
      <c r="D165" s="872"/>
      <c r="E165" s="848"/>
      <c r="F165" s="848"/>
      <c r="G165" s="844"/>
      <c r="H165" s="700">
        <v>20596384</v>
      </c>
      <c r="I165" s="700">
        <v>11287263</v>
      </c>
      <c r="J165" s="842">
        <f>J162+J164</f>
        <v>36731822</v>
      </c>
      <c r="K165" s="842">
        <f aca="true" t="shared" si="29" ref="K165:W165">K162+K164</f>
        <v>25718157</v>
      </c>
      <c r="L165" s="842">
        <f t="shared" si="29"/>
        <v>103982</v>
      </c>
      <c r="M165" s="842">
        <f t="shared" si="29"/>
        <v>25614175</v>
      </c>
      <c r="N165" s="842">
        <f t="shared" si="29"/>
        <v>11013665</v>
      </c>
      <c r="O165" s="842">
        <f t="shared" si="29"/>
        <v>0</v>
      </c>
      <c r="P165" s="842">
        <f t="shared" si="29"/>
        <v>0</v>
      </c>
      <c r="Q165" s="842">
        <f t="shared" si="29"/>
        <v>0</v>
      </c>
      <c r="R165" s="842">
        <f t="shared" si="29"/>
        <v>9309121</v>
      </c>
      <c r="S165" s="842">
        <f t="shared" si="29"/>
        <v>18562</v>
      </c>
      <c r="T165" s="842">
        <f t="shared" si="29"/>
        <v>9290559</v>
      </c>
      <c r="U165" s="842">
        <f t="shared" si="29"/>
        <v>1704544</v>
      </c>
      <c r="V165" s="842">
        <f t="shared" si="29"/>
        <v>0</v>
      </c>
      <c r="W165" s="842">
        <f t="shared" si="29"/>
        <v>1704544</v>
      </c>
    </row>
    <row r="166" spans="1:23" s="701" customFormat="1" ht="15.75" customHeight="1">
      <c r="A166" s="848"/>
      <c r="B166" s="844"/>
      <c r="C166" s="846"/>
      <c r="D166" s="872"/>
      <c r="E166" s="848"/>
      <c r="F166" s="848"/>
      <c r="G166" s="844"/>
      <c r="H166" s="700">
        <v>2564544</v>
      </c>
      <c r="I166" s="700">
        <v>860000</v>
      </c>
      <c r="J166" s="842"/>
      <c r="K166" s="842"/>
      <c r="L166" s="842"/>
      <c r="M166" s="842"/>
      <c r="N166" s="842"/>
      <c r="O166" s="842"/>
      <c r="P166" s="842"/>
      <c r="Q166" s="842"/>
      <c r="R166" s="842"/>
      <c r="S166" s="842"/>
      <c r="T166" s="842"/>
      <c r="U166" s="842"/>
      <c r="V166" s="842"/>
      <c r="W166" s="842"/>
    </row>
    <row r="167" spans="1:23" s="701" customFormat="1" ht="15" customHeight="1">
      <c r="A167" s="848">
        <v>21</v>
      </c>
      <c r="B167" s="844" t="s">
        <v>524</v>
      </c>
      <c r="C167" s="846" t="s">
        <v>1018</v>
      </c>
      <c r="D167" s="872" t="s">
        <v>1025</v>
      </c>
      <c r="E167" s="848" t="s">
        <v>991</v>
      </c>
      <c r="F167" s="848" t="s">
        <v>992</v>
      </c>
      <c r="G167" s="844" t="s">
        <v>631</v>
      </c>
      <c r="H167" s="700">
        <f>H168+H169+H170+H171</f>
        <v>17405259</v>
      </c>
      <c r="I167" s="700">
        <f>I168+I169+I170+I171</f>
        <v>1068318</v>
      </c>
      <c r="J167" s="842">
        <f>K167+N167</f>
        <v>16219351</v>
      </c>
      <c r="K167" s="842">
        <f>L167+M167</f>
        <v>14694521</v>
      </c>
      <c r="L167" s="842">
        <v>49979</v>
      </c>
      <c r="M167" s="842">
        <v>14644542</v>
      </c>
      <c r="N167" s="842">
        <f>O167+R167+U167</f>
        <v>1524830</v>
      </c>
      <c r="O167" s="842">
        <f>P167+Q167</f>
        <v>0</v>
      </c>
      <c r="P167" s="842">
        <v>0</v>
      </c>
      <c r="Q167" s="842">
        <v>0</v>
      </c>
      <c r="R167" s="842">
        <f>S167+T167</f>
        <v>1524830</v>
      </c>
      <c r="S167" s="842">
        <v>8817</v>
      </c>
      <c r="T167" s="842">
        <v>1516013</v>
      </c>
      <c r="U167" s="842">
        <f>V167+W167</f>
        <v>0</v>
      </c>
      <c r="V167" s="842">
        <v>0</v>
      </c>
      <c r="W167" s="842">
        <v>0</v>
      </c>
    </row>
    <row r="168" spans="1:23" s="701" customFormat="1" ht="15" customHeight="1">
      <c r="A168" s="848"/>
      <c r="B168" s="844"/>
      <c r="C168" s="846"/>
      <c r="D168" s="872"/>
      <c r="E168" s="848"/>
      <c r="F168" s="848"/>
      <c r="G168" s="844"/>
      <c r="H168" s="700">
        <v>14794470</v>
      </c>
      <c r="I168" s="700">
        <v>0</v>
      </c>
      <c r="J168" s="842"/>
      <c r="K168" s="842"/>
      <c r="L168" s="842"/>
      <c r="M168" s="842"/>
      <c r="N168" s="842"/>
      <c r="O168" s="842"/>
      <c r="P168" s="842"/>
      <c r="Q168" s="842"/>
      <c r="R168" s="842"/>
      <c r="S168" s="842"/>
      <c r="T168" s="842"/>
      <c r="U168" s="842"/>
      <c r="V168" s="842"/>
      <c r="W168" s="842"/>
    </row>
    <row r="169" spans="1:23" s="701" customFormat="1" ht="15" customHeight="1">
      <c r="A169" s="848"/>
      <c r="B169" s="844"/>
      <c r="C169" s="846"/>
      <c r="D169" s="872"/>
      <c r="E169" s="848"/>
      <c r="F169" s="848"/>
      <c r="G169" s="844"/>
      <c r="H169" s="700">
        <v>0</v>
      </c>
      <c r="I169" s="700">
        <v>0</v>
      </c>
      <c r="J169" s="457">
        <f>K169+N169</f>
        <v>117590</v>
      </c>
      <c r="K169" s="457">
        <f>L169+M169</f>
        <v>99949</v>
      </c>
      <c r="L169" s="458">
        <v>99949</v>
      </c>
      <c r="M169" s="458">
        <v>0</v>
      </c>
      <c r="N169" s="457">
        <f>O169+R169+U169</f>
        <v>17641</v>
      </c>
      <c r="O169" s="457">
        <f>P169+Q169</f>
        <v>0</v>
      </c>
      <c r="P169" s="458">
        <v>0</v>
      </c>
      <c r="Q169" s="458">
        <v>0</v>
      </c>
      <c r="R169" s="457">
        <f>S169+T169</f>
        <v>17641</v>
      </c>
      <c r="S169" s="458">
        <v>17641</v>
      </c>
      <c r="T169" s="458">
        <v>0</v>
      </c>
      <c r="U169" s="457">
        <f>V169+W169</f>
        <v>0</v>
      </c>
      <c r="V169" s="458">
        <v>0</v>
      </c>
      <c r="W169" s="458">
        <v>0</v>
      </c>
    </row>
    <row r="170" spans="1:23" s="701" customFormat="1" ht="15" customHeight="1">
      <c r="A170" s="848"/>
      <c r="B170" s="844"/>
      <c r="C170" s="846"/>
      <c r="D170" s="872"/>
      <c r="E170" s="848"/>
      <c r="F170" s="848"/>
      <c r="G170" s="844"/>
      <c r="H170" s="700">
        <v>2610789</v>
      </c>
      <c r="I170" s="700">
        <v>1068318</v>
      </c>
      <c r="J170" s="842">
        <f>J167+J169</f>
        <v>16336941</v>
      </c>
      <c r="K170" s="842">
        <f aca="true" t="shared" si="30" ref="K170:W170">K167+K169</f>
        <v>14794470</v>
      </c>
      <c r="L170" s="842">
        <f t="shared" si="30"/>
        <v>149928</v>
      </c>
      <c r="M170" s="842">
        <f t="shared" si="30"/>
        <v>14644542</v>
      </c>
      <c r="N170" s="842">
        <f t="shared" si="30"/>
        <v>1542471</v>
      </c>
      <c r="O170" s="842">
        <f t="shared" si="30"/>
        <v>0</v>
      </c>
      <c r="P170" s="842">
        <f t="shared" si="30"/>
        <v>0</v>
      </c>
      <c r="Q170" s="842">
        <f t="shared" si="30"/>
        <v>0</v>
      </c>
      <c r="R170" s="842">
        <f t="shared" si="30"/>
        <v>1542471</v>
      </c>
      <c r="S170" s="842">
        <f t="shared" si="30"/>
        <v>26458</v>
      </c>
      <c r="T170" s="842">
        <f t="shared" si="30"/>
        <v>1516013</v>
      </c>
      <c r="U170" s="842">
        <f t="shared" si="30"/>
        <v>0</v>
      </c>
      <c r="V170" s="842">
        <f t="shared" si="30"/>
        <v>0</v>
      </c>
      <c r="W170" s="842">
        <f t="shared" si="30"/>
        <v>0</v>
      </c>
    </row>
    <row r="171" spans="1:23" s="701" customFormat="1" ht="15" customHeight="1">
      <c r="A171" s="848"/>
      <c r="B171" s="844"/>
      <c r="C171" s="846"/>
      <c r="D171" s="872"/>
      <c r="E171" s="848"/>
      <c r="F171" s="848"/>
      <c r="G171" s="844"/>
      <c r="H171" s="700">
        <v>0</v>
      </c>
      <c r="I171" s="700">
        <v>0</v>
      </c>
      <c r="J171" s="842"/>
      <c r="K171" s="842"/>
      <c r="L171" s="842"/>
      <c r="M171" s="842"/>
      <c r="N171" s="842"/>
      <c r="O171" s="842"/>
      <c r="P171" s="842"/>
      <c r="Q171" s="842"/>
      <c r="R171" s="842"/>
      <c r="S171" s="842"/>
      <c r="T171" s="842"/>
      <c r="U171" s="842"/>
      <c r="V171" s="842"/>
      <c r="W171" s="842"/>
    </row>
    <row r="172" spans="1:23" s="701" customFormat="1" ht="17.25" customHeight="1" hidden="1">
      <c r="A172" s="848"/>
      <c r="B172" s="844" t="s">
        <v>524</v>
      </c>
      <c r="C172" s="846" t="s">
        <v>1018</v>
      </c>
      <c r="D172" s="872" t="s">
        <v>1026</v>
      </c>
      <c r="E172" s="848" t="s">
        <v>991</v>
      </c>
      <c r="F172" s="848" t="s">
        <v>992</v>
      </c>
      <c r="G172" s="844" t="s">
        <v>627</v>
      </c>
      <c r="H172" s="700">
        <f>H173+H174+H175+H176</f>
        <v>0</v>
      </c>
      <c r="I172" s="700">
        <f>I173+I174+I175+I176</f>
        <v>0</v>
      </c>
      <c r="J172" s="874">
        <f>K172+N172</f>
        <v>0</v>
      </c>
      <c r="K172" s="874">
        <f>L172+M172</f>
        <v>0</v>
      </c>
      <c r="L172" s="873">
        <v>0</v>
      </c>
      <c r="M172" s="873">
        <v>0</v>
      </c>
      <c r="N172" s="874">
        <f>O172+R172+U172</f>
        <v>0</v>
      </c>
      <c r="O172" s="874">
        <f>P172+Q172</f>
        <v>0</v>
      </c>
      <c r="P172" s="873">
        <v>0</v>
      </c>
      <c r="Q172" s="873">
        <v>0</v>
      </c>
      <c r="R172" s="874">
        <f>S172+T172</f>
        <v>0</v>
      </c>
      <c r="S172" s="873">
        <v>0</v>
      </c>
      <c r="T172" s="873">
        <v>0</v>
      </c>
      <c r="U172" s="874">
        <f>V172+W172</f>
        <v>0</v>
      </c>
      <c r="V172" s="873">
        <v>0</v>
      </c>
      <c r="W172" s="873">
        <v>0</v>
      </c>
    </row>
    <row r="173" spans="1:23" s="701" customFormat="1" ht="17.25" customHeight="1" hidden="1">
      <c r="A173" s="848"/>
      <c r="B173" s="844"/>
      <c r="C173" s="846"/>
      <c r="D173" s="872"/>
      <c r="E173" s="848"/>
      <c r="F173" s="848"/>
      <c r="G173" s="844"/>
      <c r="H173" s="700">
        <v>0</v>
      </c>
      <c r="I173" s="700">
        <v>0</v>
      </c>
      <c r="J173" s="874"/>
      <c r="K173" s="874"/>
      <c r="L173" s="873"/>
      <c r="M173" s="873"/>
      <c r="N173" s="874"/>
      <c r="O173" s="874"/>
      <c r="P173" s="873"/>
      <c r="Q173" s="873"/>
      <c r="R173" s="874"/>
      <c r="S173" s="873"/>
      <c r="T173" s="873"/>
      <c r="U173" s="874"/>
      <c r="V173" s="873"/>
      <c r="W173" s="873"/>
    </row>
    <row r="174" spans="1:23" s="701" customFormat="1" ht="17.25" customHeight="1" hidden="1">
      <c r="A174" s="848"/>
      <c r="B174" s="844"/>
      <c r="C174" s="846"/>
      <c r="D174" s="872"/>
      <c r="E174" s="848"/>
      <c r="F174" s="848"/>
      <c r="G174" s="844"/>
      <c r="H174" s="700">
        <v>0</v>
      </c>
      <c r="I174" s="700">
        <v>0</v>
      </c>
      <c r="J174" s="874"/>
      <c r="K174" s="874"/>
      <c r="L174" s="873"/>
      <c r="M174" s="873"/>
      <c r="N174" s="874"/>
      <c r="O174" s="874"/>
      <c r="P174" s="873"/>
      <c r="Q174" s="873"/>
      <c r="R174" s="874"/>
      <c r="S174" s="873"/>
      <c r="T174" s="873"/>
      <c r="U174" s="874"/>
      <c r="V174" s="873"/>
      <c r="W174" s="873"/>
    </row>
    <row r="175" spans="1:23" s="701" customFormat="1" ht="17.25" customHeight="1" hidden="1">
      <c r="A175" s="848"/>
      <c r="B175" s="844"/>
      <c r="C175" s="846"/>
      <c r="D175" s="872"/>
      <c r="E175" s="848"/>
      <c r="F175" s="848"/>
      <c r="G175" s="844"/>
      <c r="H175" s="700">
        <v>0</v>
      </c>
      <c r="I175" s="700">
        <v>0</v>
      </c>
      <c r="J175" s="874"/>
      <c r="K175" s="874"/>
      <c r="L175" s="873"/>
      <c r="M175" s="873"/>
      <c r="N175" s="874"/>
      <c r="O175" s="874"/>
      <c r="P175" s="873"/>
      <c r="Q175" s="873"/>
      <c r="R175" s="874"/>
      <c r="S175" s="873"/>
      <c r="T175" s="873"/>
      <c r="U175" s="874"/>
      <c r="V175" s="873"/>
      <c r="W175" s="873"/>
    </row>
    <row r="176" spans="1:23" s="701" customFormat="1" ht="17.25" customHeight="1" hidden="1">
      <c r="A176" s="848"/>
      <c r="B176" s="844"/>
      <c r="C176" s="846"/>
      <c r="D176" s="872"/>
      <c r="E176" s="848"/>
      <c r="F176" s="848"/>
      <c r="G176" s="844"/>
      <c r="H176" s="700">
        <v>0</v>
      </c>
      <c r="I176" s="700">
        <v>0</v>
      </c>
      <c r="J176" s="874"/>
      <c r="K176" s="874"/>
      <c r="L176" s="873"/>
      <c r="M176" s="873"/>
      <c r="N176" s="874"/>
      <c r="O176" s="874"/>
      <c r="P176" s="873"/>
      <c r="Q176" s="873"/>
      <c r="R176" s="874"/>
      <c r="S176" s="873"/>
      <c r="T176" s="873"/>
      <c r="U176" s="874"/>
      <c r="V176" s="873"/>
      <c r="W176" s="873"/>
    </row>
    <row r="177" spans="1:23" s="701" customFormat="1" ht="15" customHeight="1" hidden="1">
      <c r="A177" s="848">
        <v>30</v>
      </c>
      <c r="B177" s="844" t="s">
        <v>524</v>
      </c>
      <c r="C177" s="846" t="s">
        <v>1018</v>
      </c>
      <c r="D177" s="872" t="s">
        <v>1027</v>
      </c>
      <c r="E177" s="848" t="s">
        <v>991</v>
      </c>
      <c r="F177" s="848" t="s">
        <v>992</v>
      </c>
      <c r="G177" s="844" t="s">
        <v>1028</v>
      </c>
      <c r="H177" s="700">
        <f>H178+H179+H180+H181</f>
        <v>75566538</v>
      </c>
      <c r="I177" s="700">
        <f>I178+I179+I180+I181</f>
        <v>790890</v>
      </c>
      <c r="J177" s="842">
        <f>K177+N177</f>
        <v>963522</v>
      </c>
      <c r="K177" s="842">
        <f>L177+M177</f>
        <v>0</v>
      </c>
      <c r="L177" s="842">
        <v>0</v>
      </c>
      <c r="M177" s="842">
        <v>0</v>
      </c>
      <c r="N177" s="842">
        <f>O177+R177+U177</f>
        <v>963522</v>
      </c>
      <c r="O177" s="842">
        <f>P177+Q177</f>
        <v>0</v>
      </c>
      <c r="P177" s="842">
        <v>0</v>
      </c>
      <c r="Q177" s="842">
        <v>0</v>
      </c>
      <c r="R177" s="842">
        <f>S177+T177</f>
        <v>963522</v>
      </c>
      <c r="S177" s="842">
        <v>0</v>
      </c>
      <c r="T177" s="842">
        <v>963522</v>
      </c>
      <c r="U177" s="842">
        <f>V177+W177</f>
        <v>0</v>
      </c>
      <c r="V177" s="842">
        <v>0</v>
      </c>
      <c r="W177" s="842">
        <v>0</v>
      </c>
    </row>
    <row r="178" spans="1:23" s="701" customFormat="1" ht="15" customHeight="1" hidden="1">
      <c r="A178" s="848"/>
      <c r="B178" s="844"/>
      <c r="C178" s="846"/>
      <c r="D178" s="872"/>
      <c r="E178" s="848"/>
      <c r="F178" s="848"/>
      <c r="G178" s="844"/>
      <c r="H178" s="700">
        <v>64231557</v>
      </c>
      <c r="I178" s="700">
        <v>0</v>
      </c>
      <c r="J178" s="842"/>
      <c r="K178" s="842"/>
      <c r="L178" s="842"/>
      <c r="M178" s="842"/>
      <c r="N178" s="842"/>
      <c r="O178" s="842"/>
      <c r="P178" s="842"/>
      <c r="Q178" s="842"/>
      <c r="R178" s="842"/>
      <c r="S178" s="842"/>
      <c r="T178" s="842"/>
      <c r="U178" s="842"/>
      <c r="V178" s="842"/>
      <c r="W178" s="842"/>
    </row>
    <row r="179" spans="1:23" s="701" customFormat="1" ht="15" customHeight="1" hidden="1">
      <c r="A179" s="848"/>
      <c r="B179" s="844"/>
      <c r="C179" s="846"/>
      <c r="D179" s="872"/>
      <c r="E179" s="848"/>
      <c r="F179" s="848"/>
      <c r="G179" s="844"/>
      <c r="H179" s="700">
        <v>0</v>
      </c>
      <c r="I179" s="700">
        <v>0</v>
      </c>
      <c r="J179" s="457">
        <f>K179+N179</f>
        <v>0</v>
      </c>
      <c r="K179" s="457">
        <f>L179+M179</f>
        <v>0</v>
      </c>
      <c r="L179" s="458">
        <v>0</v>
      </c>
      <c r="M179" s="458">
        <v>0</v>
      </c>
      <c r="N179" s="457">
        <f>O179+R179+U179</f>
        <v>0</v>
      </c>
      <c r="O179" s="457">
        <f>P179+Q179</f>
        <v>0</v>
      </c>
      <c r="P179" s="458">
        <v>0</v>
      </c>
      <c r="Q179" s="458">
        <v>0</v>
      </c>
      <c r="R179" s="457">
        <f>S179+T179</f>
        <v>0</v>
      </c>
      <c r="S179" s="458">
        <v>0</v>
      </c>
      <c r="T179" s="458">
        <v>0</v>
      </c>
      <c r="U179" s="457">
        <f>V179+W179</f>
        <v>0</v>
      </c>
      <c r="V179" s="458">
        <v>0</v>
      </c>
      <c r="W179" s="458">
        <v>0</v>
      </c>
    </row>
    <row r="180" spans="1:23" s="701" customFormat="1" ht="15" customHeight="1" hidden="1">
      <c r="A180" s="848"/>
      <c r="B180" s="844"/>
      <c r="C180" s="846"/>
      <c r="D180" s="872"/>
      <c r="E180" s="848"/>
      <c r="F180" s="848"/>
      <c r="G180" s="844"/>
      <c r="H180" s="700">
        <v>11334981</v>
      </c>
      <c r="I180" s="700">
        <v>790890</v>
      </c>
      <c r="J180" s="842">
        <f>J177+J179</f>
        <v>963522</v>
      </c>
      <c r="K180" s="842">
        <f aca="true" t="shared" si="31" ref="K180:W180">K177+K179</f>
        <v>0</v>
      </c>
      <c r="L180" s="842">
        <f t="shared" si="31"/>
        <v>0</v>
      </c>
      <c r="M180" s="842">
        <f t="shared" si="31"/>
        <v>0</v>
      </c>
      <c r="N180" s="842">
        <f t="shared" si="31"/>
        <v>963522</v>
      </c>
      <c r="O180" s="842">
        <f t="shared" si="31"/>
        <v>0</v>
      </c>
      <c r="P180" s="842">
        <f t="shared" si="31"/>
        <v>0</v>
      </c>
      <c r="Q180" s="842">
        <f t="shared" si="31"/>
        <v>0</v>
      </c>
      <c r="R180" s="842">
        <f t="shared" si="31"/>
        <v>963522</v>
      </c>
      <c r="S180" s="842">
        <f t="shared" si="31"/>
        <v>0</v>
      </c>
      <c r="T180" s="842">
        <f t="shared" si="31"/>
        <v>963522</v>
      </c>
      <c r="U180" s="842">
        <f t="shared" si="31"/>
        <v>0</v>
      </c>
      <c r="V180" s="842">
        <f t="shared" si="31"/>
        <v>0</v>
      </c>
      <c r="W180" s="842">
        <f t="shared" si="31"/>
        <v>0</v>
      </c>
    </row>
    <row r="181" spans="1:23" s="701" customFormat="1" ht="15" customHeight="1" hidden="1">
      <c r="A181" s="848"/>
      <c r="B181" s="844"/>
      <c r="C181" s="846"/>
      <c r="D181" s="872"/>
      <c r="E181" s="848"/>
      <c r="F181" s="848"/>
      <c r="G181" s="844"/>
      <c r="H181" s="700">
        <v>0</v>
      </c>
      <c r="I181" s="700">
        <v>0</v>
      </c>
      <c r="J181" s="842"/>
      <c r="K181" s="842"/>
      <c r="L181" s="842"/>
      <c r="M181" s="842"/>
      <c r="N181" s="842"/>
      <c r="O181" s="842"/>
      <c r="P181" s="842"/>
      <c r="Q181" s="842"/>
      <c r="R181" s="842"/>
      <c r="S181" s="842"/>
      <c r="T181" s="842"/>
      <c r="U181" s="842"/>
      <c r="V181" s="842"/>
      <c r="W181" s="842"/>
    </row>
    <row r="182" spans="1:23" s="701" customFormat="1" ht="15" customHeight="1">
      <c r="A182" s="848">
        <v>22</v>
      </c>
      <c r="B182" s="845" t="s">
        <v>524</v>
      </c>
      <c r="C182" s="846" t="s">
        <v>1018</v>
      </c>
      <c r="D182" s="847" t="s">
        <v>1029</v>
      </c>
      <c r="E182" s="848" t="s">
        <v>991</v>
      </c>
      <c r="F182" s="848" t="s">
        <v>992</v>
      </c>
      <c r="G182" s="848" t="s">
        <v>1021</v>
      </c>
      <c r="H182" s="700">
        <f>H184+H183+H185+H186</f>
        <v>40871837</v>
      </c>
      <c r="I182" s="700">
        <f>I184+I183+I185+I186</f>
        <v>516600</v>
      </c>
      <c r="J182" s="842">
        <f>K182+N182</f>
        <v>2146865</v>
      </c>
      <c r="K182" s="842">
        <f>L182+M182</f>
        <v>0</v>
      </c>
      <c r="L182" s="842">
        <v>0</v>
      </c>
      <c r="M182" s="842">
        <v>0</v>
      </c>
      <c r="N182" s="842">
        <f>O182+R182+U182</f>
        <v>2146865</v>
      </c>
      <c r="O182" s="842">
        <f>P182+Q182</f>
        <v>0</v>
      </c>
      <c r="P182" s="842">
        <v>0</v>
      </c>
      <c r="Q182" s="842">
        <v>0</v>
      </c>
      <c r="R182" s="842">
        <f>S182+T182</f>
        <v>2146865</v>
      </c>
      <c r="S182" s="842">
        <v>0</v>
      </c>
      <c r="T182" s="842">
        <v>2146865</v>
      </c>
      <c r="U182" s="842">
        <f>V182+W182</f>
        <v>0</v>
      </c>
      <c r="V182" s="842">
        <v>0</v>
      </c>
      <c r="W182" s="842">
        <v>0</v>
      </c>
    </row>
    <row r="183" spans="1:23" s="701" customFormat="1" ht="15" customHeight="1">
      <c r="A183" s="848"/>
      <c r="B183" s="845"/>
      <c r="C183" s="846"/>
      <c r="D183" s="847"/>
      <c r="E183" s="848"/>
      <c r="F183" s="848"/>
      <c r="G183" s="848"/>
      <c r="H183" s="700">
        <v>34730606</v>
      </c>
      <c r="I183" s="700">
        <v>0</v>
      </c>
      <c r="J183" s="842"/>
      <c r="K183" s="842"/>
      <c r="L183" s="842"/>
      <c r="M183" s="842"/>
      <c r="N183" s="842"/>
      <c r="O183" s="842"/>
      <c r="P183" s="842"/>
      <c r="Q183" s="842"/>
      <c r="R183" s="842"/>
      <c r="S183" s="842"/>
      <c r="T183" s="842"/>
      <c r="U183" s="842"/>
      <c r="V183" s="842"/>
      <c r="W183" s="842"/>
    </row>
    <row r="184" spans="1:23" s="701" customFormat="1" ht="15" customHeight="1">
      <c r="A184" s="848"/>
      <c r="B184" s="845"/>
      <c r="C184" s="846"/>
      <c r="D184" s="847"/>
      <c r="E184" s="848"/>
      <c r="F184" s="848"/>
      <c r="G184" s="848"/>
      <c r="H184" s="700">
        <v>0</v>
      </c>
      <c r="I184" s="700">
        <v>0</v>
      </c>
      <c r="J184" s="457">
        <f>K184+N184</f>
        <v>0</v>
      </c>
      <c r="K184" s="457">
        <f>L184+M184</f>
        <v>0</v>
      </c>
      <c r="L184" s="458">
        <v>0</v>
      </c>
      <c r="M184" s="458">
        <v>0</v>
      </c>
      <c r="N184" s="457">
        <f>O184+R184+U184</f>
        <v>0</v>
      </c>
      <c r="O184" s="457">
        <f>P184+Q184</f>
        <v>0</v>
      </c>
      <c r="P184" s="458">
        <v>0</v>
      </c>
      <c r="Q184" s="458">
        <v>0</v>
      </c>
      <c r="R184" s="457">
        <f>S184+T184</f>
        <v>0</v>
      </c>
      <c r="S184" s="458">
        <v>0</v>
      </c>
      <c r="T184" s="458">
        <v>0</v>
      </c>
      <c r="U184" s="457">
        <f>V184+W184</f>
        <v>0</v>
      </c>
      <c r="V184" s="458">
        <v>0</v>
      </c>
      <c r="W184" s="458">
        <v>0</v>
      </c>
    </row>
    <row r="185" spans="1:23" s="701" customFormat="1" ht="15" customHeight="1">
      <c r="A185" s="848"/>
      <c r="B185" s="845"/>
      <c r="C185" s="846"/>
      <c r="D185" s="847"/>
      <c r="E185" s="848"/>
      <c r="F185" s="848"/>
      <c r="G185" s="848"/>
      <c r="H185" s="700">
        <v>6141231</v>
      </c>
      <c r="I185" s="700">
        <v>516600</v>
      </c>
      <c r="J185" s="842">
        <f>J182+J184</f>
        <v>2146865</v>
      </c>
      <c r="K185" s="842">
        <f aca="true" t="shared" si="32" ref="K185:W185">K182+K184</f>
        <v>0</v>
      </c>
      <c r="L185" s="842">
        <f t="shared" si="32"/>
        <v>0</v>
      </c>
      <c r="M185" s="842">
        <f t="shared" si="32"/>
        <v>0</v>
      </c>
      <c r="N185" s="842">
        <f t="shared" si="32"/>
        <v>2146865</v>
      </c>
      <c r="O185" s="842">
        <f t="shared" si="32"/>
        <v>0</v>
      </c>
      <c r="P185" s="842">
        <f t="shared" si="32"/>
        <v>0</v>
      </c>
      <c r="Q185" s="842">
        <f t="shared" si="32"/>
        <v>0</v>
      </c>
      <c r="R185" s="842">
        <f t="shared" si="32"/>
        <v>2146865</v>
      </c>
      <c r="S185" s="842">
        <f t="shared" si="32"/>
        <v>0</v>
      </c>
      <c r="T185" s="842">
        <f t="shared" si="32"/>
        <v>2146865</v>
      </c>
      <c r="U185" s="842">
        <f t="shared" si="32"/>
        <v>0</v>
      </c>
      <c r="V185" s="842">
        <f t="shared" si="32"/>
        <v>0</v>
      </c>
      <c r="W185" s="842">
        <f t="shared" si="32"/>
        <v>0</v>
      </c>
    </row>
    <row r="186" spans="1:23" s="701" customFormat="1" ht="15" customHeight="1">
      <c r="A186" s="848"/>
      <c r="B186" s="845"/>
      <c r="C186" s="846"/>
      <c r="D186" s="847"/>
      <c r="E186" s="848"/>
      <c r="F186" s="848"/>
      <c r="G186" s="848"/>
      <c r="H186" s="700">
        <v>0</v>
      </c>
      <c r="I186" s="700">
        <v>0</v>
      </c>
      <c r="J186" s="842"/>
      <c r="K186" s="842"/>
      <c r="L186" s="842"/>
      <c r="M186" s="842"/>
      <c r="N186" s="842"/>
      <c r="O186" s="842"/>
      <c r="P186" s="842"/>
      <c r="Q186" s="842"/>
      <c r="R186" s="842"/>
      <c r="S186" s="842"/>
      <c r="T186" s="842"/>
      <c r="U186" s="842"/>
      <c r="V186" s="842"/>
      <c r="W186" s="842"/>
    </row>
    <row r="187" spans="1:23" s="701" customFormat="1" ht="15" customHeight="1">
      <c r="A187" s="848">
        <v>23</v>
      </c>
      <c r="B187" s="844" t="s">
        <v>524</v>
      </c>
      <c r="C187" s="846" t="s">
        <v>1018</v>
      </c>
      <c r="D187" s="872" t="s">
        <v>1030</v>
      </c>
      <c r="E187" s="848" t="s">
        <v>991</v>
      </c>
      <c r="F187" s="848" t="s">
        <v>992</v>
      </c>
      <c r="G187" s="844" t="s">
        <v>1028</v>
      </c>
      <c r="H187" s="700">
        <f>H188+H189+H190+H191</f>
        <v>35224475</v>
      </c>
      <c r="I187" s="700">
        <f>I188+I189+I190+I191</f>
        <v>224475</v>
      </c>
      <c r="J187" s="842">
        <f>K187+N187</f>
        <v>1000000</v>
      </c>
      <c r="K187" s="842">
        <f>L187+M187</f>
        <v>0</v>
      </c>
      <c r="L187" s="842">
        <v>0</v>
      </c>
      <c r="M187" s="842">
        <v>0</v>
      </c>
      <c r="N187" s="842">
        <f>O187+R187+U187</f>
        <v>1000000</v>
      </c>
      <c r="O187" s="842">
        <f>P187+Q187</f>
        <v>0</v>
      </c>
      <c r="P187" s="842">
        <v>0</v>
      </c>
      <c r="Q187" s="842">
        <v>0</v>
      </c>
      <c r="R187" s="842">
        <f>S187+T187</f>
        <v>1000000</v>
      </c>
      <c r="S187" s="842">
        <v>0</v>
      </c>
      <c r="T187" s="842">
        <v>1000000</v>
      </c>
      <c r="U187" s="842">
        <f>V187+W187</f>
        <v>0</v>
      </c>
      <c r="V187" s="842">
        <v>0</v>
      </c>
      <c r="W187" s="842">
        <v>0</v>
      </c>
    </row>
    <row r="188" spans="1:23" s="701" customFormat="1" ht="15" customHeight="1">
      <c r="A188" s="848"/>
      <c r="B188" s="844"/>
      <c r="C188" s="846"/>
      <c r="D188" s="872"/>
      <c r="E188" s="848"/>
      <c r="F188" s="848"/>
      <c r="G188" s="844"/>
      <c r="H188" s="700">
        <v>29940804</v>
      </c>
      <c r="I188" s="700">
        <v>0</v>
      </c>
      <c r="J188" s="842"/>
      <c r="K188" s="842"/>
      <c r="L188" s="842"/>
      <c r="M188" s="842"/>
      <c r="N188" s="842"/>
      <c r="O188" s="842"/>
      <c r="P188" s="842"/>
      <c r="Q188" s="842"/>
      <c r="R188" s="842"/>
      <c r="S188" s="842"/>
      <c r="T188" s="842"/>
      <c r="U188" s="842"/>
      <c r="V188" s="842"/>
      <c r="W188" s="842"/>
    </row>
    <row r="189" spans="1:23" s="701" customFormat="1" ht="15" customHeight="1">
      <c r="A189" s="848"/>
      <c r="B189" s="844"/>
      <c r="C189" s="846"/>
      <c r="D189" s="872"/>
      <c r="E189" s="848"/>
      <c r="F189" s="848"/>
      <c r="G189" s="844"/>
      <c r="H189" s="700">
        <v>0</v>
      </c>
      <c r="I189" s="700">
        <v>0</v>
      </c>
      <c r="J189" s="457">
        <f>K189+N189</f>
        <v>0</v>
      </c>
      <c r="K189" s="457">
        <f>L189+M189</f>
        <v>0</v>
      </c>
      <c r="L189" s="458">
        <v>0</v>
      </c>
      <c r="M189" s="458">
        <v>0</v>
      </c>
      <c r="N189" s="457">
        <f>O189+R189+U189</f>
        <v>0</v>
      </c>
      <c r="O189" s="457">
        <f>P189+Q189</f>
        <v>0</v>
      </c>
      <c r="P189" s="458">
        <v>0</v>
      </c>
      <c r="Q189" s="458">
        <v>0</v>
      </c>
      <c r="R189" s="457">
        <f>S189+T189</f>
        <v>0</v>
      </c>
      <c r="S189" s="458">
        <v>0</v>
      </c>
      <c r="T189" s="458">
        <v>0</v>
      </c>
      <c r="U189" s="457">
        <f>V189+W189</f>
        <v>0</v>
      </c>
      <c r="V189" s="458">
        <v>0</v>
      </c>
      <c r="W189" s="458">
        <v>0</v>
      </c>
    </row>
    <row r="190" spans="1:23" s="701" customFormat="1" ht="15" customHeight="1">
      <c r="A190" s="848"/>
      <c r="B190" s="844"/>
      <c r="C190" s="846"/>
      <c r="D190" s="872"/>
      <c r="E190" s="848"/>
      <c r="F190" s="848"/>
      <c r="G190" s="844"/>
      <c r="H190" s="700">
        <v>5283671</v>
      </c>
      <c r="I190" s="700">
        <v>224475</v>
      </c>
      <c r="J190" s="842">
        <f>J187+J189</f>
        <v>1000000</v>
      </c>
      <c r="K190" s="842">
        <f aca="true" t="shared" si="33" ref="K190:W190">K187+K189</f>
        <v>0</v>
      </c>
      <c r="L190" s="842">
        <f t="shared" si="33"/>
        <v>0</v>
      </c>
      <c r="M190" s="842">
        <f t="shared" si="33"/>
        <v>0</v>
      </c>
      <c r="N190" s="842">
        <f t="shared" si="33"/>
        <v>1000000</v>
      </c>
      <c r="O190" s="842">
        <f t="shared" si="33"/>
        <v>0</v>
      </c>
      <c r="P190" s="842">
        <f t="shared" si="33"/>
        <v>0</v>
      </c>
      <c r="Q190" s="842">
        <f t="shared" si="33"/>
        <v>0</v>
      </c>
      <c r="R190" s="842">
        <f t="shared" si="33"/>
        <v>1000000</v>
      </c>
      <c r="S190" s="842">
        <f t="shared" si="33"/>
        <v>0</v>
      </c>
      <c r="T190" s="842">
        <f t="shared" si="33"/>
        <v>1000000</v>
      </c>
      <c r="U190" s="842">
        <f t="shared" si="33"/>
        <v>0</v>
      </c>
      <c r="V190" s="842">
        <f t="shared" si="33"/>
        <v>0</v>
      </c>
      <c r="W190" s="842">
        <f t="shared" si="33"/>
        <v>0</v>
      </c>
    </row>
    <row r="191" spans="1:23" s="701" customFormat="1" ht="15" customHeight="1">
      <c r="A191" s="848"/>
      <c r="B191" s="844"/>
      <c r="C191" s="846"/>
      <c r="D191" s="872"/>
      <c r="E191" s="848"/>
      <c r="F191" s="848"/>
      <c r="G191" s="844"/>
      <c r="H191" s="700">
        <v>0</v>
      </c>
      <c r="I191" s="700">
        <v>0</v>
      </c>
      <c r="J191" s="842"/>
      <c r="K191" s="842"/>
      <c r="L191" s="842"/>
      <c r="M191" s="842"/>
      <c r="N191" s="842"/>
      <c r="O191" s="842"/>
      <c r="P191" s="842"/>
      <c r="Q191" s="842"/>
      <c r="R191" s="842"/>
      <c r="S191" s="842"/>
      <c r="T191" s="842"/>
      <c r="U191" s="842"/>
      <c r="V191" s="842"/>
      <c r="W191" s="842"/>
    </row>
    <row r="192" spans="1:23" s="701" customFormat="1" ht="15" customHeight="1">
      <c r="A192" s="848">
        <v>24</v>
      </c>
      <c r="B192" s="844" t="s">
        <v>524</v>
      </c>
      <c r="C192" s="846" t="s">
        <v>1018</v>
      </c>
      <c r="D192" s="872" t="s">
        <v>1031</v>
      </c>
      <c r="E192" s="848" t="s">
        <v>991</v>
      </c>
      <c r="F192" s="848" t="s">
        <v>992</v>
      </c>
      <c r="G192" s="844" t="s">
        <v>1028</v>
      </c>
      <c r="H192" s="700">
        <f>H193+H194+H195+H196</f>
        <v>37921275</v>
      </c>
      <c r="I192" s="700">
        <f>I193+I194+I195+I196</f>
        <v>224475</v>
      </c>
      <c r="J192" s="842">
        <f>K192+N192</f>
        <v>1000000</v>
      </c>
      <c r="K192" s="842">
        <f>L192+M192</f>
        <v>0</v>
      </c>
      <c r="L192" s="842">
        <v>0</v>
      </c>
      <c r="M192" s="842">
        <v>0</v>
      </c>
      <c r="N192" s="842">
        <f>O192+R192+U192</f>
        <v>1000000</v>
      </c>
      <c r="O192" s="842">
        <f>P192+Q192</f>
        <v>0</v>
      </c>
      <c r="P192" s="842">
        <v>0</v>
      </c>
      <c r="Q192" s="842">
        <v>0</v>
      </c>
      <c r="R192" s="842">
        <f>S192+T192</f>
        <v>1000000</v>
      </c>
      <c r="S192" s="842">
        <v>0</v>
      </c>
      <c r="T192" s="842">
        <v>1000000</v>
      </c>
      <c r="U192" s="842">
        <f>V192+W192</f>
        <v>0</v>
      </c>
      <c r="V192" s="842">
        <v>0</v>
      </c>
      <c r="W192" s="842">
        <v>0</v>
      </c>
    </row>
    <row r="193" spans="1:23" s="701" customFormat="1" ht="15" customHeight="1">
      <c r="A193" s="848"/>
      <c r="B193" s="844"/>
      <c r="C193" s="846"/>
      <c r="D193" s="872"/>
      <c r="E193" s="848"/>
      <c r="F193" s="848"/>
      <c r="G193" s="844"/>
      <c r="H193" s="700">
        <v>32233084</v>
      </c>
      <c r="I193" s="700">
        <v>0</v>
      </c>
      <c r="J193" s="842"/>
      <c r="K193" s="842"/>
      <c r="L193" s="842"/>
      <c r="M193" s="842"/>
      <c r="N193" s="842"/>
      <c r="O193" s="842"/>
      <c r="P193" s="842"/>
      <c r="Q193" s="842"/>
      <c r="R193" s="842"/>
      <c r="S193" s="842"/>
      <c r="T193" s="842"/>
      <c r="U193" s="842"/>
      <c r="V193" s="842"/>
      <c r="W193" s="842"/>
    </row>
    <row r="194" spans="1:23" s="701" customFormat="1" ht="15" customHeight="1">
      <c r="A194" s="848"/>
      <c r="B194" s="844"/>
      <c r="C194" s="846"/>
      <c r="D194" s="872"/>
      <c r="E194" s="848"/>
      <c r="F194" s="848"/>
      <c r="G194" s="844"/>
      <c r="H194" s="700">
        <v>0</v>
      </c>
      <c r="I194" s="700">
        <v>0</v>
      </c>
      <c r="J194" s="457">
        <f>K194+N194</f>
        <v>0</v>
      </c>
      <c r="K194" s="457">
        <f>L194+M194</f>
        <v>0</v>
      </c>
      <c r="L194" s="458">
        <v>0</v>
      </c>
      <c r="M194" s="458">
        <v>0</v>
      </c>
      <c r="N194" s="457">
        <f>O194+R194+U194</f>
        <v>0</v>
      </c>
      <c r="O194" s="457">
        <f>P194+Q194</f>
        <v>0</v>
      </c>
      <c r="P194" s="458">
        <v>0</v>
      </c>
      <c r="Q194" s="458">
        <v>0</v>
      </c>
      <c r="R194" s="457">
        <f>S194+T194</f>
        <v>0</v>
      </c>
      <c r="S194" s="458">
        <v>0</v>
      </c>
      <c r="T194" s="458">
        <v>0</v>
      </c>
      <c r="U194" s="457">
        <f>V194+W194</f>
        <v>0</v>
      </c>
      <c r="V194" s="458">
        <v>0</v>
      </c>
      <c r="W194" s="458">
        <v>0</v>
      </c>
    </row>
    <row r="195" spans="1:23" s="701" customFormat="1" ht="15" customHeight="1">
      <c r="A195" s="848"/>
      <c r="B195" s="844"/>
      <c r="C195" s="846"/>
      <c r="D195" s="872"/>
      <c r="E195" s="848"/>
      <c r="F195" s="848"/>
      <c r="G195" s="844"/>
      <c r="H195" s="700">
        <v>5688191</v>
      </c>
      <c r="I195" s="700">
        <v>224475</v>
      </c>
      <c r="J195" s="842">
        <f>J192+J194</f>
        <v>1000000</v>
      </c>
      <c r="K195" s="842">
        <f aca="true" t="shared" si="34" ref="K195:W195">K192+K194</f>
        <v>0</v>
      </c>
      <c r="L195" s="842">
        <f t="shared" si="34"/>
        <v>0</v>
      </c>
      <c r="M195" s="842">
        <f t="shared" si="34"/>
        <v>0</v>
      </c>
      <c r="N195" s="842">
        <f t="shared" si="34"/>
        <v>1000000</v>
      </c>
      <c r="O195" s="842">
        <f t="shared" si="34"/>
        <v>0</v>
      </c>
      <c r="P195" s="842">
        <f t="shared" si="34"/>
        <v>0</v>
      </c>
      <c r="Q195" s="842">
        <f t="shared" si="34"/>
        <v>0</v>
      </c>
      <c r="R195" s="842">
        <f t="shared" si="34"/>
        <v>1000000</v>
      </c>
      <c r="S195" s="842">
        <f t="shared" si="34"/>
        <v>0</v>
      </c>
      <c r="T195" s="842">
        <f t="shared" si="34"/>
        <v>1000000</v>
      </c>
      <c r="U195" s="842">
        <f t="shared" si="34"/>
        <v>0</v>
      </c>
      <c r="V195" s="842">
        <f t="shared" si="34"/>
        <v>0</v>
      </c>
      <c r="W195" s="842">
        <f t="shared" si="34"/>
        <v>0</v>
      </c>
    </row>
    <row r="196" spans="1:23" s="701" customFormat="1" ht="15" customHeight="1">
      <c r="A196" s="848"/>
      <c r="B196" s="844"/>
      <c r="C196" s="846"/>
      <c r="D196" s="872"/>
      <c r="E196" s="848"/>
      <c r="F196" s="848"/>
      <c r="G196" s="844"/>
      <c r="H196" s="700">
        <v>0</v>
      </c>
      <c r="I196" s="700">
        <v>0</v>
      </c>
      <c r="J196" s="842"/>
      <c r="K196" s="842"/>
      <c r="L196" s="842"/>
      <c r="M196" s="842"/>
      <c r="N196" s="842"/>
      <c r="O196" s="842"/>
      <c r="P196" s="842"/>
      <c r="Q196" s="842"/>
      <c r="R196" s="842"/>
      <c r="S196" s="842"/>
      <c r="T196" s="842"/>
      <c r="U196" s="842"/>
      <c r="V196" s="842"/>
      <c r="W196" s="842"/>
    </row>
    <row r="197" spans="1:23" s="701" customFormat="1" ht="15" customHeight="1">
      <c r="A197" s="848">
        <v>25</v>
      </c>
      <c r="B197" s="844" t="s">
        <v>524</v>
      </c>
      <c r="C197" s="846" t="s">
        <v>1018</v>
      </c>
      <c r="D197" s="872" t="s">
        <v>1032</v>
      </c>
      <c r="E197" s="848" t="s">
        <v>991</v>
      </c>
      <c r="F197" s="848" t="s">
        <v>992</v>
      </c>
      <c r="G197" s="844" t="s">
        <v>623</v>
      </c>
      <c r="H197" s="700">
        <f>H198+H199+H200+H201</f>
        <v>6249270</v>
      </c>
      <c r="I197" s="700">
        <f>I198+I199+I200+I201</f>
        <v>232470</v>
      </c>
      <c r="J197" s="842">
        <f>K197+N197</f>
        <v>637391</v>
      </c>
      <c r="K197" s="842">
        <f>L197+M197</f>
        <v>0</v>
      </c>
      <c r="L197" s="842">
        <v>0</v>
      </c>
      <c r="M197" s="842">
        <v>0</v>
      </c>
      <c r="N197" s="842">
        <f>O197+R197+U197</f>
        <v>637391</v>
      </c>
      <c r="O197" s="842">
        <f>P197+Q197</f>
        <v>0</v>
      </c>
      <c r="P197" s="842">
        <v>0</v>
      </c>
      <c r="Q197" s="842">
        <v>0</v>
      </c>
      <c r="R197" s="842">
        <f>S197+T197</f>
        <v>637391</v>
      </c>
      <c r="S197" s="842">
        <v>0</v>
      </c>
      <c r="T197" s="842">
        <v>637391</v>
      </c>
      <c r="U197" s="842">
        <f>V197+W197</f>
        <v>0</v>
      </c>
      <c r="V197" s="842">
        <v>0</v>
      </c>
      <c r="W197" s="842">
        <v>0</v>
      </c>
    </row>
    <row r="198" spans="1:23" s="701" customFormat="1" ht="15" customHeight="1">
      <c r="A198" s="848"/>
      <c r="B198" s="844"/>
      <c r="C198" s="846"/>
      <c r="D198" s="872"/>
      <c r="E198" s="848"/>
      <c r="F198" s="848"/>
      <c r="G198" s="844"/>
      <c r="H198" s="700">
        <v>5311879</v>
      </c>
      <c r="I198" s="700">
        <v>0</v>
      </c>
      <c r="J198" s="842"/>
      <c r="K198" s="842"/>
      <c r="L198" s="842"/>
      <c r="M198" s="842"/>
      <c r="N198" s="842"/>
      <c r="O198" s="842"/>
      <c r="P198" s="842"/>
      <c r="Q198" s="842"/>
      <c r="R198" s="842"/>
      <c r="S198" s="842"/>
      <c r="T198" s="842"/>
      <c r="U198" s="842"/>
      <c r="V198" s="842"/>
      <c r="W198" s="842"/>
    </row>
    <row r="199" spans="1:23" s="701" customFormat="1" ht="15" customHeight="1">
      <c r="A199" s="848"/>
      <c r="B199" s="844"/>
      <c r="C199" s="846"/>
      <c r="D199" s="872"/>
      <c r="E199" s="848"/>
      <c r="F199" s="848"/>
      <c r="G199" s="844"/>
      <c r="H199" s="700">
        <v>0</v>
      </c>
      <c r="I199" s="700">
        <v>0</v>
      </c>
      <c r="J199" s="457">
        <f>K199+N199</f>
        <v>0</v>
      </c>
      <c r="K199" s="457">
        <f>L199+M199</f>
        <v>0</v>
      </c>
      <c r="L199" s="458">
        <v>0</v>
      </c>
      <c r="M199" s="458">
        <v>0</v>
      </c>
      <c r="N199" s="457">
        <f>O199+R199+U199</f>
        <v>0</v>
      </c>
      <c r="O199" s="457">
        <f>P199+Q199</f>
        <v>0</v>
      </c>
      <c r="P199" s="458">
        <v>0</v>
      </c>
      <c r="Q199" s="458">
        <v>0</v>
      </c>
      <c r="R199" s="457">
        <f>S199+T199</f>
        <v>0</v>
      </c>
      <c r="S199" s="458">
        <v>0</v>
      </c>
      <c r="T199" s="458">
        <v>0</v>
      </c>
      <c r="U199" s="457">
        <f>V199+W199</f>
        <v>0</v>
      </c>
      <c r="V199" s="458">
        <v>0</v>
      </c>
      <c r="W199" s="458">
        <v>0</v>
      </c>
    </row>
    <row r="200" spans="1:23" s="701" customFormat="1" ht="15" customHeight="1">
      <c r="A200" s="848"/>
      <c r="B200" s="844"/>
      <c r="C200" s="846"/>
      <c r="D200" s="872"/>
      <c r="E200" s="848"/>
      <c r="F200" s="848"/>
      <c r="G200" s="844"/>
      <c r="H200" s="700">
        <v>937391</v>
      </c>
      <c r="I200" s="700">
        <v>232470</v>
      </c>
      <c r="J200" s="842">
        <f>J197+J199</f>
        <v>637391</v>
      </c>
      <c r="K200" s="842">
        <f aca="true" t="shared" si="35" ref="K200:W200">K197+K199</f>
        <v>0</v>
      </c>
      <c r="L200" s="842">
        <f t="shared" si="35"/>
        <v>0</v>
      </c>
      <c r="M200" s="842">
        <f t="shared" si="35"/>
        <v>0</v>
      </c>
      <c r="N200" s="842">
        <f t="shared" si="35"/>
        <v>637391</v>
      </c>
      <c r="O200" s="842">
        <f t="shared" si="35"/>
        <v>0</v>
      </c>
      <c r="P200" s="842">
        <f t="shared" si="35"/>
        <v>0</v>
      </c>
      <c r="Q200" s="842">
        <f t="shared" si="35"/>
        <v>0</v>
      </c>
      <c r="R200" s="842">
        <f t="shared" si="35"/>
        <v>637391</v>
      </c>
      <c r="S200" s="842">
        <f t="shared" si="35"/>
        <v>0</v>
      </c>
      <c r="T200" s="842">
        <f t="shared" si="35"/>
        <v>637391</v>
      </c>
      <c r="U200" s="842">
        <f t="shared" si="35"/>
        <v>0</v>
      </c>
      <c r="V200" s="842">
        <f t="shared" si="35"/>
        <v>0</v>
      </c>
      <c r="W200" s="842">
        <f t="shared" si="35"/>
        <v>0</v>
      </c>
    </row>
    <row r="201" spans="1:23" s="701" customFormat="1" ht="15" customHeight="1">
      <c r="A201" s="848"/>
      <c r="B201" s="844"/>
      <c r="C201" s="846"/>
      <c r="D201" s="872"/>
      <c r="E201" s="848"/>
      <c r="F201" s="848"/>
      <c r="G201" s="844"/>
      <c r="H201" s="700">
        <v>0</v>
      </c>
      <c r="I201" s="700">
        <v>0</v>
      </c>
      <c r="J201" s="842"/>
      <c r="K201" s="842"/>
      <c r="L201" s="842"/>
      <c r="M201" s="842"/>
      <c r="N201" s="842"/>
      <c r="O201" s="842"/>
      <c r="P201" s="842"/>
      <c r="Q201" s="842"/>
      <c r="R201" s="842"/>
      <c r="S201" s="842"/>
      <c r="T201" s="842"/>
      <c r="U201" s="842"/>
      <c r="V201" s="842"/>
      <c r="W201" s="842"/>
    </row>
    <row r="202" spans="1:23" s="701" customFormat="1" ht="14.25" customHeight="1">
      <c r="A202" s="848">
        <v>26</v>
      </c>
      <c r="B202" s="844" t="s">
        <v>524</v>
      </c>
      <c r="C202" s="846" t="s">
        <v>1018</v>
      </c>
      <c r="D202" s="872" t="s">
        <v>1033</v>
      </c>
      <c r="E202" s="848" t="s">
        <v>991</v>
      </c>
      <c r="F202" s="848" t="s">
        <v>992</v>
      </c>
      <c r="G202" s="844" t="s">
        <v>1028</v>
      </c>
      <c r="H202" s="700">
        <f>H203+H204+H205+H206</f>
        <v>34982248</v>
      </c>
      <c r="I202" s="700">
        <f>I203+I204+I205+I206</f>
        <v>239520</v>
      </c>
      <c r="J202" s="842">
        <f>K202+N202</f>
        <v>1000000</v>
      </c>
      <c r="K202" s="842">
        <f>L202+M202</f>
        <v>0</v>
      </c>
      <c r="L202" s="842">
        <v>0</v>
      </c>
      <c r="M202" s="842">
        <v>0</v>
      </c>
      <c r="N202" s="842">
        <f>O202+R202+U202</f>
        <v>1000000</v>
      </c>
      <c r="O202" s="842">
        <f>P202+Q202</f>
        <v>0</v>
      </c>
      <c r="P202" s="842">
        <v>0</v>
      </c>
      <c r="Q202" s="842">
        <v>0</v>
      </c>
      <c r="R202" s="842">
        <f>S202+T202</f>
        <v>1000000</v>
      </c>
      <c r="S202" s="842">
        <v>0</v>
      </c>
      <c r="T202" s="842">
        <v>1000000</v>
      </c>
      <c r="U202" s="842">
        <f>V202+W202</f>
        <v>0</v>
      </c>
      <c r="V202" s="842">
        <v>0</v>
      </c>
      <c r="W202" s="842">
        <v>0</v>
      </c>
    </row>
    <row r="203" spans="1:23" s="701" customFormat="1" ht="14.25" customHeight="1">
      <c r="A203" s="848"/>
      <c r="B203" s="844"/>
      <c r="C203" s="846"/>
      <c r="D203" s="872"/>
      <c r="E203" s="848"/>
      <c r="F203" s="848"/>
      <c r="G203" s="844"/>
      <c r="H203" s="700">
        <v>29734911</v>
      </c>
      <c r="I203" s="700">
        <v>0</v>
      </c>
      <c r="J203" s="842"/>
      <c r="K203" s="842"/>
      <c r="L203" s="842"/>
      <c r="M203" s="842"/>
      <c r="N203" s="842"/>
      <c r="O203" s="842"/>
      <c r="P203" s="842"/>
      <c r="Q203" s="842"/>
      <c r="R203" s="842"/>
      <c r="S203" s="842"/>
      <c r="T203" s="842"/>
      <c r="U203" s="842"/>
      <c r="V203" s="842"/>
      <c r="W203" s="842"/>
    </row>
    <row r="204" spans="1:23" s="701" customFormat="1" ht="14.25" customHeight="1">
      <c r="A204" s="848"/>
      <c r="B204" s="844"/>
      <c r="C204" s="846"/>
      <c r="D204" s="872"/>
      <c r="E204" s="848"/>
      <c r="F204" s="848"/>
      <c r="G204" s="844"/>
      <c r="H204" s="700">
        <v>0</v>
      </c>
      <c r="I204" s="700">
        <v>0</v>
      </c>
      <c r="J204" s="457">
        <f>K204+N204</f>
        <v>0</v>
      </c>
      <c r="K204" s="457">
        <f>L204+M204</f>
        <v>0</v>
      </c>
      <c r="L204" s="458">
        <v>0</v>
      </c>
      <c r="M204" s="458">
        <v>0</v>
      </c>
      <c r="N204" s="457">
        <f>O204+R204+U204</f>
        <v>0</v>
      </c>
      <c r="O204" s="457">
        <f>P204+Q204</f>
        <v>0</v>
      </c>
      <c r="P204" s="458">
        <v>0</v>
      </c>
      <c r="Q204" s="458">
        <v>0</v>
      </c>
      <c r="R204" s="457">
        <f>S204+T204</f>
        <v>0</v>
      </c>
      <c r="S204" s="458">
        <v>0</v>
      </c>
      <c r="T204" s="458">
        <v>0</v>
      </c>
      <c r="U204" s="457">
        <f>V204+W204</f>
        <v>0</v>
      </c>
      <c r="V204" s="458">
        <v>0</v>
      </c>
      <c r="W204" s="458">
        <v>0</v>
      </c>
    </row>
    <row r="205" spans="1:23" s="701" customFormat="1" ht="14.25" customHeight="1">
      <c r="A205" s="848"/>
      <c r="B205" s="844"/>
      <c r="C205" s="846"/>
      <c r="D205" s="872"/>
      <c r="E205" s="848"/>
      <c r="F205" s="848"/>
      <c r="G205" s="844"/>
      <c r="H205" s="700">
        <v>5247337</v>
      </c>
      <c r="I205" s="700">
        <v>239520</v>
      </c>
      <c r="J205" s="842">
        <f>J202+J204</f>
        <v>1000000</v>
      </c>
      <c r="K205" s="842">
        <f aca="true" t="shared" si="36" ref="K205:W205">K202+K204</f>
        <v>0</v>
      </c>
      <c r="L205" s="842">
        <f t="shared" si="36"/>
        <v>0</v>
      </c>
      <c r="M205" s="842">
        <f t="shared" si="36"/>
        <v>0</v>
      </c>
      <c r="N205" s="842">
        <f t="shared" si="36"/>
        <v>1000000</v>
      </c>
      <c r="O205" s="842">
        <f t="shared" si="36"/>
        <v>0</v>
      </c>
      <c r="P205" s="842">
        <f t="shared" si="36"/>
        <v>0</v>
      </c>
      <c r="Q205" s="842">
        <f t="shared" si="36"/>
        <v>0</v>
      </c>
      <c r="R205" s="842">
        <f t="shared" si="36"/>
        <v>1000000</v>
      </c>
      <c r="S205" s="842">
        <f t="shared" si="36"/>
        <v>0</v>
      </c>
      <c r="T205" s="842">
        <f t="shared" si="36"/>
        <v>1000000</v>
      </c>
      <c r="U205" s="842">
        <f t="shared" si="36"/>
        <v>0</v>
      </c>
      <c r="V205" s="842">
        <f t="shared" si="36"/>
        <v>0</v>
      </c>
      <c r="W205" s="842">
        <f t="shared" si="36"/>
        <v>0</v>
      </c>
    </row>
    <row r="206" spans="1:23" s="701" customFormat="1" ht="14.25" customHeight="1">
      <c r="A206" s="848"/>
      <c r="B206" s="844"/>
      <c r="C206" s="846"/>
      <c r="D206" s="872"/>
      <c r="E206" s="848"/>
      <c r="F206" s="848"/>
      <c r="G206" s="844"/>
      <c r="H206" s="700">
        <v>0</v>
      </c>
      <c r="I206" s="700">
        <v>0</v>
      </c>
      <c r="J206" s="842"/>
      <c r="K206" s="842"/>
      <c r="L206" s="842"/>
      <c r="M206" s="842"/>
      <c r="N206" s="842"/>
      <c r="O206" s="842"/>
      <c r="P206" s="842"/>
      <c r="Q206" s="842"/>
      <c r="R206" s="842"/>
      <c r="S206" s="842"/>
      <c r="T206" s="842"/>
      <c r="U206" s="842"/>
      <c r="V206" s="842"/>
      <c r="W206" s="842"/>
    </row>
    <row r="207" spans="1:23" s="701" customFormat="1" ht="15" customHeight="1">
      <c r="A207" s="848">
        <v>27</v>
      </c>
      <c r="B207" s="844" t="s">
        <v>524</v>
      </c>
      <c r="C207" s="846" t="s">
        <v>1018</v>
      </c>
      <c r="D207" s="872" t="s">
        <v>1034</v>
      </c>
      <c r="E207" s="848" t="s">
        <v>991</v>
      </c>
      <c r="F207" s="848" t="s">
        <v>992</v>
      </c>
      <c r="G207" s="844" t="s">
        <v>1028</v>
      </c>
      <c r="H207" s="700">
        <f>H208+H209+H210+H211</f>
        <v>50899473</v>
      </c>
      <c r="I207" s="700">
        <f>I208+I209+I210+I211</f>
        <v>191133</v>
      </c>
      <c r="J207" s="842">
        <f>K207+N207</f>
        <v>1000000</v>
      </c>
      <c r="K207" s="842">
        <f>L207+M207</f>
        <v>0</v>
      </c>
      <c r="L207" s="842">
        <v>0</v>
      </c>
      <c r="M207" s="842">
        <v>0</v>
      </c>
      <c r="N207" s="842">
        <f>O207+R207+U207</f>
        <v>1000000</v>
      </c>
      <c r="O207" s="842">
        <f>P207+Q207</f>
        <v>0</v>
      </c>
      <c r="P207" s="842">
        <v>0</v>
      </c>
      <c r="Q207" s="842">
        <v>0</v>
      </c>
      <c r="R207" s="842">
        <f>S207+T207</f>
        <v>1000000</v>
      </c>
      <c r="S207" s="842">
        <v>0</v>
      </c>
      <c r="T207" s="842">
        <v>1000000</v>
      </c>
      <c r="U207" s="842">
        <f>V207+W207</f>
        <v>0</v>
      </c>
      <c r="V207" s="842">
        <v>0</v>
      </c>
      <c r="W207" s="842">
        <v>0</v>
      </c>
    </row>
    <row r="208" spans="1:23" s="701" customFormat="1" ht="15" customHeight="1">
      <c r="A208" s="848"/>
      <c r="B208" s="844"/>
      <c r="C208" s="846"/>
      <c r="D208" s="872"/>
      <c r="E208" s="848"/>
      <c r="F208" s="848"/>
      <c r="G208" s="844"/>
      <c r="H208" s="700">
        <v>43264552</v>
      </c>
      <c r="I208" s="700">
        <v>0</v>
      </c>
      <c r="J208" s="842"/>
      <c r="K208" s="842"/>
      <c r="L208" s="842"/>
      <c r="M208" s="842"/>
      <c r="N208" s="842"/>
      <c r="O208" s="842"/>
      <c r="P208" s="842"/>
      <c r="Q208" s="842"/>
      <c r="R208" s="842"/>
      <c r="S208" s="842"/>
      <c r="T208" s="842"/>
      <c r="U208" s="842"/>
      <c r="V208" s="842"/>
      <c r="W208" s="842"/>
    </row>
    <row r="209" spans="1:23" s="701" customFormat="1" ht="15" customHeight="1">
      <c r="A209" s="848"/>
      <c r="B209" s="844"/>
      <c r="C209" s="846"/>
      <c r="D209" s="872"/>
      <c r="E209" s="848"/>
      <c r="F209" s="848"/>
      <c r="G209" s="844"/>
      <c r="H209" s="700">
        <v>0</v>
      </c>
      <c r="I209" s="700">
        <v>0</v>
      </c>
      <c r="J209" s="457">
        <f>K209+N209</f>
        <v>0</v>
      </c>
      <c r="K209" s="457">
        <f>L209+M209</f>
        <v>0</v>
      </c>
      <c r="L209" s="458">
        <v>0</v>
      </c>
      <c r="M209" s="458">
        <v>0</v>
      </c>
      <c r="N209" s="457">
        <f>O209+R209+U209</f>
        <v>0</v>
      </c>
      <c r="O209" s="457">
        <f>P209+Q209</f>
        <v>0</v>
      </c>
      <c r="P209" s="458">
        <v>0</v>
      </c>
      <c r="Q209" s="458">
        <v>0</v>
      </c>
      <c r="R209" s="457">
        <f>S209+T209</f>
        <v>0</v>
      </c>
      <c r="S209" s="458">
        <v>0</v>
      </c>
      <c r="T209" s="458">
        <v>0</v>
      </c>
      <c r="U209" s="457">
        <f>V209+W209</f>
        <v>0</v>
      </c>
      <c r="V209" s="458">
        <v>0</v>
      </c>
      <c r="W209" s="458">
        <v>0</v>
      </c>
    </row>
    <row r="210" spans="1:23" s="701" customFormat="1" ht="15" customHeight="1">
      <c r="A210" s="848"/>
      <c r="B210" s="844"/>
      <c r="C210" s="846"/>
      <c r="D210" s="872"/>
      <c r="E210" s="848"/>
      <c r="F210" s="848"/>
      <c r="G210" s="844"/>
      <c r="H210" s="700">
        <v>7634921</v>
      </c>
      <c r="I210" s="700">
        <v>191133</v>
      </c>
      <c r="J210" s="842">
        <f>J207+J209</f>
        <v>1000000</v>
      </c>
      <c r="K210" s="842">
        <f aca="true" t="shared" si="37" ref="K210:W210">K207+K209</f>
        <v>0</v>
      </c>
      <c r="L210" s="842">
        <f t="shared" si="37"/>
        <v>0</v>
      </c>
      <c r="M210" s="842">
        <f t="shared" si="37"/>
        <v>0</v>
      </c>
      <c r="N210" s="842">
        <f t="shared" si="37"/>
        <v>1000000</v>
      </c>
      <c r="O210" s="842">
        <f t="shared" si="37"/>
        <v>0</v>
      </c>
      <c r="P210" s="842">
        <f t="shared" si="37"/>
        <v>0</v>
      </c>
      <c r="Q210" s="842">
        <f t="shared" si="37"/>
        <v>0</v>
      </c>
      <c r="R210" s="842">
        <f t="shared" si="37"/>
        <v>1000000</v>
      </c>
      <c r="S210" s="842">
        <f t="shared" si="37"/>
        <v>0</v>
      </c>
      <c r="T210" s="842">
        <f t="shared" si="37"/>
        <v>1000000</v>
      </c>
      <c r="U210" s="842">
        <f t="shared" si="37"/>
        <v>0</v>
      </c>
      <c r="V210" s="842">
        <f t="shared" si="37"/>
        <v>0</v>
      </c>
      <c r="W210" s="842">
        <f t="shared" si="37"/>
        <v>0</v>
      </c>
    </row>
    <row r="211" spans="1:23" s="701" customFormat="1" ht="15" customHeight="1">
      <c r="A211" s="848"/>
      <c r="B211" s="844"/>
      <c r="C211" s="846"/>
      <c r="D211" s="872"/>
      <c r="E211" s="848"/>
      <c r="F211" s="848"/>
      <c r="G211" s="844"/>
      <c r="H211" s="700">
        <v>0</v>
      </c>
      <c r="I211" s="700">
        <v>0</v>
      </c>
      <c r="J211" s="842"/>
      <c r="K211" s="842"/>
      <c r="L211" s="842"/>
      <c r="M211" s="842"/>
      <c r="N211" s="842"/>
      <c r="O211" s="842"/>
      <c r="P211" s="842"/>
      <c r="Q211" s="842"/>
      <c r="R211" s="842"/>
      <c r="S211" s="842"/>
      <c r="T211" s="842"/>
      <c r="U211" s="842"/>
      <c r="V211" s="842"/>
      <c r="W211" s="842"/>
    </row>
    <row r="212" spans="1:23" s="701" customFormat="1" ht="15" customHeight="1">
      <c r="A212" s="848">
        <v>28</v>
      </c>
      <c r="B212" s="844" t="s">
        <v>524</v>
      </c>
      <c r="C212" s="846" t="s">
        <v>1018</v>
      </c>
      <c r="D212" s="872" t="s">
        <v>1035</v>
      </c>
      <c r="E212" s="848" t="s">
        <v>991</v>
      </c>
      <c r="F212" s="848" t="s">
        <v>992</v>
      </c>
      <c r="G212" s="844" t="s">
        <v>623</v>
      </c>
      <c r="H212" s="700">
        <f>H213+H214+H215+H216</f>
        <v>17017200</v>
      </c>
      <c r="I212" s="700">
        <f>I213+I214+I215+I216</f>
        <v>27798</v>
      </c>
      <c r="J212" s="842">
        <f>K212+N212</f>
        <v>1000000</v>
      </c>
      <c r="K212" s="842">
        <f>L212+M212</f>
        <v>0</v>
      </c>
      <c r="L212" s="842">
        <v>0</v>
      </c>
      <c r="M212" s="842">
        <v>0</v>
      </c>
      <c r="N212" s="842">
        <f>O212+R212+U212</f>
        <v>1000000</v>
      </c>
      <c r="O212" s="842">
        <f>P212+Q212</f>
        <v>0</v>
      </c>
      <c r="P212" s="842">
        <v>0</v>
      </c>
      <c r="Q212" s="842">
        <v>0</v>
      </c>
      <c r="R212" s="842">
        <f>S212+T212</f>
        <v>1000000</v>
      </c>
      <c r="S212" s="842">
        <v>0</v>
      </c>
      <c r="T212" s="842">
        <v>1000000</v>
      </c>
      <c r="U212" s="842">
        <f>V212+W212</f>
        <v>0</v>
      </c>
      <c r="V212" s="842">
        <v>0</v>
      </c>
      <c r="W212" s="842">
        <v>0</v>
      </c>
    </row>
    <row r="213" spans="1:23" s="701" customFormat="1" ht="15" customHeight="1">
      <c r="A213" s="848"/>
      <c r="B213" s="844"/>
      <c r="C213" s="846"/>
      <c r="D213" s="872"/>
      <c r="E213" s="848"/>
      <c r="F213" s="848"/>
      <c r="G213" s="844"/>
      <c r="H213" s="700">
        <v>14464620</v>
      </c>
      <c r="I213" s="700">
        <v>0</v>
      </c>
      <c r="J213" s="842"/>
      <c r="K213" s="842"/>
      <c r="L213" s="842"/>
      <c r="M213" s="842"/>
      <c r="N213" s="842"/>
      <c r="O213" s="842"/>
      <c r="P213" s="842"/>
      <c r="Q213" s="842"/>
      <c r="R213" s="842"/>
      <c r="S213" s="842"/>
      <c r="T213" s="842"/>
      <c r="U213" s="842"/>
      <c r="V213" s="842"/>
      <c r="W213" s="842"/>
    </row>
    <row r="214" spans="1:23" s="701" customFormat="1" ht="15" customHeight="1">
      <c r="A214" s="848"/>
      <c r="B214" s="844"/>
      <c r="C214" s="846"/>
      <c r="D214" s="872"/>
      <c r="E214" s="848"/>
      <c r="F214" s="848"/>
      <c r="G214" s="844"/>
      <c r="H214" s="700">
        <v>0</v>
      </c>
      <c r="I214" s="700">
        <v>0</v>
      </c>
      <c r="J214" s="457">
        <f>K214+N214</f>
        <v>0</v>
      </c>
      <c r="K214" s="457">
        <f>L214+M214</f>
        <v>0</v>
      </c>
      <c r="L214" s="458">
        <v>0</v>
      </c>
      <c r="M214" s="458">
        <v>0</v>
      </c>
      <c r="N214" s="457">
        <f>O214+R214+U214</f>
        <v>0</v>
      </c>
      <c r="O214" s="457">
        <f>P214+Q214</f>
        <v>0</v>
      </c>
      <c r="P214" s="458">
        <v>0</v>
      </c>
      <c r="Q214" s="458">
        <v>0</v>
      </c>
      <c r="R214" s="457">
        <f>S214+T214</f>
        <v>0</v>
      </c>
      <c r="S214" s="458">
        <v>0</v>
      </c>
      <c r="T214" s="458">
        <v>0</v>
      </c>
      <c r="U214" s="457">
        <f>V214+W214</f>
        <v>0</v>
      </c>
      <c r="V214" s="458">
        <v>0</v>
      </c>
      <c r="W214" s="458">
        <v>0</v>
      </c>
    </row>
    <row r="215" spans="1:23" s="701" customFormat="1" ht="15" customHeight="1">
      <c r="A215" s="848"/>
      <c r="B215" s="844"/>
      <c r="C215" s="846"/>
      <c r="D215" s="872"/>
      <c r="E215" s="848"/>
      <c r="F215" s="848"/>
      <c r="G215" s="844"/>
      <c r="H215" s="700">
        <v>2552580</v>
      </c>
      <c r="I215" s="700">
        <v>27798</v>
      </c>
      <c r="J215" s="842">
        <f>J212+J214</f>
        <v>1000000</v>
      </c>
      <c r="K215" s="842">
        <f aca="true" t="shared" si="38" ref="K215:W215">K212+K214</f>
        <v>0</v>
      </c>
      <c r="L215" s="842">
        <f t="shared" si="38"/>
        <v>0</v>
      </c>
      <c r="M215" s="842">
        <f t="shared" si="38"/>
        <v>0</v>
      </c>
      <c r="N215" s="842">
        <f t="shared" si="38"/>
        <v>1000000</v>
      </c>
      <c r="O215" s="842">
        <f t="shared" si="38"/>
        <v>0</v>
      </c>
      <c r="P215" s="842">
        <f t="shared" si="38"/>
        <v>0</v>
      </c>
      <c r="Q215" s="842">
        <f t="shared" si="38"/>
        <v>0</v>
      </c>
      <c r="R215" s="842">
        <f t="shared" si="38"/>
        <v>1000000</v>
      </c>
      <c r="S215" s="842">
        <f t="shared" si="38"/>
        <v>0</v>
      </c>
      <c r="T215" s="842">
        <f t="shared" si="38"/>
        <v>1000000</v>
      </c>
      <c r="U215" s="842">
        <f t="shared" si="38"/>
        <v>0</v>
      </c>
      <c r="V215" s="842">
        <f t="shared" si="38"/>
        <v>0</v>
      </c>
      <c r="W215" s="842">
        <f t="shared" si="38"/>
        <v>0</v>
      </c>
    </row>
    <row r="216" spans="1:23" s="701" customFormat="1" ht="15" customHeight="1">
      <c r="A216" s="848"/>
      <c r="B216" s="844"/>
      <c r="C216" s="846"/>
      <c r="D216" s="872"/>
      <c r="E216" s="848"/>
      <c r="F216" s="848"/>
      <c r="G216" s="844"/>
      <c r="H216" s="700">
        <v>0</v>
      </c>
      <c r="I216" s="700">
        <v>0</v>
      </c>
      <c r="J216" s="842"/>
      <c r="K216" s="842"/>
      <c r="L216" s="842"/>
      <c r="M216" s="842"/>
      <c r="N216" s="842"/>
      <c r="O216" s="842"/>
      <c r="P216" s="842"/>
      <c r="Q216" s="842"/>
      <c r="R216" s="842"/>
      <c r="S216" s="842"/>
      <c r="T216" s="842"/>
      <c r="U216" s="842"/>
      <c r="V216" s="842"/>
      <c r="W216" s="842"/>
    </row>
    <row r="217" spans="1:23" s="701" customFormat="1" ht="14.25" customHeight="1" hidden="1">
      <c r="A217" s="848">
        <v>38</v>
      </c>
      <c r="B217" s="844" t="s">
        <v>524</v>
      </c>
      <c r="C217" s="846" t="s">
        <v>1018</v>
      </c>
      <c r="D217" s="872" t="s">
        <v>1036</v>
      </c>
      <c r="E217" s="848" t="s">
        <v>991</v>
      </c>
      <c r="F217" s="848" t="s">
        <v>992</v>
      </c>
      <c r="G217" s="844" t="s">
        <v>631</v>
      </c>
      <c r="H217" s="700">
        <f>H218+H219+H220+H221</f>
        <v>19706274</v>
      </c>
      <c r="I217" s="700">
        <f>I218+I219+I220+I221</f>
        <v>1697131</v>
      </c>
      <c r="J217" s="842">
        <f>K217+N217</f>
        <v>18009143</v>
      </c>
      <c r="K217" s="842">
        <f>L217+M217</f>
        <v>14498371</v>
      </c>
      <c r="L217" s="842">
        <v>43797</v>
      </c>
      <c r="M217" s="842">
        <v>14454574</v>
      </c>
      <c r="N217" s="842">
        <f>O217+R217+U217</f>
        <v>3510772</v>
      </c>
      <c r="O217" s="842">
        <f>P217+Q217</f>
        <v>0</v>
      </c>
      <c r="P217" s="842">
        <v>0</v>
      </c>
      <c r="Q217" s="842">
        <v>0</v>
      </c>
      <c r="R217" s="842">
        <f>S217+T217</f>
        <v>2129242</v>
      </c>
      <c r="S217" s="842">
        <v>7729</v>
      </c>
      <c r="T217" s="842">
        <v>2121513</v>
      </c>
      <c r="U217" s="842">
        <f>V217+W217</f>
        <v>1381530</v>
      </c>
      <c r="V217" s="842">
        <v>0</v>
      </c>
      <c r="W217" s="842">
        <v>1381530</v>
      </c>
    </row>
    <row r="218" spans="1:23" s="701" customFormat="1" ht="14.25" customHeight="1" hidden="1">
      <c r="A218" s="848"/>
      <c r="B218" s="844"/>
      <c r="C218" s="846"/>
      <c r="D218" s="872"/>
      <c r="E218" s="848"/>
      <c r="F218" s="848"/>
      <c r="G218" s="844"/>
      <c r="H218" s="700">
        <v>15770932</v>
      </c>
      <c r="I218" s="700">
        <v>1272561</v>
      </c>
      <c r="J218" s="842"/>
      <c r="K218" s="842"/>
      <c r="L218" s="842"/>
      <c r="M218" s="842"/>
      <c r="N218" s="842"/>
      <c r="O218" s="842"/>
      <c r="P218" s="842"/>
      <c r="Q218" s="842"/>
      <c r="R218" s="842"/>
      <c r="S218" s="842"/>
      <c r="T218" s="842"/>
      <c r="U218" s="842"/>
      <c r="V218" s="842"/>
      <c r="W218" s="842"/>
    </row>
    <row r="219" spans="1:23" s="701" customFormat="1" ht="14.25" customHeight="1" hidden="1">
      <c r="A219" s="848"/>
      <c r="B219" s="844"/>
      <c r="C219" s="846"/>
      <c r="D219" s="872"/>
      <c r="E219" s="848"/>
      <c r="F219" s="848"/>
      <c r="G219" s="844"/>
      <c r="H219" s="700">
        <v>0</v>
      </c>
      <c r="I219" s="700">
        <v>0</v>
      </c>
      <c r="J219" s="457">
        <f>K219+N219</f>
        <v>0</v>
      </c>
      <c r="K219" s="457">
        <f>L219+M219</f>
        <v>0</v>
      </c>
      <c r="L219" s="458">
        <v>0</v>
      </c>
      <c r="M219" s="458">
        <v>0</v>
      </c>
      <c r="N219" s="457">
        <f>O219+R219+U219</f>
        <v>0</v>
      </c>
      <c r="O219" s="457">
        <f>P219+Q219</f>
        <v>0</v>
      </c>
      <c r="P219" s="458">
        <v>0</v>
      </c>
      <c r="Q219" s="458">
        <v>0</v>
      </c>
      <c r="R219" s="457">
        <f>S219+T219</f>
        <v>0</v>
      </c>
      <c r="S219" s="458">
        <v>0</v>
      </c>
      <c r="T219" s="458">
        <v>0</v>
      </c>
      <c r="U219" s="457">
        <f>V219+W219</f>
        <v>0</v>
      </c>
      <c r="V219" s="458">
        <v>0</v>
      </c>
      <c r="W219" s="458">
        <v>0</v>
      </c>
    </row>
    <row r="220" spans="1:23" s="701" customFormat="1" ht="14.25" customHeight="1" hidden="1">
      <c r="A220" s="848"/>
      <c r="B220" s="844"/>
      <c r="C220" s="846"/>
      <c r="D220" s="872"/>
      <c r="E220" s="848"/>
      <c r="F220" s="848"/>
      <c r="G220" s="844"/>
      <c r="H220" s="700">
        <v>2553812</v>
      </c>
      <c r="I220" s="700">
        <v>424570</v>
      </c>
      <c r="J220" s="842">
        <f>J217+J219</f>
        <v>18009143</v>
      </c>
      <c r="K220" s="842">
        <f aca="true" t="shared" si="39" ref="K220:W220">K217+K219</f>
        <v>14498371</v>
      </c>
      <c r="L220" s="842">
        <f t="shared" si="39"/>
        <v>43797</v>
      </c>
      <c r="M220" s="842">
        <f t="shared" si="39"/>
        <v>14454574</v>
      </c>
      <c r="N220" s="842">
        <f t="shared" si="39"/>
        <v>3510772</v>
      </c>
      <c r="O220" s="842">
        <f t="shared" si="39"/>
        <v>0</v>
      </c>
      <c r="P220" s="842">
        <f t="shared" si="39"/>
        <v>0</v>
      </c>
      <c r="Q220" s="842">
        <f t="shared" si="39"/>
        <v>0</v>
      </c>
      <c r="R220" s="842">
        <f t="shared" si="39"/>
        <v>2129242</v>
      </c>
      <c r="S220" s="842">
        <f t="shared" si="39"/>
        <v>7729</v>
      </c>
      <c r="T220" s="842">
        <f t="shared" si="39"/>
        <v>2121513</v>
      </c>
      <c r="U220" s="842">
        <f t="shared" si="39"/>
        <v>1381530</v>
      </c>
      <c r="V220" s="842">
        <f t="shared" si="39"/>
        <v>0</v>
      </c>
      <c r="W220" s="842">
        <f t="shared" si="39"/>
        <v>1381530</v>
      </c>
    </row>
    <row r="221" spans="1:23" s="701" customFormat="1" ht="14.25" customHeight="1" hidden="1">
      <c r="A221" s="848"/>
      <c r="B221" s="844"/>
      <c r="C221" s="846"/>
      <c r="D221" s="872"/>
      <c r="E221" s="848"/>
      <c r="F221" s="848"/>
      <c r="G221" s="844"/>
      <c r="H221" s="700">
        <v>1381530</v>
      </c>
      <c r="I221" s="700">
        <v>0</v>
      </c>
      <c r="J221" s="842"/>
      <c r="K221" s="842"/>
      <c r="L221" s="842"/>
      <c r="M221" s="842"/>
      <c r="N221" s="842"/>
      <c r="O221" s="842"/>
      <c r="P221" s="842"/>
      <c r="Q221" s="842"/>
      <c r="R221" s="842"/>
      <c r="S221" s="842"/>
      <c r="T221" s="842"/>
      <c r="U221" s="842"/>
      <c r="V221" s="842"/>
      <c r="W221" s="842"/>
    </row>
    <row r="222" spans="1:23" s="701" customFormat="1" ht="15" customHeight="1">
      <c r="A222" s="848">
        <v>29</v>
      </c>
      <c r="B222" s="844" t="s">
        <v>1037</v>
      </c>
      <c r="C222" s="846" t="s">
        <v>1038</v>
      </c>
      <c r="D222" s="872" t="s">
        <v>1039</v>
      </c>
      <c r="E222" s="848" t="s">
        <v>581</v>
      </c>
      <c r="F222" s="848" t="s">
        <v>1040</v>
      </c>
      <c r="G222" s="844" t="s">
        <v>606</v>
      </c>
      <c r="H222" s="700">
        <f>H223+H224+H225+H226</f>
        <v>5171992</v>
      </c>
      <c r="I222" s="700">
        <f>I223+I224+I225+I226</f>
        <v>265798</v>
      </c>
      <c r="J222" s="842">
        <f>K222+N222</f>
        <v>4829817</v>
      </c>
      <c r="K222" s="842">
        <f>L222+M222</f>
        <v>4105346</v>
      </c>
      <c r="L222" s="842">
        <v>205851</v>
      </c>
      <c r="M222" s="842">
        <v>3899495</v>
      </c>
      <c r="N222" s="842">
        <f>O222+R222+U222</f>
        <v>724471</v>
      </c>
      <c r="O222" s="842">
        <f>P222+Q222</f>
        <v>0</v>
      </c>
      <c r="P222" s="842">
        <v>0</v>
      </c>
      <c r="Q222" s="842">
        <v>0</v>
      </c>
      <c r="R222" s="842">
        <f>S222+T222</f>
        <v>724471</v>
      </c>
      <c r="S222" s="842">
        <v>36325</v>
      </c>
      <c r="T222" s="842">
        <v>688146</v>
      </c>
      <c r="U222" s="842">
        <f>V222+W222</f>
        <v>0</v>
      </c>
      <c r="V222" s="842">
        <v>0</v>
      </c>
      <c r="W222" s="842">
        <v>0</v>
      </c>
    </row>
    <row r="223" spans="1:23" s="701" customFormat="1" ht="15" customHeight="1">
      <c r="A223" s="848"/>
      <c r="B223" s="844"/>
      <c r="C223" s="846"/>
      <c r="D223" s="872"/>
      <c r="E223" s="848"/>
      <c r="F223" s="848"/>
      <c r="G223" s="844"/>
      <c r="H223" s="700">
        <v>4396194</v>
      </c>
      <c r="I223" s="700">
        <v>225928</v>
      </c>
      <c r="J223" s="842"/>
      <c r="K223" s="842"/>
      <c r="L223" s="842"/>
      <c r="M223" s="842"/>
      <c r="N223" s="842"/>
      <c r="O223" s="842"/>
      <c r="P223" s="842"/>
      <c r="Q223" s="842"/>
      <c r="R223" s="842"/>
      <c r="S223" s="842"/>
      <c r="T223" s="842"/>
      <c r="U223" s="842"/>
      <c r="V223" s="842"/>
      <c r="W223" s="842"/>
    </row>
    <row r="224" spans="1:23" s="701" customFormat="1" ht="15" customHeight="1">
      <c r="A224" s="848"/>
      <c r="B224" s="844"/>
      <c r="C224" s="846"/>
      <c r="D224" s="872"/>
      <c r="E224" s="848"/>
      <c r="F224" s="848"/>
      <c r="G224" s="844"/>
      <c r="H224" s="700">
        <v>0</v>
      </c>
      <c r="I224" s="700">
        <v>0</v>
      </c>
      <c r="J224" s="457">
        <f>K224+N224</f>
        <v>76377</v>
      </c>
      <c r="K224" s="457">
        <f>L224+M224</f>
        <v>64920</v>
      </c>
      <c r="L224" s="458">
        <v>64920</v>
      </c>
      <c r="M224" s="458">
        <v>0</v>
      </c>
      <c r="N224" s="457">
        <f>O224+R224+U224</f>
        <v>11457</v>
      </c>
      <c r="O224" s="457">
        <f>P224+Q224</f>
        <v>0</v>
      </c>
      <c r="P224" s="458">
        <v>0</v>
      </c>
      <c r="Q224" s="458">
        <v>0</v>
      </c>
      <c r="R224" s="457">
        <f>S224+T224</f>
        <v>11457</v>
      </c>
      <c r="S224" s="458">
        <v>11457</v>
      </c>
      <c r="T224" s="458">
        <v>0</v>
      </c>
      <c r="U224" s="457">
        <f>V224+W224</f>
        <v>0</v>
      </c>
      <c r="V224" s="458">
        <v>0</v>
      </c>
      <c r="W224" s="458">
        <v>0</v>
      </c>
    </row>
    <row r="225" spans="1:23" s="701" customFormat="1" ht="15" customHeight="1">
      <c r="A225" s="848"/>
      <c r="B225" s="844"/>
      <c r="C225" s="846"/>
      <c r="D225" s="872"/>
      <c r="E225" s="848"/>
      <c r="F225" s="848"/>
      <c r="G225" s="844"/>
      <c r="H225" s="700">
        <v>775798</v>
      </c>
      <c r="I225" s="700">
        <v>39870</v>
      </c>
      <c r="J225" s="842">
        <f>J222+J224</f>
        <v>4906194</v>
      </c>
      <c r="K225" s="842">
        <f aca="true" t="shared" si="40" ref="K225:W225">K222+K224</f>
        <v>4170266</v>
      </c>
      <c r="L225" s="842">
        <f t="shared" si="40"/>
        <v>270771</v>
      </c>
      <c r="M225" s="842">
        <f t="shared" si="40"/>
        <v>3899495</v>
      </c>
      <c r="N225" s="842">
        <f t="shared" si="40"/>
        <v>735928</v>
      </c>
      <c r="O225" s="842">
        <f t="shared" si="40"/>
        <v>0</v>
      </c>
      <c r="P225" s="842">
        <f t="shared" si="40"/>
        <v>0</v>
      </c>
      <c r="Q225" s="842">
        <f t="shared" si="40"/>
        <v>0</v>
      </c>
      <c r="R225" s="842">
        <f t="shared" si="40"/>
        <v>735928</v>
      </c>
      <c r="S225" s="842">
        <f t="shared" si="40"/>
        <v>47782</v>
      </c>
      <c r="T225" s="842">
        <f t="shared" si="40"/>
        <v>688146</v>
      </c>
      <c r="U225" s="842">
        <f t="shared" si="40"/>
        <v>0</v>
      </c>
      <c r="V225" s="842">
        <f t="shared" si="40"/>
        <v>0</v>
      </c>
      <c r="W225" s="842">
        <f t="shared" si="40"/>
        <v>0</v>
      </c>
    </row>
    <row r="226" spans="1:23" s="701" customFormat="1" ht="15" customHeight="1">
      <c r="A226" s="848"/>
      <c r="B226" s="844"/>
      <c r="C226" s="846"/>
      <c r="D226" s="872"/>
      <c r="E226" s="848"/>
      <c r="F226" s="848"/>
      <c r="G226" s="844"/>
      <c r="H226" s="700">
        <v>0</v>
      </c>
      <c r="I226" s="700">
        <v>0</v>
      </c>
      <c r="J226" s="842"/>
      <c r="K226" s="842"/>
      <c r="L226" s="842"/>
      <c r="M226" s="842"/>
      <c r="N226" s="842"/>
      <c r="O226" s="842"/>
      <c r="P226" s="842"/>
      <c r="Q226" s="842"/>
      <c r="R226" s="842"/>
      <c r="S226" s="842"/>
      <c r="T226" s="842"/>
      <c r="U226" s="842"/>
      <c r="V226" s="842"/>
      <c r="W226" s="842"/>
    </row>
    <row r="227" spans="1:23" s="701" customFormat="1" ht="15" customHeight="1">
      <c r="A227" s="848">
        <v>30</v>
      </c>
      <c r="B227" s="844" t="s">
        <v>1041</v>
      </c>
      <c r="C227" s="846" t="s">
        <v>67</v>
      </c>
      <c r="D227" s="872" t="s">
        <v>1042</v>
      </c>
      <c r="E227" s="848" t="s">
        <v>581</v>
      </c>
      <c r="F227" s="848" t="s">
        <v>1040</v>
      </c>
      <c r="G227" s="844" t="s">
        <v>631</v>
      </c>
      <c r="H227" s="700">
        <f>H228+H229+H230+H231</f>
        <v>3868388</v>
      </c>
      <c r="I227" s="700">
        <f>I228+I229+I230+I231</f>
        <v>2188855</v>
      </c>
      <c r="J227" s="842">
        <f>K227+N227</f>
        <v>1195041</v>
      </c>
      <c r="K227" s="842">
        <f>L227+M227</f>
        <v>921668</v>
      </c>
      <c r="L227" s="842">
        <v>60741</v>
      </c>
      <c r="M227" s="842">
        <v>860927</v>
      </c>
      <c r="N227" s="842">
        <f>O227+R227+U227</f>
        <v>273373</v>
      </c>
      <c r="O227" s="842">
        <f>P227+Q227</f>
        <v>0</v>
      </c>
      <c r="P227" s="842">
        <v>0</v>
      </c>
      <c r="Q227" s="842">
        <v>0</v>
      </c>
      <c r="R227" s="842">
        <f>S227+T227</f>
        <v>273373</v>
      </c>
      <c r="S227" s="842">
        <v>10719</v>
      </c>
      <c r="T227" s="842">
        <v>262654</v>
      </c>
      <c r="U227" s="842">
        <f>V227+W227</f>
        <v>0</v>
      </c>
      <c r="V227" s="842">
        <v>0</v>
      </c>
      <c r="W227" s="842">
        <v>0</v>
      </c>
    </row>
    <row r="228" spans="1:23" s="701" customFormat="1" ht="15" customHeight="1">
      <c r="A228" s="848"/>
      <c r="B228" s="844"/>
      <c r="C228" s="846"/>
      <c r="D228" s="872"/>
      <c r="E228" s="848"/>
      <c r="F228" s="848"/>
      <c r="G228" s="844"/>
      <c r="H228" s="700">
        <v>3029799</v>
      </c>
      <c r="I228" s="700">
        <v>1736352</v>
      </c>
      <c r="J228" s="842"/>
      <c r="K228" s="842"/>
      <c r="L228" s="842"/>
      <c r="M228" s="842"/>
      <c r="N228" s="842"/>
      <c r="O228" s="842"/>
      <c r="P228" s="842"/>
      <c r="Q228" s="842"/>
      <c r="R228" s="842"/>
      <c r="S228" s="842"/>
      <c r="T228" s="842"/>
      <c r="U228" s="842"/>
      <c r="V228" s="842"/>
      <c r="W228" s="842"/>
    </row>
    <row r="229" spans="1:23" s="701" customFormat="1" ht="15" customHeight="1">
      <c r="A229" s="848"/>
      <c r="B229" s="844"/>
      <c r="C229" s="846"/>
      <c r="D229" s="872"/>
      <c r="E229" s="848"/>
      <c r="F229" s="848"/>
      <c r="G229" s="844"/>
      <c r="H229" s="700">
        <v>0</v>
      </c>
      <c r="I229" s="700">
        <v>0</v>
      </c>
      <c r="J229" s="457">
        <f>K229+N229</f>
        <v>484492</v>
      </c>
      <c r="K229" s="457">
        <f>L229+M229</f>
        <v>371779</v>
      </c>
      <c r="L229" s="458">
        <v>14352</v>
      </c>
      <c r="M229" s="458">
        <v>357427</v>
      </c>
      <c r="N229" s="457">
        <f>O229+R229+U229</f>
        <v>112713</v>
      </c>
      <c r="O229" s="457">
        <f>P229+Q229</f>
        <v>0</v>
      </c>
      <c r="P229" s="458">
        <v>0</v>
      </c>
      <c r="Q229" s="458">
        <v>0</v>
      </c>
      <c r="R229" s="457">
        <f>S229+T229</f>
        <v>112713</v>
      </c>
      <c r="S229" s="458">
        <v>2533</v>
      </c>
      <c r="T229" s="458">
        <v>110180</v>
      </c>
      <c r="U229" s="457">
        <f>V229+W229</f>
        <v>0</v>
      </c>
      <c r="V229" s="458">
        <v>0</v>
      </c>
      <c r="W229" s="458">
        <v>0</v>
      </c>
    </row>
    <row r="230" spans="1:23" s="701" customFormat="1" ht="15" customHeight="1">
      <c r="A230" s="848"/>
      <c r="B230" s="844"/>
      <c r="C230" s="846"/>
      <c r="D230" s="872"/>
      <c r="E230" s="848"/>
      <c r="F230" s="848"/>
      <c r="G230" s="844"/>
      <c r="H230" s="700">
        <v>838589</v>
      </c>
      <c r="I230" s="700">
        <v>452503</v>
      </c>
      <c r="J230" s="842">
        <f>J227+J229</f>
        <v>1679533</v>
      </c>
      <c r="K230" s="842">
        <f aca="true" t="shared" si="41" ref="K230:W230">K227+K229</f>
        <v>1293447</v>
      </c>
      <c r="L230" s="842">
        <f t="shared" si="41"/>
        <v>75093</v>
      </c>
      <c r="M230" s="842">
        <f t="shared" si="41"/>
        <v>1218354</v>
      </c>
      <c r="N230" s="842">
        <f t="shared" si="41"/>
        <v>386086</v>
      </c>
      <c r="O230" s="842">
        <f t="shared" si="41"/>
        <v>0</v>
      </c>
      <c r="P230" s="842">
        <f t="shared" si="41"/>
        <v>0</v>
      </c>
      <c r="Q230" s="842">
        <f t="shared" si="41"/>
        <v>0</v>
      </c>
      <c r="R230" s="842">
        <f t="shared" si="41"/>
        <v>386086</v>
      </c>
      <c r="S230" s="842">
        <f t="shared" si="41"/>
        <v>13252</v>
      </c>
      <c r="T230" s="842">
        <f t="shared" si="41"/>
        <v>372834</v>
      </c>
      <c r="U230" s="842">
        <f t="shared" si="41"/>
        <v>0</v>
      </c>
      <c r="V230" s="842">
        <f t="shared" si="41"/>
        <v>0</v>
      </c>
      <c r="W230" s="842">
        <f t="shared" si="41"/>
        <v>0</v>
      </c>
    </row>
    <row r="231" spans="1:23" s="701" customFormat="1" ht="15" customHeight="1">
      <c r="A231" s="848"/>
      <c r="B231" s="844"/>
      <c r="C231" s="846"/>
      <c r="D231" s="872"/>
      <c r="E231" s="848"/>
      <c r="F231" s="848"/>
      <c r="G231" s="844"/>
      <c r="H231" s="700">
        <v>0</v>
      </c>
      <c r="I231" s="700">
        <v>0</v>
      </c>
      <c r="J231" s="842"/>
      <c r="K231" s="842"/>
      <c r="L231" s="842"/>
      <c r="M231" s="842"/>
      <c r="N231" s="842"/>
      <c r="O231" s="842"/>
      <c r="P231" s="842"/>
      <c r="Q231" s="842"/>
      <c r="R231" s="842"/>
      <c r="S231" s="842"/>
      <c r="T231" s="842"/>
      <c r="U231" s="842"/>
      <c r="V231" s="842"/>
      <c r="W231" s="842"/>
    </row>
    <row r="232" spans="1:23" s="701" customFormat="1" ht="15" customHeight="1">
      <c r="A232" s="848">
        <v>31</v>
      </c>
      <c r="B232" s="844" t="s">
        <v>1041</v>
      </c>
      <c r="C232" s="846" t="s">
        <v>67</v>
      </c>
      <c r="D232" s="872" t="s">
        <v>1043</v>
      </c>
      <c r="E232" s="848" t="s">
        <v>581</v>
      </c>
      <c r="F232" s="848" t="s">
        <v>1040</v>
      </c>
      <c r="G232" s="844" t="s">
        <v>1028</v>
      </c>
      <c r="H232" s="700">
        <f>H233+H234+H235+H236</f>
        <v>20671478</v>
      </c>
      <c r="I232" s="700">
        <f>I233+I234+I235+I236</f>
        <v>282019</v>
      </c>
      <c r="J232" s="842">
        <f>K232+N232</f>
        <v>13442434</v>
      </c>
      <c r="K232" s="842">
        <f>L232+M232</f>
        <v>6101571</v>
      </c>
      <c r="L232" s="842">
        <v>349601</v>
      </c>
      <c r="M232" s="842">
        <v>5751970</v>
      </c>
      <c r="N232" s="842">
        <f>O232+R232+U232</f>
        <v>7340863</v>
      </c>
      <c r="O232" s="842">
        <f>P232+Q232</f>
        <v>0</v>
      </c>
      <c r="P232" s="842">
        <v>0</v>
      </c>
      <c r="Q232" s="842">
        <v>0</v>
      </c>
      <c r="R232" s="842">
        <f>S232+T232</f>
        <v>7340863</v>
      </c>
      <c r="S232" s="842">
        <v>61694</v>
      </c>
      <c r="T232" s="842">
        <v>7279169</v>
      </c>
      <c r="U232" s="842">
        <f>V232+W232</f>
        <v>0</v>
      </c>
      <c r="V232" s="842">
        <v>0</v>
      </c>
      <c r="W232" s="842">
        <v>0</v>
      </c>
    </row>
    <row r="233" spans="1:23" s="701" customFormat="1" ht="15" customHeight="1">
      <c r="A233" s="848"/>
      <c r="B233" s="844"/>
      <c r="C233" s="846"/>
      <c r="D233" s="872"/>
      <c r="E233" s="848"/>
      <c r="F233" s="848"/>
      <c r="G233" s="844"/>
      <c r="H233" s="700">
        <v>7574932</v>
      </c>
      <c r="I233" s="700">
        <v>131647</v>
      </c>
      <c r="J233" s="842"/>
      <c r="K233" s="842"/>
      <c r="L233" s="842"/>
      <c r="M233" s="842"/>
      <c r="N233" s="842"/>
      <c r="O233" s="842"/>
      <c r="P233" s="842"/>
      <c r="Q233" s="842"/>
      <c r="R233" s="842"/>
      <c r="S233" s="842"/>
      <c r="T233" s="842"/>
      <c r="U233" s="842"/>
      <c r="V233" s="842"/>
      <c r="W233" s="842"/>
    </row>
    <row r="234" spans="1:23" s="701" customFormat="1" ht="15" customHeight="1">
      <c r="A234" s="848"/>
      <c r="B234" s="844"/>
      <c r="C234" s="846"/>
      <c r="D234" s="872"/>
      <c r="E234" s="848"/>
      <c r="F234" s="848"/>
      <c r="G234" s="844"/>
      <c r="H234" s="700">
        <v>0</v>
      </c>
      <c r="I234" s="700">
        <v>0</v>
      </c>
      <c r="J234" s="457">
        <f>K234+N234</f>
        <v>-3579481</v>
      </c>
      <c r="K234" s="457">
        <f>L234+M234</f>
        <v>-2703010</v>
      </c>
      <c r="L234" s="458">
        <v>11859</v>
      </c>
      <c r="M234" s="458">
        <v>-2714869</v>
      </c>
      <c r="N234" s="457">
        <f>O234+R234+U234</f>
        <v>-876471</v>
      </c>
      <c r="O234" s="457">
        <f>P234+Q234</f>
        <v>0</v>
      </c>
      <c r="P234" s="458">
        <v>0</v>
      </c>
      <c r="Q234" s="458">
        <v>0</v>
      </c>
      <c r="R234" s="457">
        <f>S234+T234</f>
        <v>-876471</v>
      </c>
      <c r="S234" s="458">
        <v>2094</v>
      </c>
      <c r="T234" s="458">
        <v>-878565</v>
      </c>
      <c r="U234" s="457">
        <f>V234+W234</f>
        <v>0</v>
      </c>
      <c r="V234" s="458">
        <v>0</v>
      </c>
      <c r="W234" s="458">
        <v>0</v>
      </c>
    </row>
    <row r="235" spans="1:23" s="701" customFormat="1" ht="15" customHeight="1">
      <c r="A235" s="848"/>
      <c r="B235" s="844"/>
      <c r="C235" s="846"/>
      <c r="D235" s="872"/>
      <c r="E235" s="848"/>
      <c r="F235" s="848"/>
      <c r="G235" s="844"/>
      <c r="H235" s="700">
        <v>13096546</v>
      </c>
      <c r="I235" s="700">
        <v>150372</v>
      </c>
      <c r="J235" s="842">
        <f>J232+J234</f>
        <v>9862953</v>
      </c>
      <c r="K235" s="842">
        <f aca="true" t="shared" si="42" ref="K235:W235">K232+K234</f>
        <v>3398561</v>
      </c>
      <c r="L235" s="842">
        <f t="shared" si="42"/>
        <v>361460</v>
      </c>
      <c r="M235" s="842">
        <f t="shared" si="42"/>
        <v>3037101</v>
      </c>
      <c r="N235" s="842">
        <f t="shared" si="42"/>
        <v>6464392</v>
      </c>
      <c r="O235" s="842">
        <f t="shared" si="42"/>
        <v>0</v>
      </c>
      <c r="P235" s="842">
        <f t="shared" si="42"/>
        <v>0</v>
      </c>
      <c r="Q235" s="842">
        <f t="shared" si="42"/>
        <v>0</v>
      </c>
      <c r="R235" s="842">
        <f t="shared" si="42"/>
        <v>6464392</v>
      </c>
      <c r="S235" s="842">
        <f t="shared" si="42"/>
        <v>63788</v>
      </c>
      <c r="T235" s="842">
        <f t="shared" si="42"/>
        <v>6400604</v>
      </c>
      <c r="U235" s="842">
        <f t="shared" si="42"/>
        <v>0</v>
      </c>
      <c r="V235" s="842">
        <f t="shared" si="42"/>
        <v>0</v>
      </c>
      <c r="W235" s="842">
        <f t="shared" si="42"/>
        <v>0</v>
      </c>
    </row>
    <row r="236" spans="1:23" s="701" customFormat="1" ht="15" customHeight="1">
      <c r="A236" s="848"/>
      <c r="B236" s="844"/>
      <c r="C236" s="846"/>
      <c r="D236" s="872"/>
      <c r="E236" s="848"/>
      <c r="F236" s="848"/>
      <c r="G236" s="844"/>
      <c r="H236" s="700">
        <v>0</v>
      </c>
      <c r="I236" s="700">
        <v>0</v>
      </c>
      <c r="J236" s="842"/>
      <c r="K236" s="842"/>
      <c r="L236" s="842"/>
      <c r="M236" s="842"/>
      <c r="N236" s="842"/>
      <c r="O236" s="842"/>
      <c r="P236" s="842"/>
      <c r="Q236" s="842"/>
      <c r="R236" s="842"/>
      <c r="S236" s="842"/>
      <c r="T236" s="842"/>
      <c r="U236" s="842"/>
      <c r="V236" s="842"/>
      <c r="W236" s="842"/>
    </row>
    <row r="237" spans="1:23" s="701" customFormat="1" ht="15" customHeight="1">
      <c r="A237" s="848">
        <v>32</v>
      </c>
      <c r="B237" s="844" t="s">
        <v>1041</v>
      </c>
      <c r="C237" s="846" t="s">
        <v>67</v>
      </c>
      <c r="D237" s="872" t="s">
        <v>1044</v>
      </c>
      <c r="E237" s="848" t="s">
        <v>581</v>
      </c>
      <c r="F237" s="848" t="s">
        <v>1040</v>
      </c>
      <c r="G237" s="844" t="s">
        <v>627</v>
      </c>
      <c r="H237" s="700">
        <f>H238+H239+H240+H241</f>
        <v>11218462</v>
      </c>
      <c r="I237" s="700">
        <f>I238+I239+I240+I241</f>
        <v>144761</v>
      </c>
      <c r="J237" s="842">
        <f>K237+N237</f>
        <v>4358029</v>
      </c>
      <c r="K237" s="842">
        <f>L237+M237</f>
        <v>3704324</v>
      </c>
      <c r="L237" s="842">
        <v>329352</v>
      </c>
      <c r="M237" s="842">
        <v>3374972</v>
      </c>
      <c r="N237" s="842">
        <f>O237+R237+U237</f>
        <v>653705</v>
      </c>
      <c r="O237" s="842">
        <f>P237+Q237</f>
        <v>0</v>
      </c>
      <c r="P237" s="842">
        <v>0</v>
      </c>
      <c r="Q237" s="842">
        <v>0</v>
      </c>
      <c r="R237" s="842">
        <f>S237+T237</f>
        <v>653705</v>
      </c>
      <c r="S237" s="842">
        <v>58121</v>
      </c>
      <c r="T237" s="842">
        <v>595584</v>
      </c>
      <c r="U237" s="842">
        <f>V237+W237</f>
        <v>0</v>
      </c>
      <c r="V237" s="842">
        <v>0</v>
      </c>
      <c r="W237" s="842">
        <v>0</v>
      </c>
    </row>
    <row r="238" spans="1:23" s="701" customFormat="1" ht="15" customHeight="1">
      <c r="A238" s="848"/>
      <c r="B238" s="844"/>
      <c r="C238" s="846"/>
      <c r="D238" s="872"/>
      <c r="E238" s="848"/>
      <c r="F238" s="848"/>
      <c r="G238" s="844"/>
      <c r="H238" s="700">
        <v>7046418</v>
      </c>
      <c r="I238" s="700">
        <v>123046</v>
      </c>
      <c r="J238" s="842"/>
      <c r="K238" s="842"/>
      <c r="L238" s="842"/>
      <c r="M238" s="842"/>
      <c r="N238" s="842"/>
      <c r="O238" s="842"/>
      <c r="P238" s="842"/>
      <c r="Q238" s="842"/>
      <c r="R238" s="842"/>
      <c r="S238" s="842"/>
      <c r="T238" s="842"/>
      <c r="U238" s="842"/>
      <c r="V238" s="842"/>
      <c r="W238" s="842"/>
    </row>
    <row r="239" spans="1:23" s="701" customFormat="1" ht="15" customHeight="1">
      <c r="A239" s="848"/>
      <c r="B239" s="844"/>
      <c r="C239" s="846"/>
      <c r="D239" s="872"/>
      <c r="E239" s="848"/>
      <c r="F239" s="848"/>
      <c r="G239" s="844"/>
      <c r="H239" s="700">
        <v>0</v>
      </c>
      <c r="I239" s="700">
        <v>0</v>
      </c>
      <c r="J239" s="457">
        <f>K239+N239</f>
        <v>738561</v>
      </c>
      <c r="K239" s="457">
        <f>L239+M239</f>
        <v>0</v>
      </c>
      <c r="L239" s="458">
        <v>0</v>
      </c>
      <c r="M239" s="458">
        <v>0</v>
      </c>
      <c r="N239" s="457">
        <f>O239+R239+U239</f>
        <v>738561</v>
      </c>
      <c r="O239" s="457">
        <f>P239+Q239</f>
        <v>0</v>
      </c>
      <c r="P239" s="458">
        <v>0</v>
      </c>
      <c r="Q239" s="458">
        <v>0</v>
      </c>
      <c r="R239" s="457">
        <f>S239+T239</f>
        <v>738561</v>
      </c>
      <c r="S239" s="458">
        <v>0</v>
      </c>
      <c r="T239" s="458">
        <v>738561</v>
      </c>
      <c r="U239" s="457">
        <f>V239+W239</f>
        <v>0</v>
      </c>
      <c r="V239" s="458">
        <v>0</v>
      </c>
      <c r="W239" s="458">
        <v>0</v>
      </c>
    </row>
    <row r="240" spans="1:23" s="701" customFormat="1" ht="15" customHeight="1">
      <c r="A240" s="848"/>
      <c r="B240" s="844"/>
      <c r="C240" s="846"/>
      <c r="D240" s="872"/>
      <c r="E240" s="848"/>
      <c r="F240" s="848"/>
      <c r="G240" s="844"/>
      <c r="H240" s="700">
        <v>4172044</v>
      </c>
      <c r="I240" s="700">
        <v>21715</v>
      </c>
      <c r="J240" s="842">
        <f>J237+J239</f>
        <v>5096590</v>
      </c>
      <c r="K240" s="842">
        <f aca="true" t="shared" si="43" ref="K240:W240">K237+K239</f>
        <v>3704324</v>
      </c>
      <c r="L240" s="842">
        <f t="shared" si="43"/>
        <v>329352</v>
      </c>
      <c r="M240" s="842">
        <f t="shared" si="43"/>
        <v>3374972</v>
      </c>
      <c r="N240" s="842">
        <f t="shared" si="43"/>
        <v>1392266</v>
      </c>
      <c r="O240" s="842">
        <f t="shared" si="43"/>
        <v>0</v>
      </c>
      <c r="P240" s="842">
        <f t="shared" si="43"/>
        <v>0</v>
      </c>
      <c r="Q240" s="842">
        <f t="shared" si="43"/>
        <v>0</v>
      </c>
      <c r="R240" s="842">
        <f t="shared" si="43"/>
        <v>1392266</v>
      </c>
      <c r="S240" s="842">
        <f t="shared" si="43"/>
        <v>58121</v>
      </c>
      <c r="T240" s="842">
        <f t="shared" si="43"/>
        <v>1334145</v>
      </c>
      <c r="U240" s="842">
        <f t="shared" si="43"/>
        <v>0</v>
      </c>
      <c r="V240" s="842">
        <f t="shared" si="43"/>
        <v>0</v>
      </c>
      <c r="W240" s="842">
        <f t="shared" si="43"/>
        <v>0</v>
      </c>
    </row>
    <row r="241" spans="1:23" s="701" customFormat="1" ht="15" customHeight="1">
      <c r="A241" s="848"/>
      <c r="B241" s="844"/>
      <c r="C241" s="846"/>
      <c r="D241" s="872"/>
      <c r="E241" s="848"/>
      <c r="F241" s="848"/>
      <c r="G241" s="844"/>
      <c r="H241" s="700">
        <v>0</v>
      </c>
      <c r="I241" s="700">
        <v>0</v>
      </c>
      <c r="J241" s="842"/>
      <c r="K241" s="842"/>
      <c r="L241" s="842"/>
      <c r="M241" s="842"/>
      <c r="N241" s="842"/>
      <c r="O241" s="842"/>
      <c r="P241" s="842"/>
      <c r="Q241" s="842"/>
      <c r="R241" s="842"/>
      <c r="S241" s="842"/>
      <c r="T241" s="842"/>
      <c r="U241" s="842"/>
      <c r="V241" s="842"/>
      <c r="W241" s="842"/>
    </row>
    <row r="242" spans="1:23" s="701" customFormat="1" ht="15" customHeight="1">
      <c r="A242" s="848">
        <v>33</v>
      </c>
      <c r="B242" s="844" t="s">
        <v>1041</v>
      </c>
      <c r="C242" s="846" t="s">
        <v>67</v>
      </c>
      <c r="D242" s="872" t="s">
        <v>1045</v>
      </c>
      <c r="E242" s="848" t="s">
        <v>581</v>
      </c>
      <c r="F242" s="848" t="s">
        <v>1046</v>
      </c>
      <c r="G242" s="844" t="s">
        <v>1028</v>
      </c>
      <c r="H242" s="700">
        <f>H243+H244+H245+H246</f>
        <v>5279628</v>
      </c>
      <c r="I242" s="700">
        <f>I243+I244+I245+I246</f>
        <v>31980</v>
      </c>
      <c r="J242" s="842">
        <f>K242+N242</f>
        <v>5303135</v>
      </c>
      <c r="K242" s="842">
        <f>L242+M242</f>
        <v>4507665</v>
      </c>
      <c r="L242" s="842">
        <v>199865</v>
      </c>
      <c r="M242" s="842">
        <v>4307800</v>
      </c>
      <c r="N242" s="842">
        <f>O242+R242+U242</f>
        <v>795470</v>
      </c>
      <c r="O242" s="842">
        <f>P242+Q242</f>
        <v>0</v>
      </c>
      <c r="P242" s="842">
        <v>0</v>
      </c>
      <c r="Q242" s="842">
        <v>0</v>
      </c>
      <c r="R242" s="842">
        <f>S242+T242</f>
        <v>795470</v>
      </c>
      <c r="S242" s="842">
        <v>35270</v>
      </c>
      <c r="T242" s="842">
        <v>760200</v>
      </c>
      <c r="U242" s="842">
        <f>V242+W242</f>
        <v>0</v>
      </c>
      <c r="V242" s="842">
        <v>0</v>
      </c>
      <c r="W242" s="842">
        <v>0</v>
      </c>
    </row>
    <row r="243" spans="1:23" s="701" customFormat="1" ht="15" customHeight="1">
      <c r="A243" s="848"/>
      <c r="B243" s="844"/>
      <c r="C243" s="846"/>
      <c r="D243" s="872"/>
      <c r="E243" s="848"/>
      <c r="F243" s="848"/>
      <c r="G243" s="844"/>
      <c r="H243" s="700">
        <v>3943810</v>
      </c>
      <c r="I243" s="700">
        <v>27183</v>
      </c>
      <c r="J243" s="842"/>
      <c r="K243" s="842"/>
      <c r="L243" s="842"/>
      <c r="M243" s="842"/>
      <c r="N243" s="842"/>
      <c r="O243" s="842"/>
      <c r="P243" s="842"/>
      <c r="Q243" s="842"/>
      <c r="R243" s="842"/>
      <c r="S243" s="842"/>
      <c r="T243" s="842"/>
      <c r="U243" s="842"/>
      <c r="V243" s="842"/>
      <c r="W243" s="842"/>
    </row>
    <row r="244" spans="1:23" s="701" customFormat="1" ht="15" customHeight="1">
      <c r="A244" s="848"/>
      <c r="B244" s="844"/>
      <c r="C244" s="846"/>
      <c r="D244" s="872"/>
      <c r="E244" s="848"/>
      <c r="F244" s="848"/>
      <c r="G244" s="844"/>
      <c r="H244" s="700">
        <v>0</v>
      </c>
      <c r="I244" s="700">
        <v>0</v>
      </c>
      <c r="J244" s="457">
        <f>K244+N244</f>
        <v>-4757042</v>
      </c>
      <c r="K244" s="457">
        <f>L244+M244</f>
        <v>-4128486</v>
      </c>
      <c r="L244" s="458">
        <v>-160686</v>
      </c>
      <c r="M244" s="458">
        <v>-3967800</v>
      </c>
      <c r="N244" s="457">
        <f>O244+R244+U244</f>
        <v>-628556</v>
      </c>
      <c r="O244" s="457">
        <f>P244+Q244</f>
        <v>0</v>
      </c>
      <c r="P244" s="458">
        <v>0</v>
      </c>
      <c r="Q244" s="458">
        <v>0</v>
      </c>
      <c r="R244" s="457">
        <f>S244+T244</f>
        <v>-628556</v>
      </c>
      <c r="S244" s="458">
        <v>-28356</v>
      </c>
      <c r="T244" s="458">
        <v>-600200</v>
      </c>
      <c r="U244" s="457">
        <f>V244+W244</f>
        <v>0</v>
      </c>
      <c r="V244" s="458">
        <v>0</v>
      </c>
      <c r="W244" s="458">
        <v>0</v>
      </c>
    </row>
    <row r="245" spans="1:23" s="701" customFormat="1" ht="15" customHeight="1">
      <c r="A245" s="848"/>
      <c r="B245" s="844"/>
      <c r="C245" s="846"/>
      <c r="D245" s="872"/>
      <c r="E245" s="848"/>
      <c r="F245" s="848"/>
      <c r="G245" s="844"/>
      <c r="H245" s="700">
        <v>1335818</v>
      </c>
      <c r="I245" s="700">
        <v>4797</v>
      </c>
      <c r="J245" s="842">
        <f>J242+J244</f>
        <v>546093</v>
      </c>
      <c r="K245" s="842">
        <f aca="true" t="shared" si="44" ref="K245:W245">K242+K244</f>
        <v>379179</v>
      </c>
      <c r="L245" s="842">
        <f t="shared" si="44"/>
        <v>39179</v>
      </c>
      <c r="M245" s="842">
        <f t="shared" si="44"/>
        <v>340000</v>
      </c>
      <c r="N245" s="842">
        <f t="shared" si="44"/>
        <v>166914</v>
      </c>
      <c r="O245" s="842">
        <f t="shared" si="44"/>
        <v>0</v>
      </c>
      <c r="P245" s="842">
        <f t="shared" si="44"/>
        <v>0</v>
      </c>
      <c r="Q245" s="842">
        <f t="shared" si="44"/>
        <v>0</v>
      </c>
      <c r="R245" s="842">
        <f t="shared" si="44"/>
        <v>166914</v>
      </c>
      <c r="S245" s="842">
        <f t="shared" si="44"/>
        <v>6914</v>
      </c>
      <c r="T245" s="842">
        <f t="shared" si="44"/>
        <v>160000</v>
      </c>
      <c r="U245" s="842">
        <f t="shared" si="44"/>
        <v>0</v>
      </c>
      <c r="V245" s="842">
        <f t="shared" si="44"/>
        <v>0</v>
      </c>
      <c r="W245" s="842">
        <f t="shared" si="44"/>
        <v>0</v>
      </c>
    </row>
    <row r="246" spans="1:23" s="701" customFormat="1" ht="15" customHeight="1">
      <c r="A246" s="848"/>
      <c r="B246" s="844"/>
      <c r="C246" s="846"/>
      <c r="D246" s="872"/>
      <c r="E246" s="848"/>
      <c r="F246" s="848"/>
      <c r="G246" s="844"/>
      <c r="H246" s="700">
        <v>0</v>
      </c>
      <c r="I246" s="700">
        <v>0</v>
      </c>
      <c r="J246" s="842"/>
      <c r="K246" s="842"/>
      <c r="L246" s="842"/>
      <c r="M246" s="842"/>
      <c r="N246" s="842"/>
      <c r="O246" s="842"/>
      <c r="P246" s="842"/>
      <c r="Q246" s="842"/>
      <c r="R246" s="842"/>
      <c r="S246" s="842"/>
      <c r="T246" s="842"/>
      <c r="U246" s="842"/>
      <c r="V246" s="842"/>
      <c r="W246" s="842"/>
    </row>
    <row r="247" spans="1:23" s="701" customFormat="1" ht="15" customHeight="1">
      <c r="A247" s="848">
        <v>34</v>
      </c>
      <c r="B247" s="844" t="s">
        <v>1041</v>
      </c>
      <c r="C247" s="846" t="s">
        <v>67</v>
      </c>
      <c r="D247" s="872" t="s">
        <v>1047</v>
      </c>
      <c r="E247" s="848" t="s">
        <v>581</v>
      </c>
      <c r="F247" s="848" t="s">
        <v>1048</v>
      </c>
      <c r="G247" s="844" t="s">
        <v>598</v>
      </c>
      <c r="H247" s="700">
        <f>H248+H249+H250+H251</f>
        <v>11151710</v>
      </c>
      <c r="I247" s="700">
        <f>I248+I249+I250+I251</f>
        <v>33702</v>
      </c>
      <c r="J247" s="842">
        <f>K247+N247</f>
        <v>2001959</v>
      </c>
      <c r="K247" s="842">
        <f>L247+M247</f>
        <v>1073888</v>
      </c>
      <c r="L247" s="842">
        <v>426665</v>
      </c>
      <c r="M247" s="842">
        <v>647223</v>
      </c>
      <c r="N247" s="842">
        <f>O247+R247+U247</f>
        <v>928071</v>
      </c>
      <c r="O247" s="842">
        <f>P247+Q247</f>
        <v>0</v>
      </c>
      <c r="P247" s="842">
        <v>0</v>
      </c>
      <c r="Q247" s="842">
        <v>0</v>
      </c>
      <c r="R247" s="842">
        <f>S247+T247</f>
        <v>928071</v>
      </c>
      <c r="S247" s="842">
        <v>75294</v>
      </c>
      <c r="T247" s="842">
        <v>852777</v>
      </c>
      <c r="U247" s="842">
        <f>V247+W247</f>
        <v>0</v>
      </c>
      <c r="V247" s="842">
        <v>0</v>
      </c>
      <c r="W247" s="842">
        <v>0</v>
      </c>
    </row>
    <row r="248" spans="1:23" s="701" customFormat="1" ht="15" customHeight="1">
      <c r="A248" s="848"/>
      <c r="B248" s="844"/>
      <c r="C248" s="846"/>
      <c r="D248" s="872"/>
      <c r="E248" s="848"/>
      <c r="F248" s="848"/>
      <c r="G248" s="844"/>
      <c r="H248" s="700">
        <v>7508832</v>
      </c>
      <c r="I248" s="700">
        <v>28647</v>
      </c>
      <c r="J248" s="842"/>
      <c r="K248" s="842"/>
      <c r="L248" s="842"/>
      <c r="M248" s="842"/>
      <c r="N248" s="842"/>
      <c r="O248" s="842"/>
      <c r="P248" s="842"/>
      <c r="Q248" s="842"/>
      <c r="R248" s="842"/>
      <c r="S248" s="842"/>
      <c r="T248" s="842"/>
      <c r="U248" s="842"/>
      <c r="V248" s="842"/>
      <c r="W248" s="842"/>
    </row>
    <row r="249" spans="1:23" s="701" customFormat="1" ht="15" customHeight="1">
      <c r="A249" s="848"/>
      <c r="B249" s="844"/>
      <c r="C249" s="846"/>
      <c r="D249" s="872"/>
      <c r="E249" s="848"/>
      <c r="F249" s="848"/>
      <c r="G249" s="844"/>
      <c r="H249" s="700">
        <v>0</v>
      </c>
      <c r="I249" s="700">
        <v>0</v>
      </c>
      <c r="J249" s="457">
        <f>K249+N249</f>
        <v>-1227373</v>
      </c>
      <c r="K249" s="457">
        <f>L249+M249</f>
        <v>-594840</v>
      </c>
      <c r="L249" s="458">
        <v>-372617</v>
      </c>
      <c r="M249" s="458">
        <v>-222223</v>
      </c>
      <c r="N249" s="457">
        <f>O249+R249+U249</f>
        <v>-632533</v>
      </c>
      <c r="O249" s="457">
        <f>P249+Q249</f>
        <v>0</v>
      </c>
      <c r="P249" s="458">
        <v>0</v>
      </c>
      <c r="Q249" s="458">
        <v>0</v>
      </c>
      <c r="R249" s="457">
        <f>S249+T249</f>
        <v>-632533</v>
      </c>
      <c r="S249" s="458">
        <v>-65756</v>
      </c>
      <c r="T249" s="458">
        <v>-566777</v>
      </c>
      <c r="U249" s="457">
        <f>V249+W249</f>
        <v>0</v>
      </c>
      <c r="V249" s="458">
        <v>0</v>
      </c>
      <c r="W249" s="458">
        <v>0</v>
      </c>
    </row>
    <row r="250" spans="1:23" s="701" customFormat="1" ht="15" customHeight="1">
      <c r="A250" s="848"/>
      <c r="B250" s="844"/>
      <c r="C250" s="846"/>
      <c r="D250" s="872"/>
      <c r="E250" s="848"/>
      <c r="F250" s="848"/>
      <c r="G250" s="844"/>
      <c r="H250" s="700">
        <v>3642878</v>
      </c>
      <c r="I250" s="700">
        <v>5055</v>
      </c>
      <c r="J250" s="842">
        <f>J247+J249</f>
        <v>774586</v>
      </c>
      <c r="K250" s="842">
        <f aca="true" t="shared" si="45" ref="K250:W250">K247+K249</f>
        <v>479048</v>
      </c>
      <c r="L250" s="842">
        <f t="shared" si="45"/>
        <v>54048</v>
      </c>
      <c r="M250" s="842">
        <f t="shared" si="45"/>
        <v>425000</v>
      </c>
      <c r="N250" s="842">
        <f t="shared" si="45"/>
        <v>295538</v>
      </c>
      <c r="O250" s="842">
        <f t="shared" si="45"/>
        <v>0</v>
      </c>
      <c r="P250" s="842">
        <f t="shared" si="45"/>
        <v>0</v>
      </c>
      <c r="Q250" s="842">
        <f t="shared" si="45"/>
        <v>0</v>
      </c>
      <c r="R250" s="842">
        <f t="shared" si="45"/>
        <v>295538</v>
      </c>
      <c r="S250" s="842">
        <f t="shared" si="45"/>
        <v>9538</v>
      </c>
      <c r="T250" s="842">
        <f t="shared" si="45"/>
        <v>286000</v>
      </c>
      <c r="U250" s="842">
        <f t="shared" si="45"/>
        <v>0</v>
      </c>
      <c r="V250" s="842">
        <f t="shared" si="45"/>
        <v>0</v>
      </c>
      <c r="W250" s="842">
        <f t="shared" si="45"/>
        <v>0</v>
      </c>
    </row>
    <row r="251" spans="1:23" s="701" customFormat="1" ht="15" customHeight="1">
      <c r="A251" s="848"/>
      <c r="B251" s="844"/>
      <c r="C251" s="846"/>
      <c r="D251" s="872"/>
      <c r="E251" s="848"/>
      <c r="F251" s="848"/>
      <c r="G251" s="844"/>
      <c r="H251" s="700">
        <v>0</v>
      </c>
      <c r="I251" s="700">
        <v>0</v>
      </c>
      <c r="J251" s="842"/>
      <c r="K251" s="842"/>
      <c r="L251" s="842"/>
      <c r="M251" s="842"/>
      <c r="N251" s="842"/>
      <c r="O251" s="842"/>
      <c r="P251" s="842"/>
      <c r="Q251" s="842"/>
      <c r="R251" s="842"/>
      <c r="S251" s="842"/>
      <c r="T251" s="842"/>
      <c r="U251" s="842"/>
      <c r="V251" s="842"/>
      <c r="W251" s="842"/>
    </row>
    <row r="252" spans="1:23" s="701" customFormat="1" ht="12.75" customHeight="1" hidden="1">
      <c r="A252" s="848">
        <v>45</v>
      </c>
      <c r="B252" s="844" t="s">
        <v>1049</v>
      </c>
      <c r="C252" s="846" t="s">
        <v>1050</v>
      </c>
      <c r="D252" s="872" t="s">
        <v>1051</v>
      </c>
      <c r="E252" s="848" t="s">
        <v>1052</v>
      </c>
      <c r="F252" s="848" t="s">
        <v>1010</v>
      </c>
      <c r="G252" s="844" t="s">
        <v>623</v>
      </c>
      <c r="H252" s="700">
        <f>H253+H254+H255+H256</f>
        <v>3350626</v>
      </c>
      <c r="I252" s="700">
        <f>I253+I254+I255+I256</f>
        <v>68880</v>
      </c>
      <c r="J252" s="842">
        <f>K252+N252</f>
        <v>1096071</v>
      </c>
      <c r="K252" s="842">
        <f>L252+M252</f>
        <v>927594</v>
      </c>
      <c r="L252" s="842">
        <v>47660</v>
      </c>
      <c r="M252" s="842">
        <v>879934</v>
      </c>
      <c r="N252" s="842">
        <f>O252+R252+U252</f>
        <v>168477</v>
      </c>
      <c r="O252" s="842">
        <f>P252+Q252</f>
        <v>0</v>
      </c>
      <c r="P252" s="842">
        <v>0</v>
      </c>
      <c r="Q252" s="842">
        <v>0</v>
      </c>
      <c r="R252" s="842">
        <f>S252+T252</f>
        <v>168477</v>
      </c>
      <c r="S252" s="842">
        <v>8411</v>
      </c>
      <c r="T252" s="842">
        <v>160066</v>
      </c>
      <c r="U252" s="842">
        <f>V252+W252</f>
        <v>0</v>
      </c>
      <c r="V252" s="842">
        <v>0</v>
      </c>
      <c r="W252" s="842">
        <v>0</v>
      </c>
    </row>
    <row r="253" spans="1:23" s="701" customFormat="1" ht="12.75" customHeight="1" hidden="1">
      <c r="A253" s="848"/>
      <c r="B253" s="844"/>
      <c r="C253" s="846"/>
      <c r="D253" s="872"/>
      <c r="E253" s="848"/>
      <c r="F253" s="848"/>
      <c r="G253" s="844"/>
      <c r="H253" s="700">
        <v>2839143</v>
      </c>
      <c r="I253" s="700">
        <v>58279</v>
      </c>
      <c r="J253" s="842"/>
      <c r="K253" s="842"/>
      <c r="L253" s="842"/>
      <c r="M253" s="842"/>
      <c r="N253" s="842"/>
      <c r="O253" s="842"/>
      <c r="P253" s="842"/>
      <c r="Q253" s="842"/>
      <c r="R253" s="842"/>
      <c r="S253" s="842"/>
      <c r="T253" s="842"/>
      <c r="U253" s="842"/>
      <c r="V253" s="842"/>
      <c r="W253" s="842"/>
    </row>
    <row r="254" spans="1:23" s="701" customFormat="1" ht="12.75" customHeight="1" hidden="1">
      <c r="A254" s="848"/>
      <c r="B254" s="844"/>
      <c r="C254" s="846"/>
      <c r="D254" s="872"/>
      <c r="E254" s="848"/>
      <c r="F254" s="848"/>
      <c r="G254" s="844"/>
      <c r="H254" s="700">
        <v>0</v>
      </c>
      <c r="I254" s="700">
        <v>0</v>
      </c>
      <c r="J254" s="457">
        <f>K254+N254</f>
        <v>0</v>
      </c>
      <c r="K254" s="457">
        <f>L254+M254</f>
        <v>0</v>
      </c>
      <c r="L254" s="458">
        <v>0</v>
      </c>
      <c r="M254" s="458">
        <v>0</v>
      </c>
      <c r="N254" s="457">
        <f>O254+R254+U254</f>
        <v>0</v>
      </c>
      <c r="O254" s="457">
        <f>P254+Q254</f>
        <v>0</v>
      </c>
      <c r="P254" s="458">
        <v>0</v>
      </c>
      <c r="Q254" s="458">
        <v>0</v>
      </c>
      <c r="R254" s="457">
        <f>S254+T254</f>
        <v>0</v>
      </c>
      <c r="S254" s="458">
        <v>0</v>
      </c>
      <c r="T254" s="458">
        <v>0</v>
      </c>
      <c r="U254" s="457">
        <f>V254+W254</f>
        <v>0</v>
      </c>
      <c r="V254" s="458">
        <v>0</v>
      </c>
      <c r="W254" s="458">
        <v>0</v>
      </c>
    </row>
    <row r="255" spans="1:23" s="701" customFormat="1" ht="12.75" customHeight="1" hidden="1">
      <c r="A255" s="848"/>
      <c r="B255" s="844"/>
      <c r="C255" s="846"/>
      <c r="D255" s="872"/>
      <c r="E255" s="848"/>
      <c r="F255" s="848"/>
      <c r="G255" s="844"/>
      <c r="H255" s="700">
        <v>511483</v>
      </c>
      <c r="I255" s="700">
        <v>10601</v>
      </c>
      <c r="J255" s="842">
        <f>J252+J254</f>
        <v>1096071</v>
      </c>
      <c r="K255" s="842">
        <f aca="true" t="shared" si="46" ref="K255:W255">K252+K254</f>
        <v>927594</v>
      </c>
      <c r="L255" s="842">
        <f t="shared" si="46"/>
        <v>47660</v>
      </c>
      <c r="M255" s="842">
        <f t="shared" si="46"/>
        <v>879934</v>
      </c>
      <c r="N255" s="842">
        <f t="shared" si="46"/>
        <v>168477</v>
      </c>
      <c r="O255" s="842">
        <f t="shared" si="46"/>
        <v>0</v>
      </c>
      <c r="P255" s="842">
        <f t="shared" si="46"/>
        <v>0</v>
      </c>
      <c r="Q255" s="842">
        <f t="shared" si="46"/>
        <v>0</v>
      </c>
      <c r="R255" s="842">
        <f t="shared" si="46"/>
        <v>168477</v>
      </c>
      <c r="S255" s="842">
        <f t="shared" si="46"/>
        <v>8411</v>
      </c>
      <c r="T255" s="842">
        <f t="shared" si="46"/>
        <v>160066</v>
      </c>
      <c r="U255" s="842">
        <f t="shared" si="46"/>
        <v>0</v>
      </c>
      <c r="V255" s="842">
        <f t="shared" si="46"/>
        <v>0</v>
      </c>
      <c r="W255" s="842">
        <f t="shared" si="46"/>
        <v>0</v>
      </c>
    </row>
    <row r="256" spans="1:23" s="701" customFormat="1" ht="12.75" customHeight="1" hidden="1">
      <c r="A256" s="848"/>
      <c r="B256" s="844"/>
      <c r="C256" s="846"/>
      <c r="D256" s="872"/>
      <c r="E256" s="848"/>
      <c r="F256" s="848"/>
      <c r="G256" s="844"/>
      <c r="H256" s="700">
        <v>0</v>
      </c>
      <c r="I256" s="700">
        <v>0</v>
      </c>
      <c r="J256" s="842"/>
      <c r="K256" s="842"/>
      <c r="L256" s="842"/>
      <c r="M256" s="842"/>
      <c r="N256" s="842"/>
      <c r="O256" s="842"/>
      <c r="P256" s="842"/>
      <c r="Q256" s="842"/>
      <c r="R256" s="842"/>
      <c r="S256" s="842"/>
      <c r="T256" s="842"/>
      <c r="U256" s="842"/>
      <c r="V256" s="842"/>
      <c r="W256" s="842"/>
    </row>
    <row r="257" spans="1:23" s="701" customFormat="1" ht="15" customHeight="1">
      <c r="A257" s="848">
        <v>35</v>
      </c>
      <c r="B257" s="844" t="s">
        <v>785</v>
      </c>
      <c r="C257" s="846" t="s">
        <v>1053</v>
      </c>
      <c r="D257" s="872" t="s">
        <v>787</v>
      </c>
      <c r="E257" s="848" t="s">
        <v>1054</v>
      </c>
      <c r="F257" s="848" t="s">
        <v>1111</v>
      </c>
      <c r="G257" s="844" t="s">
        <v>652</v>
      </c>
      <c r="H257" s="700">
        <f>H258+H259+H260+H261</f>
        <v>12276164</v>
      </c>
      <c r="I257" s="700">
        <f>I258+I259+I260+I261</f>
        <v>0</v>
      </c>
      <c r="J257" s="842">
        <f>K257+N257</f>
        <v>0</v>
      </c>
      <c r="K257" s="842">
        <f>L257+M257</f>
        <v>0</v>
      </c>
      <c r="L257" s="842">
        <v>0</v>
      </c>
      <c r="M257" s="842">
        <v>0</v>
      </c>
      <c r="N257" s="842">
        <f>O257+R257+U257</f>
        <v>0</v>
      </c>
      <c r="O257" s="842">
        <f>P257+Q257</f>
        <v>0</v>
      </c>
      <c r="P257" s="842">
        <v>0</v>
      </c>
      <c r="Q257" s="842">
        <v>0</v>
      </c>
      <c r="R257" s="842">
        <f>S257+T257</f>
        <v>0</v>
      </c>
      <c r="S257" s="842">
        <v>0</v>
      </c>
      <c r="T257" s="842">
        <v>0</v>
      </c>
      <c r="U257" s="842">
        <f>V257+W257</f>
        <v>0</v>
      </c>
      <c r="V257" s="842">
        <v>0</v>
      </c>
      <c r="W257" s="842">
        <v>0</v>
      </c>
    </row>
    <row r="258" spans="1:23" s="701" customFormat="1" ht="15" customHeight="1">
      <c r="A258" s="848"/>
      <c r="B258" s="844"/>
      <c r="C258" s="846"/>
      <c r="D258" s="872"/>
      <c r="E258" s="848"/>
      <c r="F258" s="848"/>
      <c r="G258" s="844"/>
      <c r="H258" s="700">
        <v>10983936</v>
      </c>
      <c r="I258" s="700">
        <v>0</v>
      </c>
      <c r="J258" s="842"/>
      <c r="K258" s="842"/>
      <c r="L258" s="842"/>
      <c r="M258" s="842"/>
      <c r="N258" s="842"/>
      <c r="O258" s="842"/>
      <c r="P258" s="842"/>
      <c r="Q258" s="842"/>
      <c r="R258" s="842"/>
      <c r="S258" s="842"/>
      <c r="T258" s="842"/>
      <c r="U258" s="842"/>
      <c r="V258" s="842"/>
      <c r="W258" s="842"/>
    </row>
    <row r="259" spans="1:23" s="701" customFormat="1" ht="15" customHeight="1">
      <c r="A259" s="848"/>
      <c r="B259" s="844"/>
      <c r="C259" s="846"/>
      <c r="D259" s="872"/>
      <c r="E259" s="848"/>
      <c r="F259" s="848"/>
      <c r="G259" s="844"/>
      <c r="H259" s="700">
        <v>1292228</v>
      </c>
      <c r="I259" s="700">
        <v>0</v>
      </c>
      <c r="J259" s="457">
        <f>K259+N259</f>
        <v>3698738</v>
      </c>
      <c r="K259" s="457">
        <f>L259+M259</f>
        <v>3309396</v>
      </c>
      <c r="L259" s="458">
        <v>3309396</v>
      </c>
      <c r="M259" s="458">
        <v>0</v>
      </c>
      <c r="N259" s="457">
        <f>O259+R259+U259</f>
        <v>389342</v>
      </c>
      <c r="O259" s="457">
        <f>P259+Q259</f>
        <v>389342</v>
      </c>
      <c r="P259" s="458">
        <v>389342</v>
      </c>
      <c r="Q259" s="458">
        <v>0</v>
      </c>
      <c r="R259" s="457">
        <f>S259+T259</f>
        <v>0</v>
      </c>
      <c r="S259" s="458">
        <v>0</v>
      </c>
      <c r="T259" s="458">
        <v>0</v>
      </c>
      <c r="U259" s="457">
        <f>V259+W259</f>
        <v>0</v>
      </c>
      <c r="V259" s="458">
        <v>0</v>
      </c>
      <c r="W259" s="458">
        <v>0</v>
      </c>
    </row>
    <row r="260" spans="1:23" s="701" customFormat="1" ht="15" customHeight="1">
      <c r="A260" s="848"/>
      <c r="B260" s="844"/>
      <c r="C260" s="846"/>
      <c r="D260" s="872"/>
      <c r="E260" s="848"/>
      <c r="F260" s="848"/>
      <c r="G260" s="844"/>
      <c r="H260" s="700">
        <v>0</v>
      </c>
      <c r="I260" s="700">
        <v>0</v>
      </c>
      <c r="J260" s="842">
        <f>J257+J259</f>
        <v>3698738</v>
      </c>
      <c r="K260" s="842">
        <f aca="true" t="shared" si="47" ref="K260:W260">K257+K259</f>
        <v>3309396</v>
      </c>
      <c r="L260" s="842">
        <f t="shared" si="47"/>
        <v>3309396</v>
      </c>
      <c r="M260" s="842">
        <f t="shared" si="47"/>
        <v>0</v>
      </c>
      <c r="N260" s="842">
        <f t="shared" si="47"/>
        <v>389342</v>
      </c>
      <c r="O260" s="842">
        <f t="shared" si="47"/>
        <v>389342</v>
      </c>
      <c r="P260" s="842">
        <f t="shared" si="47"/>
        <v>389342</v>
      </c>
      <c r="Q260" s="842">
        <f t="shared" si="47"/>
        <v>0</v>
      </c>
      <c r="R260" s="842">
        <f t="shared" si="47"/>
        <v>0</v>
      </c>
      <c r="S260" s="842">
        <f t="shared" si="47"/>
        <v>0</v>
      </c>
      <c r="T260" s="842">
        <f t="shared" si="47"/>
        <v>0</v>
      </c>
      <c r="U260" s="842">
        <f t="shared" si="47"/>
        <v>0</v>
      </c>
      <c r="V260" s="842">
        <f t="shared" si="47"/>
        <v>0</v>
      </c>
      <c r="W260" s="842">
        <f t="shared" si="47"/>
        <v>0</v>
      </c>
    </row>
    <row r="261" spans="1:23" s="701" customFormat="1" ht="15" customHeight="1">
      <c r="A261" s="848"/>
      <c r="B261" s="844"/>
      <c r="C261" s="846"/>
      <c r="D261" s="872"/>
      <c r="E261" s="848"/>
      <c r="F261" s="848"/>
      <c r="G261" s="844"/>
      <c r="H261" s="700">
        <v>0</v>
      </c>
      <c r="I261" s="700">
        <v>0</v>
      </c>
      <c r="J261" s="842"/>
      <c r="K261" s="842"/>
      <c r="L261" s="842"/>
      <c r="M261" s="842"/>
      <c r="N261" s="842"/>
      <c r="O261" s="842"/>
      <c r="P261" s="842"/>
      <c r="Q261" s="842"/>
      <c r="R261" s="842"/>
      <c r="S261" s="842"/>
      <c r="T261" s="842"/>
      <c r="U261" s="842"/>
      <c r="V261" s="842"/>
      <c r="W261" s="842"/>
    </row>
    <row r="262" spans="1:23" s="701" customFormat="1" ht="12.75" customHeight="1" hidden="1">
      <c r="A262" s="848">
        <v>46</v>
      </c>
      <c r="B262" s="844" t="s">
        <v>774</v>
      </c>
      <c r="C262" s="846" t="s">
        <v>1056</v>
      </c>
      <c r="D262" s="872" t="s">
        <v>1057</v>
      </c>
      <c r="E262" s="848" t="s">
        <v>581</v>
      </c>
      <c r="F262" s="848" t="s">
        <v>1055</v>
      </c>
      <c r="G262" s="844" t="s">
        <v>588</v>
      </c>
      <c r="H262" s="700">
        <f>H263+H264+H265+H266</f>
        <v>1078200</v>
      </c>
      <c r="I262" s="700">
        <f>I263+I264+I265+I266</f>
        <v>281700</v>
      </c>
      <c r="J262" s="842">
        <f>K262+N262</f>
        <v>514800</v>
      </c>
      <c r="K262" s="842">
        <f>L262+M262</f>
        <v>437580</v>
      </c>
      <c r="L262" s="842">
        <v>437580</v>
      </c>
      <c r="M262" s="842">
        <v>0</v>
      </c>
      <c r="N262" s="842">
        <f>O262+R262+U262</f>
        <v>77220</v>
      </c>
      <c r="O262" s="842">
        <f>P262+Q262</f>
        <v>51480</v>
      </c>
      <c r="P262" s="842">
        <v>51480</v>
      </c>
      <c r="Q262" s="842">
        <v>0</v>
      </c>
      <c r="R262" s="842">
        <f>S262+T262</f>
        <v>25740</v>
      </c>
      <c r="S262" s="842">
        <v>25740</v>
      </c>
      <c r="T262" s="842">
        <v>0</v>
      </c>
      <c r="U262" s="842">
        <f>V262+W262</f>
        <v>0</v>
      </c>
      <c r="V262" s="842">
        <v>0</v>
      </c>
      <c r="W262" s="842">
        <v>0</v>
      </c>
    </row>
    <row r="263" spans="1:23" s="701" customFormat="1" ht="12.75" customHeight="1" hidden="1">
      <c r="A263" s="848"/>
      <c r="B263" s="844"/>
      <c r="C263" s="846"/>
      <c r="D263" s="872"/>
      <c r="E263" s="848"/>
      <c r="F263" s="848"/>
      <c r="G263" s="844"/>
      <c r="H263" s="700">
        <v>916470</v>
      </c>
      <c r="I263" s="700">
        <v>239445</v>
      </c>
      <c r="J263" s="842"/>
      <c r="K263" s="842"/>
      <c r="L263" s="842"/>
      <c r="M263" s="842"/>
      <c r="N263" s="842"/>
      <c r="O263" s="842"/>
      <c r="P263" s="842"/>
      <c r="Q263" s="842"/>
      <c r="R263" s="842"/>
      <c r="S263" s="842"/>
      <c r="T263" s="842"/>
      <c r="U263" s="842"/>
      <c r="V263" s="842"/>
      <c r="W263" s="842"/>
    </row>
    <row r="264" spans="1:23" s="701" customFormat="1" ht="12.75" customHeight="1" hidden="1">
      <c r="A264" s="848"/>
      <c r="B264" s="844"/>
      <c r="C264" s="846"/>
      <c r="D264" s="872"/>
      <c r="E264" s="848"/>
      <c r="F264" s="848"/>
      <c r="G264" s="844"/>
      <c r="H264" s="700">
        <v>107820</v>
      </c>
      <c r="I264" s="700">
        <v>28170</v>
      </c>
      <c r="J264" s="457">
        <f>K264+N264</f>
        <v>0</v>
      </c>
      <c r="K264" s="457">
        <f>L264+M264</f>
        <v>0</v>
      </c>
      <c r="L264" s="458">
        <v>0</v>
      </c>
      <c r="M264" s="458">
        <v>0</v>
      </c>
      <c r="N264" s="457">
        <f>O264+R264+U264</f>
        <v>0</v>
      </c>
      <c r="O264" s="457">
        <f>P264+Q264</f>
        <v>0</v>
      </c>
      <c r="P264" s="458">
        <v>0</v>
      </c>
      <c r="Q264" s="458">
        <v>0</v>
      </c>
      <c r="R264" s="457">
        <f>S264+T264</f>
        <v>0</v>
      </c>
      <c r="S264" s="458">
        <v>0</v>
      </c>
      <c r="T264" s="458">
        <v>0</v>
      </c>
      <c r="U264" s="457">
        <f>V264+W264</f>
        <v>0</v>
      </c>
      <c r="V264" s="458">
        <v>0</v>
      </c>
      <c r="W264" s="458">
        <v>0</v>
      </c>
    </row>
    <row r="265" spans="1:23" s="701" customFormat="1" ht="12.75" customHeight="1" hidden="1">
      <c r="A265" s="848"/>
      <c r="B265" s="844"/>
      <c r="C265" s="846"/>
      <c r="D265" s="872"/>
      <c r="E265" s="848"/>
      <c r="F265" s="848"/>
      <c r="G265" s="844"/>
      <c r="H265" s="700">
        <v>53910</v>
      </c>
      <c r="I265" s="700">
        <v>14085</v>
      </c>
      <c r="J265" s="842">
        <f>J262+J264</f>
        <v>514800</v>
      </c>
      <c r="K265" s="842">
        <f aca="true" t="shared" si="48" ref="K265:W265">K262+K264</f>
        <v>437580</v>
      </c>
      <c r="L265" s="842">
        <f t="shared" si="48"/>
        <v>437580</v>
      </c>
      <c r="M265" s="842">
        <f t="shared" si="48"/>
        <v>0</v>
      </c>
      <c r="N265" s="842">
        <f t="shared" si="48"/>
        <v>77220</v>
      </c>
      <c r="O265" s="842">
        <f t="shared" si="48"/>
        <v>51480</v>
      </c>
      <c r="P265" s="842">
        <f t="shared" si="48"/>
        <v>51480</v>
      </c>
      <c r="Q265" s="842">
        <f t="shared" si="48"/>
        <v>0</v>
      </c>
      <c r="R265" s="842">
        <f t="shared" si="48"/>
        <v>25740</v>
      </c>
      <c r="S265" s="842">
        <f t="shared" si="48"/>
        <v>25740</v>
      </c>
      <c r="T265" s="842">
        <f t="shared" si="48"/>
        <v>0</v>
      </c>
      <c r="U265" s="842">
        <f t="shared" si="48"/>
        <v>0</v>
      </c>
      <c r="V265" s="842">
        <f t="shared" si="48"/>
        <v>0</v>
      </c>
      <c r="W265" s="842">
        <f t="shared" si="48"/>
        <v>0</v>
      </c>
    </row>
    <row r="266" spans="1:23" s="701" customFormat="1" ht="12.75" customHeight="1" hidden="1">
      <c r="A266" s="848"/>
      <c r="B266" s="844"/>
      <c r="C266" s="846"/>
      <c r="D266" s="872"/>
      <c r="E266" s="848"/>
      <c r="F266" s="848"/>
      <c r="G266" s="844"/>
      <c r="H266" s="700">
        <v>0</v>
      </c>
      <c r="I266" s="700">
        <v>0</v>
      </c>
      <c r="J266" s="842"/>
      <c r="K266" s="842"/>
      <c r="L266" s="842"/>
      <c r="M266" s="842"/>
      <c r="N266" s="842"/>
      <c r="O266" s="842"/>
      <c r="P266" s="842"/>
      <c r="Q266" s="842"/>
      <c r="R266" s="842"/>
      <c r="S266" s="842"/>
      <c r="T266" s="842"/>
      <c r="U266" s="842"/>
      <c r="V266" s="842"/>
      <c r="W266" s="842"/>
    </row>
    <row r="267" spans="1:23" s="701" customFormat="1" ht="15" customHeight="1">
      <c r="A267" s="848">
        <v>36</v>
      </c>
      <c r="B267" s="859" t="s">
        <v>788</v>
      </c>
      <c r="C267" s="846" t="s">
        <v>1058</v>
      </c>
      <c r="D267" s="869" t="s">
        <v>790</v>
      </c>
      <c r="E267" s="849" t="s">
        <v>1059</v>
      </c>
      <c r="F267" s="849" t="s">
        <v>597</v>
      </c>
      <c r="G267" s="859" t="s">
        <v>598</v>
      </c>
      <c r="H267" s="700">
        <f>H268+H269+H270+H271</f>
        <v>4691046</v>
      </c>
      <c r="I267" s="700">
        <f>I268+I269+I270+I271</f>
        <v>509884</v>
      </c>
      <c r="J267" s="842">
        <f>K267+N267</f>
        <v>1458677</v>
      </c>
      <c r="K267" s="842">
        <f>L267+M267</f>
        <v>1305131</v>
      </c>
      <c r="L267" s="842">
        <v>1305131</v>
      </c>
      <c r="M267" s="842">
        <v>0</v>
      </c>
      <c r="N267" s="842">
        <f>O267+R267+U267</f>
        <v>153546</v>
      </c>
      <c r="O267" s="842">
        <f>P267+Q267</f>
        <v>153546</v>
      </c>
      <c r="P267" s="842">
        <v>153546</v>
      </c>
      <c r="Q267" s="842">
        <v>0</v>
      </c>
      <c r="R267" s="842">
        <f>S267+T267</f>
        <v>0</v>
      </c>
      <c r="S267" s="842">
        <v>0</v>
      </c>
      <c r="T267" s="842">
        <v>0</v>
      </c>
      <c r="U267" s="842">
        <f>V267+W267</f>
        <v>0</v>
      </c>
      <c r="V267" s="842">
        <v>0</v>
      </c>
      <c r="W267" s="842">
        <v>0</v>
      </c>
    </row>
    <row r="268" spans="1:23" s="701" customFormat="1" ht="15" customHeight="1">
      <c r="A268" s="848"/>
      <c r="B268" s="860"/>
      <c r="C268" s="846"/>
      <c r="D268" s="870"/>
      <c r="E268" s="850"/>
      <c r="F268" s="850"/>
      <c r="G268" s="860"/>
      <c r="H268" s="700">
        <v>4197251</v>
      </c>
      <c r="I268" s="700">
        <v>456212</v>
      </c>
      <c r="J268" s="842"/>
      <c r="K268" s="842"/>
      <c r="L268" s="842"/>
      <c r="M268" s="842"/>
      <c r="N268" s="842"/>
      <c r="O268" s="842"/>
      <c r="P268" s="842"/>
      <c r="Q268" s="842"/>
      <c r="R268" s="842"/>
      <c r="S268" s="842"/>
      <c r="T268" s="842"/>
      <c r="U268" s="842"/>
      <c r="V268" s="842"/>
      <c r="W268" s="842"/>
    </row>
    <row r="269" spans="1:23" s="701" customFormat="1" ht="15" customHeight="1">
      <c r="A269" s="848"/>
      <c r="B269" s="860"/>
      <c r="C269" s="846"/>
      <c r="D269" s="870"/>
      <c r="E269" s="850"/>
      <c r="F269" s="850"/>
      <c r="G269" s="860"/>
      <c r="H269" s="700">
        <v>493795</v>
      </c>
      <c r="I269" s="700">
        <v>53672</v>
      </c>
      <c r="J269" s="457">
        <f>K269+N269</f>
        <v>105916</v>
      </c>
      <c r="K269" s="457">
        <f>L269+M269</f>
        <v>94767</v>
      </c>
      <c r="L269" s="458">
        <v>94767</v>
      </c>
      <c r="M269" s="458">
        <v>0</v>
      </c>
      <c r="N269" s="457">
        <f>O269+R269+U269</f>
        <v>11149</v>
      </c>
      <c r="O269" s="457">
        <f>P269+Q269</f>
        <v>11149</v>
      </c>
      <c r="P269" s="458">
        <v>11149</v>
      </c>
      <c r="Q269" s="458">
        <v>0</v>
      </c>
      <c r="R269" s="457">
        <f>S269+T269</f>
        <v>0</v>
      </c>
      <c r="S269" s="458">
        <v>0</v>
      </c>
      <c r="T269" s="458">
        <v>0</v>
      </c>
      <c r="U269" s="457">
        <f>V269+W269</f>
        <v>0</v>
      </c>
      <c r="V269" s="458">
        <v>0</v>
      </c>
      <c r="W269" s="458">
        <v>0</v>
      </c>
    </row>
    <row r="270" spans="1:23" s="701" customFormat="1" ht="15" customHeight="1">
      <c r="A270" s="848"/>
      <c r="B270" s="860"/>
      <c r="C270" s="846"/>
      <c r="D270" s="870"/>
      <c r="E270" s="850"/>
      <c r="F270" s="850"/>
      <c r="G270" s="860"/>
      <c r="H270" s="700">
        <v>0</v>
      </c>
      <c r="I270" s="700">
        <v>0</v>
      </c>
      <c r="J270" s="842">
        <f>J267+J269</f>
        <v>1564593</v>
      </c>
      <c r="K270" s="842">
        <f aca="true" t="shared" si="49" ref="K270:W270">K267+K269</f>
        <v>1399898</v>
      </c>
      <c r="L270" s="842">
        <f t="shared" si="49"/>
        <v>1399898</v>
      </c>
      <c r="M270" s="842">
        <f t="shared" si="49"/>
        <v>0</v>
      </c>
      <c r="N270" s="842">
        <f t="shared" si="49"/>
        <v>164695</v>
      </c>
      <c r="O270" s="842">
        <f t="shared" si="49"/>
        <v>164695</v>
      </c>
      <c r="P270" s="842">
        <f t="shared" si="49"/>
        <v>164695</v>
      </c>
      <c r="Q270" s="842">
        <f t="shared" si="49"/>
        <v>0</v>
      </c>
      <c r="R270" s="842">
        <f t="shared" si="49"/>
        <v>0</v>
      </c>
      <c r="S270" s="842">
        <f t="shared" si="49"/>
        <v>0</v>
      </c>
      <c r="T270" s="842">
        <f t="shared" si="49"/>
        <v>0</v>
      </c>
      <c r="U270" s="842">
        <f t="shared" si="49"/>
        <v>0</v>
      </c>
      <c r="V270" s="842">
        <f t="shared" si="49"/>
        <v>0</v>
      </c>
      <c r="W270" s="842">
        <f t="shared" si="49"/>
        <v>0</v>
      </c>
    </row>
    <row r="271" spans="1:23" s="701" customFormat="1" ht="15" customHeight="1">
      <c r="A271" s="848"/>
      <c r="B271" s="861"/>
      <c r="C271" s="846"/>
      <c r="D271" s="871"/>
      <c r="E271" s="851"/>
      <c r="F271" s="851"/>
      <c r="G271" s="861"/>
      <c r="H271" s="700">
        <v>0</v>
      </c>
      <c r="I271" s="700">
        <v>0</v>
      </c>
      <c r="J271" s="842"/>
      <c r="K271" s="842"/>
      <c r="L271" s="842"/>
      <c r="M271" s="842"/>
      <c r="N271" s="842"/>
      <c r="O271" s="842"/>
      <c r="P271" s="842"/>
      <c r="Q271" s="842"/>
      <c r="R271" s="842"/>
      <c r="S271" s="842"/>
      <c r="T271" s="842"/>
      <c r="U271" s="842"/>
      <c r="V271" s="842"/>
      <c r="W271" s="842"/>
    </row>
    <row r="272" spans="1:23" s="701" customFormat="1" ht="15" customHeight="1">
      <c r="A272" s="848">
        <v>37</v>
      </c>
      <c r="B272" s="859" t="s">
        <v>788</v>
      </c>
      <c r="C272" s="846" t="s">
        <v>1058</v>
      </c>
      <c r="D272" s="869" t="s">
        <v>789</v>
      </c>
      <c r="E272" s="849" t="s">
        <v>1059</v>
      </c>
      <c r="F272" s="849" t="s">
        <v>597</v>
      </c>
      <c r="G272" s="859" t="s">
        <v>588</v>
      </c>
      <c r="H272" s="700">
        <f>H273+H274+H275+H276</f>
        <v>7315715</v>
      </c>
      <c r="I272" s="700">
        <f>I273+I274+I275+I276</f>
        <v>681516</v>
      </c>
      <c r="J272" s="842">
        <f>K272+N272</f>
        <v>3663292</v>
      </c>
      <c r="K272" s="842">
        <f>L272+M272</f>
        <v>3277682</v>
      </c>
      <c r="L272" s="842">
        <v>3277682</v>
      </c>
      <c r="M272" s="842">
        <v>0</v>
      </c>
      <c r="N272" s="842">
        <f>O272+R272+U272</f>
        <v>385610</v>
      </c>
      <c r="O272" s="842">
        <f>P272+Q272</f>
        <v>385610</v>
      </c>
      <c r="P272" s="842">
        <v>385610</v>
      </c>
      <c r="Q272" s="842">
        <v>0</v>
      </c>
      <c r="R272" s="842">
        <f>S272+T272</f>
        <v>0</v>
      </c>
      <c r="S272" s="842">
        <v>0</v>
      </c>
      <c r="T272" s="842">
        <v>0</v>
      </c>
      <c r="U272" s="842">
        <f>V272+W272</f>
        <v>0</v>
      </c>
      <c r="V272" s="842">
        <v>0</v>
      </c>
      <c r="W272" s="842">
        <v>0</v>
      </c>
    </row>
    <row r="273" spans="1:23" s="701" customFormat="1" ht="15" customHeight="1">
      <c r="A273" s="848"/>
      <c r="B273" s="860"/>
      <c r="C273" s="846"/>
      <c r="D273" s="870"/>
      <c r="E273" s="850"/>
      <c r="F273" s="850"/>
      <c r="G273" s="860"/>
      <c r="H273" s="700">
        <v>6545639</v>
      </c>
      <c r="I273" s="700">
        <v>609777</v>
      </c>
      <c r="J273" s="842"/>
      <c r="K273" s="842"/>
      <c r="L273" s="842"/>
      <c r="M273" s="842"/>
      <c r="N273" s="842"/>
      <c r="O273" s="842"/>
      <c r="P273" s="842"/>
      <c r="Q273" s="842"/>
      <c r="R273" s="842"/>
      <c r="S273" s="842"/>
      <c r="T273" s="842"/>
      <c r="U273" s="842"/>
      <c r="V273" s="842"/>
      <c r="W273" s="842"/>
    </row>
    <row r="274" spans="1:23" s="701" customFormat="1" ht="15" customHeight="1">
      <c r="A274" s="848"/>
      <c r="B274" s="860"/>
      <c r="C274" s="846"/>
      <c r="D274" s="870"/>
      <c r="E274" s="850"/>
      <c r="F274" s="850"/>
      <c r="G274" s="860"/>
      <c r="H274" s="700">
        <v>770076</v>
      </c>
      <c r="I274" s="700">
        <v>71739</v>
      </c>
      <c r="J274" s="457">
        <f>K274+N274</f>
        <v>410875</v>
      </c>
      <c r="K274" s="457">
        <f>L274+M274</f>
        <v>367625</v>
      </c>
      <c r="L274" s="458">
        <v>367625</v>
      </c>
      <c r="M274" s="458">
        <v>0</v>
      </c>
      <c r="N274" s="457">
        <f>O274+R274+U274</f>
        <v>43250</v>
      </c>
      <c r="O274" s="457">
        <f>P274+Q274</f>
        <v>43250</v>
      </c>
      <c r="P274" s="458">
        <v>43250</v>
      </c>
      <c r="Q274" s="458">
        <v>0</v>
      </c>
      <c r="R274" s="457">
        <f>S274+T274</f>
        <v>0</v>
      </c>
      <c r="S274" s="458">
        <v>0</v>
      </c>
      <c r="T274" s="458">
        <v>0</v>
      </c>
      <c r="U274" s="457">
        <f>V274+W274</f>
        <v>0</v>
      </c>
      <c r="V274" s="458">
        <v>0</v>
      </c>
      <c r="W274" s="458">
        <v>0</v>
      </c>
    </row>
    <row r="275" spans="1:23" s="701" customFormat="1" ht="15" customHeight="1">
      <c r="A275" s="848"/>
      <c r="B275" s="860"/>
      <c r="C275" s="846"/>
      <c r="D275" s="870"/>
      <c r="E275" s="850"/>
      <c r="F275" s="850"/>
      <c r="G275" s="860"/>
      <c r="H275" s="700">
        <v>0</v>
      </c>
      <c r="I275" s="700">
        <v>0</v>
      </c>
      <c r="J275" s="842">
        <f>J272+J274</f>
        <v>4074167</v>
      </c>
      <c r="K275" s="842">
        <f aca="true" t="shared" si="50" ref="K275:W275">K272+K274</f>
        <v>3645307</v>
      </c>
      <c r="L275" s="842">
        <f t="shared" si="50"/>
        <v>3645307</v>
      </c>
      <c r="M275" s="842">
        <f t="shared" si="50"/>
        <v>0</v>
      </c>
      <c r="N275" s="842">
        <f t="shared" si="50"/>
        <v>428860</v>
      </c>
      <c r="O275" s="842">
        <f t="shared" si="50"/>
        <v>428860</v>
      </c>
      <c r="P275" s="842">
        <f t="shared" si="50"/>
        <v>428860</v>
      </c>
      <c r="Q275" s="842">
        <f t="shared" si="50"/>
        <v>0</v>
      </c>
      <c r="R275" s="842">
        <f t="shared" si="50"/>
        <v>0</v>
      </c>
      <c r="S275" s="842">
        <f t="shared" si="50"/>
        <v>0</v>
      </c>
      <c r="T275" s="842">
        <f t="shared" si="50"/>
        <v>0</v>
      </c>
      <c r="U275" s="842">
        <f t="shared" si="50"/>
        <v>0</v>
      </c>
      <c r="V275" s="842">
        <f t="shared" si="50"/>
        <v>0</v>
      </c>
      <c r="W275" s="842">
        <f t="shared" si="50"/>
        <v>0</v>
      </c>
    </row>
    <row r="276" spans="1:23" s="701" customFormat="1" ht="15" customHeight="1">
      <c r="A276" s="848"/>
      <c r="B276" s="861"/>
      <c r="C276" s="846"/>
      <c r="D276" s="871"/>
      <c r="E276" s="851"/>
      <c r="F276" s="851"/>
      <c r="G276" s="861"/>
      <c r="H276" s="700">
        <v>0</v>
      </c>
      <c r="I276" s="700">
        <v>0</v>
      </c>
      <c r="J276" s="842"/>
      <c r="K276" s="842"/>
      <c r="L276" s="842"/>
      <c r="M276" s="842"/>
      <c r="N276" s="842"/>
      <c r="O276" s="842"/>
      <c r="P276" s="842"/>
      <c r="Q276" s="842"/>
      <c r="R276" s="842"/>
      <c r="S276" s="842"/>
      <c r="T276" s="842"/>
      <c r="U276" s="842"/>
      <c r="V276" s="842"/>
      <c r="W276" s="842"/>
    </row>
    <row r="277" spans="1:23" s="701" customFormat="1" ht="15" customHeight="1">
      <c r="A277" s="848">
        <v>38</v>
      </c>
      <c r="B277" s="859" t="s">
        <v>791</v>
      </c>
      <c r="C277" s="846" t="s">
        <v>1060</v>
      </c>
      <c r="D277" s="869" t="s">
        <v>793</v>
      </c>
      <c r="E277" s="849" t="s">
        <v>1059</v>
      </c>
      <c r="F277" s="849" t="s">
        <v>1112</v>
      </c>
      <c r="G277" s="859" t="s">
        <v>588</v>
      </c>
      <c r="H277" s="700">
        <f>H278+H279+H280+H281</f>
        <v>11609693</v>
      </c>
      <c r="I277" s="700">
        <f>I278+I279+I280+I281</f>
        <v>1951502</v>
      </c>
      <c r="J277" s="842">
        <f>K277+N277</f>
        <v>6009790</v>
      </c>
      <c r="K277" s="842">
        <f>L277+M277</f>
        <v>5552524</v>
      </c>
      <c r="L277" s="842">
        <v>5552524</v>
      </c>
      <c r="M277" s="842">
        <v>0</v>
      </c>
      <c r="N277" s="842">
        <f>O277+R277+U277</f>
        <v>457266</v>
      </c>
      <c r="O277" s="842">
        <f>P277+Q277</f>
        <v>457266</v>
      </c>
      <c r="P277" s="842">
        <v>457266</v>
      </c>
      <c r="Q277" s="842">
        <v>0</v>
      </c>
      <c r="R277" s="842">
        <f>S277+T277</f>
        <v>0</v>
      </c>
      <c r="S277" s="842">
        <v>0</v>
      </c>
      <c r="T277" s="842">
        <v>0</v>
      </c>
      <c r="U277" s="842">
        <f>V277+W277</f>
        <v>0</v>
      </c>
      <c r="V277" s="842">
        <v>0</v>
      </c>
      <c r="W277" s="842">
        <v>0</v>
      </c>
    </row>
    <row r="278" spans="1:23" s="701" customFormat="1" ht="15" customHeight="1">
      <c r="A278" s="848"/>
      <c r="B278" s="860"/>
      <c r="C278" s="846"/>
      <c r="D278" s="870"/>
      <c r="E278" s="850"/>
      <c r="F278" s="850"/>
      <c r="G278" s="860"/>
      <c r="H278" s="700">
        <v>10726347</v>
      </c>
      <c r="I278" s="700">
        <v>1803018</v>
      </c>
      <c r="J278" s="842"/>
      <c r="K278" s="842"/>
      <c r="L278" s="842"/>
      <c r="M278" s="842"/>
      <c r="N278" s="842"/>
      <c r="O278" s="842"/>
      <c r="P278" s="842"/>
      <c r="Q278" s="842"/>
      <c r="R278" s="842"/>
      <c r="S278" s="842"/>
      <c r="T278" s="842"/>
      <c r="U278" s="842"/>
      <c r="V278" s="842"/>
      <c r="W278" s="842"/>
    </row>
    <row r="279" spans="1:23" s="701" customFormat="1" ht="15" customHeight="1">
      <c r="A279" s="848"/>
      <c r="B279" s="860"/>
      <c r="C279" s="846"/>
      <c r="D279" s="870"/>
      <c r="E279" s="850"/>
      <c r="F279" s="850"/>
      <c r="G279" s="860"/>
      <c r="H279" s="700">
        <v>883346</v>
      </c>
      <c r="I279" s="700">
        <v>148484</v>
      </c>
      <c r="J279" s="457">
        <f>K279+N279</f>
        <v>647465</v>
      </c>
      <c r="K279" s="457">
        <f>L279+M279</f>
        <v>598201</v>
      </c>
      <c r="L279" s="458">
        <v>598201</v>
      </c>
      <c r="M279" s="458">
        <v>0</v>
      </c>
      <c r="N279" s="457">
        <f>O279+R279+U279</f>
        <v>49264</v>
      </c>
      <c r="O279" s="457">
        <f>P279+Q279</f>
        <v>49264</v>
      </c>
      <c r="P279" s="458">
        <v>49264</v>
      </c>
      <c r="Q279" s="458">
        <v>0</v>
      </c>
      <c r="R279" s="457">
        <f>S279+T279</f>
        <v>0</v>
      </c>
      <c r="S279" s="458">
        <v>0</v>
      </c>
      <c r="T279" s="458">
        <v>0</v>
      </c>
      <c r="U279" s="457">
        <f>V279+W279</f>
        <v>0</v>
      </c>
      <c r="V279" s="458">
        <v>0</v>
      </c>
      <c r="W279" s="458">
        <v>0</v>
      </c>
    </row>
    <row r="280" spans="1:23" s="701" customFormat="1" ht="15" customHeight="1">
      <c r="A280" s="848"/>
      <c r="B280" s="860"/>
      <c r="C280" s="846"/>
      <c r="D280" s="870"/>
      <c r="E280" s="850"/>
      <c r="F280" s="850"/>
      <c r="G280" s="860"/>
      <c r="H280" s="700">
        <v>0</v>
      </c>
      <c r="I280" s="700">
        <v>0</v>
      </c>
      <c r="J280" s="842">
        <f>J277+J279</f>
        <v>6657255</v>
      </c>
      <c r="K280" s="842">
        <f aca="true" t="shared" si="51" ref="K280:W280">K277+K279</f>
        <v>6150725</v>
      </c>
      <c r="L280" s="842">
        <f t="shared" si="51"/>
        <v>6150725</v>
      </c>
      <c r="M280" s="842">
        <f t="shared" si="51"/>
        <v>0</v>
      </c>
      <c r="N280" s="842">
        <f t="shared" si="51"/>
        <v>506530</v>
      </c>
      <c r="O280" s="842">
        <f t="shared" si="51"/>
        <v>506530</v>
      </c>
      <c r="P280" s="842">
        <f t="shared" si="51"/>
        <v>506530</v>
      </c>
      <c r="Q280" s="842">
        <f t="shared" si="51"/>
        <v>0</v>
      </c>
      <c r="R280" s="842">
        <f t="shared" si="51"/>
        <v>0</v>
      </c>
      <c r="S280" s="842">
        <f t="shared" si="51"/>
        <v>0</v>
      </c>
      <c r="T280" s="842">
        <f t="shared" si="51"/>
        <v>0</v>
      </c>
      <c r="U280" s="842">
        <f t="shared" si="51"/>
        <v>0</v>
      </c>
      <c r="V280" s="842">
        <f t="shared" si="51"/>
        <v>0</v>
      </c>
      <c r="W280" s="842">
        <f t="shared" si="51"/>
        <v>0</v>
      </c>
    </row>
    <row r="281" spans="1:23" s="701" customFormat="1" ht="15" customHeight="1">
      <c r="A281" s="848"/>
      <c r="B281" s="861"/>
      <c r="C281" s="846"/>
      <c r="D281" s="871"/>
      <c r="E281" s="851"/>
      <c r="F281" s="851"/>
      <c r="G281" s="861"/>
      <c r="H281" s="700">
        <v>0</v>
      </c>
      <c r="I281" s="700">
        <v>0</v>
      </c>
      <c r="J281" s="842"/>
      <c r="K281" s="842"/>
      <c r="L281" s="842"/>
      <c r="M281" s="842"/>
      <c r="N281" s="842"/>
      <c r="O281" s="842"/>
      <c r="P281" s="842"/>
      <c r="Q281" s="842"/>
      <c r="R281" s="842"/>
      <c r="S281" s="842"/>
      <c r="T281" s="842"/>
      <c r="U281" s="842"/>
      <c r="V281" s="842"/>
      <c r="W281" s="842"/>
    </row>
    <row r="282" spans="1:23" s="701" customFormat="1" ht="14.25" customHeight="1">
      <c r="A282" s="848">
        <v>39</v>
      </c>
      <c r="B282" s="859" t="s">
        <v>791</v>
      </c>
      <c r="C282" s="846" t="s">
        <v>1060</v>
      </c>
      <c r="D282" s="869" t="s">
        <v>1061</v>
      </c>
      <c r="E282" s="849" t="s">
        <v>1059</v>
      </c>
      <c r="F282" s="849" t="s">
        <v>597</v>
      </c>
      <c r="G282" s="859" t="s">
        <v>644</v>
      </c>
      <c r="H282" s="700">
        <f>H283+H284+H285+H286</f>
        <v>1509371</v>
      </c>
      <c r="I282" s="700">
        <f>I283+I284+I285+I286</f>
        <v>408580</v>
      </c>
      <c r="J282" s="842">
        <f>K282+N282</f>
        <v>711875</v>
      </c>
      <c r="K282" s="842">
        <f>L282+M282</f>
        <v>658819</v>
      </c>
      <c r="L282" s="842">
        <v>658819</v>
      </c>
      <c r="M282" s="842">
        <v>0</v>
      </c>
      <c r="N282" s="842">
        <f>O282+R282+U282</f>
        <v>53056</v>
      </c>
      <c r="O282" s="842">
        <f>P282+Q282</f>
        <v>53056</v>
      </c>
      <c r="P282" s="842">
        <v>53056</v>
      </c>
      <c r="Q282" s="842">
        <v>0</v>
      </c>
      <c r="R282" s="842">
        <f>S282+T282</f>
        <v>0</v>
      </c>
      <c r="S282" s="842">
        <v>0</v>
      </c>
      <c r="T282" s="842">
        <v>0</v>
      </c>
      <c r="U282" s="842">
        <f>V282+W282</f>
        <v>0</v>
      </c>
      <c r="V282" s="842">
        <v>0</v>
      </c>
      <c r="W282" s="842">
        <v>0</v>
      </c>
    </row>
    <row r="283" spans="1:23" s="701" customFormat="1" ht="14.25" customHeight="1">
      <c r="A283" s="848"/>
      <c r="B283" s="860"/>
      <c r="C283" s="846"/>
      <c r="D283" s="870"/>
      <c r="E283" s="850"/>
      <c r="F283" s="850"/>
      <c r="G283" s="860"/>
      <c r="H283" s="700">
        <v>1396876</v>
      </c>
      <c r="I283" s="700">
        <v>378128</v>
      </c>
      <c r="J283" s="842"/>
      <c r="K283" s="842"/>
      <c r="L283" s="842"/>
      <c r="M283" s="842"/>
      <c r="N283" s="842"/>
      <c r="O283" s="842"/>
      <c r="P283" s="842"/>
      <c r="Q283" s="842"/>
      <c r="R283" s="842"/>
      <c r="S283" s="842"/>
      <c r="T283" s="842"/>
      <c r="U283" s="842"/>
      <c r="V283" s="842"/>
      <c r="W283" s="842"/>
    </row>
    <row r="284" spans="1:23" s="701" customFormat="1" ht="14.25" customHeight="1">
      <c r="A284" s="848"/>
      <c r="B284" s="860"/>
      <c r="C284" s="846"/>
      <c r="D284" s="870"/>
      <c r="E284" s="850"/>
      <c r="F284" s="850"/>
      <c r="G284" s="860"/>
      <c r="H284" s="700">
        <v>112495</v>
      </c>
      <c r="I284" s="700">
        <v>30452</v>
      </c>
      <c r="J284" s="457">
        <f>K284+N284</f>
        <v>388916</v>
      </c>
      <c r="K284" s="457">
        <f>L284+M284</f>
        <v>359929</v>
      </c>
      <c r="L284" s="458">
        <v>359929</v>
      </c>
      <c r="M284" s="458">
        <v>0</v>
      </c>
      <c r="N284" s="457">
        <f>O284+R284+U284</f>
        <v>28987</v>
      </c>
      <c r="O284" s="457">
        <f>P284+Q284</f>
        <v>28987</v>
      </c>
      <c r="P284" s="458">
        <v>28987</v>
      </c>
      <c r="Q284" s="458">
        <v>0</v>
      </c>
      <c r="R284" s="457">
        <f>S284+T284</f>
        <v>0</v>
      </c>
      <c r="S284" s="458">
        <v>0</v>
      </c>
      <c r="T284" s="458">
        <v>0</v>
      </c>
      <c r="U284" s="457">
        <f>V284+W284</f>
        <v>0</v>
      </c>
      <c r="V284" s="458">
        <v>0</v>
      </c>
      <c r="W284" s="458">
        <v>0</v>
      </c>
    </row>
    <row r="285" spans="1:23" s="701" customFormat="1" ht="14.25" customHeight="1">
      <c r="A285" s="848"/>
      <c r="B285" s="860"/>
      <c r="C285" s="846"/>
      <c r="D285" s="870"/>
      <c r="E285" s="850"/>
      <c r="F285" s="850"/>
      <c r="G285" s="860"/>
      <c r="H285" s="700">
        <v>0</v>
      </c>
      <c r="I285" s="700">
        <v>0</v>
      </c>
      <c r="J285" s="842">
        <f>J282+J284</f>
        <v>1100791</v>
      </c>
      <c r="K285" s="842">
        <f aca="true" t="shared" si="52" ref="K285:W285">K282+K284</f>
        <v>1018748</v>
      </c>
      <c r="L285" s="842">
        <f t="shared" si="52"/>
        <v>1018748</v>
      </c>
      <c r="M285" s="842">
        <f t="shared" si="52"/>
        <v>0</v>
      </c>
      <c r="N285" s="842">
        <f t="shared" si="52"/>
        <v>82043</v>
      </c>
      <c r="O285" s="842">
        <f t="shared" si="52"/>
        <v>82043</v>
      </c>
      <c r="P285" s="842">
        <f t="shared" si="52"/>
        <v>82043</v>
      </c>
      <c r="Q285" s="842">
        <f t="shared" si="52"/>
        <v>0</v>
      </c>
      <c r="R285" s="842">
        <f t="shared" si="52"/>
        <v>0</v>
      </c>
      <c r="S285" s="842">
        <f t="shared" si="52"/>
        <v>0</v>
      </c>
      <c r="T285" s="842">
        <f t="shared" si="52"/>
        <v>0</v>
      </c>
      <c r="U285" s="842">
        <f t="shared" si="52"/>
        <v>0</v>
      </c>
      <c r="V285" s="842">
        <f t="shared" si="52"/>
        <v>0</v>
      </c>
      <c r="W285" s="842">
        <f t="shared" si="52"/>
        <v>0</v>
      </c>
    </row>
    <row r="286" spans="1:23" s="701" customFormat="1" ht="14.25" customHeight="1">
      <c r="A286" s="848"/>
      <c r="B286" s="861"/>
      <c r="C286" s="846"/>
      <c r="D286" s="871"/>
      <c r="E286" s="851"/>
      <c r="F286" s="851"/>
      <c r="G286" s="861"/>
      <c r="H286" s="700">
        <v>0</v>
      </c>
      <c r="I286" s="700">
        <v>0</v>
      </c>
      <c r="J286" s="842"/>
      <c r="K286" s="842"/>
      <c r="L286" s="842"/>
      <c r="M286" s="842"/>
      <c r="N286" s="842"/>
      <c r="O286" s="842"/>
      <c r="P286" s="842"/>
      <c r="Q286" s="842"/>
      <c r="R286" s="842"/>
      <c r="S286" s="842"/>
      <c r="T286" s="842"/>
      <c r="U286" s="842"/>
      <c r="V286" s="842"/>
      <c r="W286" s="842"/>
    </row>
    <row r="287" spans="1:23" s="701" customFormat="1" ht="14.25" customHeight="1" hidden="1">
      <c r="A287" s="848">
        <v>51</v>
      </c>
      <c r="B287" s="859" t="s">
        <v>1062</v>
      </c>
      <c r="C287" s="846" t="s">
        <v>1063</v>
      </c>
      <c r="D287" s="869" t="s">
        <v>1064</v>
      </c>
      <c r="E287" s="849" t="s">
        <v>1059</v>
      </c>
      <c r="F287" s="849" t="s">
        <v>597</v>
      </c>
      <c r="G287" s="859" t="s">
        <v>631</v>
      </c>
      <c r="H287" s="700">
        <f>H288+H289+H290+H291</f>
        <v>1813011</v>
      </c>
      <c r="I287" s="700">
        <f>I288+I289+I290+I291</f>
        <v>1770724</v>
      </c>
      <c r="J287" s="842">
        <f>K287+N287</f>
        <v>42287</v>
      </c>
      <c r="K287" s="842">
        <f>L287+M287</f>
        <v>35943</v>
      </c>
      <c r="L287" s="842">
        <v>35943</v>
      </c>
      <c r="M287" s="842">
        <v>0</v>
      </c>
      <c r="N287" s="842">
        <f>O287+R287+U287</f>
        <v>6344</v>
      </c>
      <c r="O287" s="842">
        <f>P287+Q287</f>
        <v>0</v>
      </c>
      <c r="P287" s="842">
        <v>0</v>
      </c>
      <c r="Q287" s="842">
        <v>0</v>
      </c>
      <c r="R287" s="842">
        <f>S287+T287</f>
        <v>6344</v>
      </c>
      <c r="S287" s="842">
        <v>6344</v>
      </c>
      <c r="T287" s="842">
        <v>0</v>
      </c>
      <c r="U287" s="842">
        <f>V287+W287</f>
        <v>0</v>
      </c>
      <c r="V287" s="842">
        <v>0</v>
      </c>
      <c r="W287" s="842">
        <v>0</v>
      </c>
    </row>
    <row r="288" spans="1:23" s="701" customFormat="1" ht="14.25" customHeight="1" hidden="1">
      <c r="A288" s="848"/>
      <c r="B288" s="860"/>
      <c r="C288" s="846"/>
      <c r="D288" s="870"/>
      <c r="E288" s="850"/>
      <c r="F288" s="850"/>
      <c r="G288" s="860"/>
      <c r="H288" s="700">
        <v>1541059</v>
      </c>
      <c r="I288" s="700">
        <v>1505116</v>
      </c>
      <c r="J288" s="842"/>
      <c r="K288" s="842"/>
      <c r="L288" s="842"/>
      <c r="M288" s="842"/>
      <c r="N288" s="842"/>
      <c r="O288" s="842"/>
      <c r="P288" s="842"/>
      <c r="Q288" s="842"/>
      <c r="R288" s="842"/>
      <c r="S288" s="842"/>
      <c r="T288" s="842"/>
      <c r="U288" s="842"/>
      <c r="V288" s="842"/>
      <c r="W288" s="842"/>
    </row>
    <row r="289" spans="1:23" s="701" customFormat="1" ht="14.25" customHeight="1" hidden="1">
      <c r="A289" s="848"/>
      <c r="B289" s="860"/>
      <c r="C289" s="846"/>
      <c r="D289" s="870"/>
      <c r="E289" s="850"/>
      <c r="F289" s="850"/>
      <c r="G289" s="860"/>
      <c r="H289" s="700">
        <v>0</v>
      </c>
      <c r="I289" s="700">
        <v>0</v>
      </c>
      <c r="J289" s="457">
        <f>K289+N289</f>
        <v>0</v>
      </c>
      <c r="K289" s="457">
        <f>L289+M289</f>
        <v>0</v>
      </c>
      <c r="L289" s="458">
        <v>0</v>
      </c>
      <c r="M289" s="458">
        <v>0</v>
      </c>
      <c r="N289" s="457">
        <f>O289+R289+U289</f>
        <v>0</v>
      </c>
      <c r="O289" s="457">
        <f>P289+Q289</f>
        <v>0</v>
      </c>
      <c r="P289" s="458">
        <v>0</v>
      </c>
      <c r="Q289" s="458">
        <v>0</v>
      </c>
      <c r="R289" s="457">
        <f>S289+T289</f>
        <v>0</v>
      </c>
      <c r="S289" s="458">
        <v>0</v>
      </c>
      <c r="T289" s="458">
        <v>0</v>
      </c>
      <c r="U289" s="457">
        <f>V289+W289</f>
        <v>0</v>
      </c>
      <c r="V289" s="458">
        <v>0</v>
      </c>
      <c r="W289" s="458">
        <v>0</v>
      </c>
    </row>
    <row r="290" spans="1:23" s="701" customFormat="1" ht="14.25" customHeight="1" hidden="1">
      <c r="A290" s="848"/>
      <c r="B290" s="860"/>
      <c r="C290" s="846"/>
      <c r="D290" s="870"/>
      <c r="E290" s="850"/>
      <c r="F290" s="850"/>
      <c r="G290" s="860"/>
      <c r="H290" s="700">
        <v>271952</v>
      </c>
      <c r="I290" s="700">
        <v>265608</v>
      </c>
      <c r="J290" s="842">
        <f>J287+J289</f>
        <v>42287</v>
      </c>
      <c r="K290" s="842">
        <f aca="true" t="shared" si="53" ref="K290:W290">K287+K289</f>
        <v>35943</v>
      </c>
      <c r="L290" s="842">
        <f t="shared" si="53"/>
        <v>35943</v>
      </c>
      <c r="M290" s="842">
        <f t="shared" si="53"/>
        <v>0</v>
      </c>
      <c r="N290" s="842">
        <f t="shared" si="53"/>
        <v>6344</v>
      </c>
      <c r="O290" s="842">
        <f t="shared" si="53"/>
        <v>0</v>
      </c>
      <c r="P290" s="842">
        <f t="shared" si="53"/>
        <v>0</v>
      </c>
      <c r="Q290" s="842">
        <f t="shared" si="53"/>
        <v>0</v>
      </c>
      <c r="R290" s="842">
        <f t="shared" si="53"/>
        <v>6344</v>
      </c>
      <c r="S290" s="842">
        <f t="shared" si="53"/>
        <v>6344</v>
      </c>
      <c r="T290" s="842">
        <f t="shared" si="53"/>
        <v>0</v>
      </c>
      <c r="U290" s="842">
        <f t="shared" si="53"/>
        <v>0</v>
      </c>
      <c r="V290" s="842">
        <f t="shared" si="53"/>
        <v>0</v>
      </c>
      <c r="W290" s="842">
        <f t="shared" si="53"/>
        <v>0</v>
      </c>
    </row>
    <row r="291" spans="1:23" s="701" customFormat="1" ht="14.25" customHeight="1" hidden="1">
      <c r="A291" s="848"/>
      <c r="B291" s="861"/>
      <c r="C291" s="846"/>
      <c r="D291" s="871"/>
      <c r="E291" s="851"/>
      <c r="F291" s="851"/>
      <c r="G291" s="861"/>
      <c r="H291" s="700">
        <v>0</v>
      </c>
      <c r="I291" s="700">
        <v>0</v>
      </c>
      <c r="J291" s="842"/>
      <c r="K291" s="842"/>
      <c r="L291" s="842"/>
      <c r="M291" s="842"/>
      <c r="N291" s="842"/>
      <c r="O291" s="842"/>
      <c r="P291" s="842"/>
      <c r="Q291" s="842"/>
      <c r="R291" s="842"/>
      <c r="S291" s="842"/>
      <c r="T291" s="842"/>
      <c r="U291" s="842"/>
      <c r="V291" s="842"/>
      <c r="W291" s="842"/>
    </row>
    <row r="292" spans="1:23" s="701" customFormat="1" ht="14.25" customHeight="1" hidden="1">
      <c r="A292" s="848">
        <v>52</v>
      </c>
      <c r="B292" s="859" t="s">
        <v>1062</v>
      </c>
      <c r="C292" s="846" t="s">
        <v>1063</v>
      </c>
      <c r="D292" s="869" t="s">
        <v>1065</v>
      </c>
      <c r="E292" s="849" t="s">
        <v>1059</v>
      </c>
      <c r="F292" s="849" t="s">
        <v>597</v>
      </c>
      <c r="G292" s="859" t="s">
        <v>1066</v>
      </c>
      <c r="H292" s="700">
        <f>H293+H294+H295+H296</f>
        <v>3240000</v>
      </c>
      <c r="I292" s="700">
        <f>I293+I294+I295+I296</f>
        <v>0</v>
      </c>
      <c r="J292" s="842">
        <f>K292+N292</f>
        <v>720000</v>
      </c>
      <c r="K292" s="842">
        <f>L292+M292</f>
        <v>612000</v>
      </c>
      <c r="L292" s="842">
        <v>612000</v>
      </c>
      <c r="M292" s="842">
        <v>0</v>
      </c>
      <c r="N292" s="842">
        <f>O292+R292+U292</f>
        <v>108000</v>
      </c>
      <c r="O292" s="842">
        <f>P292+Q292</f>
        <v>0</v>
      </c>
      <c r="P292" s="842">
        <v>0</v>
      </c>
      <c r="Q292" s="842">
        <v>0</v>
      </c>
      <c r="R292" s="842">
        <f>S292+T292</f>
        <v>108000</v>
      </c>
      <c r="S292" s="842">
        <v>108000</v>
      </c>
      <c r="T292" s="842">
        <v>0</v>
      </c>
      <c r="U292" s="842">
        <f>V292+W292</f>
        <v>0</v>
      </c>
      <c r="V292" s="842">
        <v>0</v>
      </c>
      <c r="W292" s="842">
        <v>0</v>
      </c>
    </row>
    <row r="293" spans="1:23" s="701" customFormat="1" ht="14.25" customHeight="1" hidden="1">
      <c r="A293" s="848"/>
      <c r="B293" s="860"/>
      <c r="C293" s="846"/>
      <c r="D293" s="870"/>
      <c r="E293" s="850"/>
      <c r="F293" s="850"/>
      <c r="G293" s="860"/>
      <c r="H293" s="700">
        <v>2754000</v>
      </c>
      <c r="I293" s="700">
        <v>0</v>
      </c>
      <c r="J293" s="842"/>
      <c r="K293" s="842"/>
      <c r="L293" s="842"/>
      <c r="M293" s="842"/>
      <c r="N293" s="842"/>
      <c r="O293" s="842"/>
      <c r="P293" s="842"/>
      <c r="Q293" s="842"/>
      <c r="R293" s="842"/>
      <c r="S293" s="842"/>
      <c r="T293" s="842"/>
      <c r="U293" s="842"/>
      <c r="V293" s="842"/>
      <c r="W293" s="842"/>
    </row>
    <row r="294" spans="1:23" s="701" customFormat="1" ht="14.25" customHeight="1" hidden="1">
      <c r="A294" s="848"/>
      <c r="B294" s="860"/>
      <c r="C294" s="846"/>
      <c r="D294" s="870"/>
      <c r="E294" s="850"/>
      <c r="F294" s="850"/>
      <c r="G294" s="860"/>
      <c r="H294" s="700">
        <v>0</v>
      </c>
      <c r="I294" s="700">
        <v>0</v>
      </c>
      <c r="J294" s="457">
        <f>K294+N294</f>
        <v>0</v>
      </c>
      <c r="K294" s="457">
        <f>L294+M294</f>
        <v>0</v>
      </c>
      <c r="L294" s="458">
        <v>0</v>
      </c>
      <c r="M294" s="458">
        <v>0</v>
      </c>
      <c r="N294" s="457">
        <f>O294+R294+U294</f>
        <v>0</v>
      </c>
      <c r="O294" s="457">
        <f>P294+Q294</f>
        <v>0</v>
      </c>
      <c r="P294" s="458">
        <v>0</v>
      </c>
      <c r="Q294" s="458">
        <v>0</v>
      </c>
      <c r="R294" s="457">
        <f>S294+T294</f>
        <v>0</v>
      </c>
      <c r="S294" s="458">
        <v>0</v>
      </c>
      <c r="T294" s="458">
        <v>0</v>
      </c>
      <c r="U294" s="457">
        <f>V294+W294</f>
        <v>0</v>
      </c>
      <c r="V294" s="458">
        <v>0</v>
      </c>
      <c r="W294" s="458">
        <v>0</v>
      </c>
    </row>
    <row r="295" spans="1:23" s="701" customFormat="1" ht="14.25" customHeight="1" hidden="1">
      <c r="A295" s="848"/>
      <c r="B295" s="860"/>
      <c r="C295" s="846"/>
      <c r="D295" s="870"/>
      <c r="E295" s="850"/>
      <c r="F295" s="850"/>
      <c r="G295" s="860"/>
      <c r="H295" s="700">
        <v>486000</v>
      </c>
      <c r="I295" s="700">
        <v>0</v>
      </c>
      <c r="J295" s="842">
        <f>J292+J294</f>
        <v>720000</v>
      </c>
      <c r="K295" s="842">
        <f aca="true" t="shared" si="54" ref="K295:W295">K292+K294</f>
        <v>612000</v>
      </c>
      <c r="L295" s="842">
        <f t="shared" si="54"/>
        <v>612000</v>
      </c>
      <c r="M295" s="842">
        <f t="shared" si="54"/>
        <v>0</v>
      </c>
      <c r="N295" s="842">
        <f t="shared" si="54"/>
        <v>108000</v>
      </c>
      <c r="O295" s="842">
        <f t="shared" si="54"/>
        <v>0</v>
      </c>
      <c r="P295" s="842">
        <f t="shared" si="54"/>
        <v>0</v>
      </c>
      <c r="Q295" s="842">
        <f t="shared" si="54"/>
        <v>0</v>
      </c>
      <c r="R295" s="842">
        <f t="shared" si="54"/>
        <v>108000</v>
      </c>
      <c r="S295" s="842">
        <f t="shared" si="54"/>
        <v>108000</v>
      </c>
      <c r="T295" s="842">
        <f t="shared" si="54"/>
        <v>0</v>
      </c>
      <c r="U295" s="842">
        <f t="shared" si="54"/>
        <v>0</v>
      </c>
      <c r="V295" s="842">
        <f t="shared" si="54"/>
        <v>0</v>
      </c>
      <c r="W295" s="842">
        <f t="shared" si="54"/>
        <v>0</v>
      </c>
    </row>
    <row r="296" spans="1:23" s="701" customFormat="1" ht="14.25" customHeight="1" hidden="1">
      <c r="A296" s="848"/>
      <c r="B296" s="861"/>
      <c r="C296" s="846"/>
      <c r="D296" s="871"/>
      <c r="E296" s="851"/>
      <c r="F296" s="851"/>
      <c r="G296" s="861"/>
      <c r="H296" s="700">
        <v>0</v>
      </c>
      <c r="I296" s="700">
        <v>0</v>
      </c>
      <c r="J296" s="842"/>
      <c r="K296" s="842"/>
      <c r="L296" s="842"/>
      <c r="M296" s="842"/>
      <c r="N296" s="842"/>
      <c r="O296" s="842"/>
      <c r="P296" s="842"/>
      <c r="Q296" s="842"/>
      <c r="R296" s="842"/>
      <c r="S296" s="842"/>
      <c r="T296" s="842"/>
      <c r="U296" s="842"/>
      <c r="V296" s="842"/>
      <c r="W296" s="842"/>
    </row>
    <row r="297" spans="1:23" s="701" customFormat="1" ht="12.75" customHeight="1" hidden="1">
      <c r="A297" s="848">
        <v>53</v>
      </c>
      <c r="B297" s="859" t="s">
        <v>1067</v>
      </c>
      <c r="C297" s="846" t="s">
        <v>1068</v>
      </c>
      <c r="D297" s="869" t="s">
        <v>1069</v>
      </c>
      <c r="E297" s="849" t="s">
        <v>581</v>
      </c>
      <c r="F297" s="849" t="s">
        <v>1070</v>
      </c>
      <c r="G297" s="859" t="s">
        <v>602</v>
      </c>
      <c r="H297" s="700">
        <f>H298+H299+H300+H301</f>
        <v>2441365</v>
      </c>
      <c r="I297" s="700">
        <f>I298+I299+I300+I301</f>
        <v>0</v>
      </c>
      <c r="J297" s="842">
        <f>K297+N297</f>
        <v>787480</v>
      </c>
      <c r="K297" s="842">
        <f>L297+M297</f>
        <v>669358</v>
      </c>
      <c r="L297" s="842">
        <v>669358</v>
      </c>
      <c r="M297" s="842">
        <v>0</v>
      </c>
      <c r="N297" s="842">
        <f>O297+R297+U297</f>
        <v>118122</v>
      </c>
      <c r="O297" s="842">
        <f>P297+Q297</f>
        <v>0</v>
      </c>
      <c r="P297" s="842">
        <v>0</v>
      </c>
      <c r="Q297" s="842">
        <v>0</v>
      </c>
      <c r="R297" s="842">
        <f>S297+T297</f>
        <v>118122</v>
      </c>
      <c r="S297" s="842">
        <v>118122</v>
      </c>
      <c r="T297" s="842">
        <v>0</v>
      </c>
      <c r="U297" s="842">
        <f>V297+W297</f>
        <v>0</v>
      </c>
      <c r="V297" s="842">
        <v>0</v>
      </c>
      <c r="W297" s="842">
        <v>0</v>
      </c>
    </row>
    <row r="298" spans="1:23" s="701" customFormat="1" ht="12.75" customHeight="1" hidden="1">
      <c r="A298" s="848"/>
      <c r="B298" s="860"/>
      <c r="C298" s="846"/>
      <c r="D298" s="870"/>
      <c r="E298" s="850"/>
      <c r="F298" s="850"/>
      <c r="G298" s="860"/>
      <c r="H298" s="700">
        <v>2075160</v>
      </c>
      <c r="I298" s="700">
        <v>0</v>
      </c>
      <c r="J298" s="842"/>
      <c r="K298" s="842"/>
      <c r="L298" s="842"/>
      <c r="M298" s="842"/>
      <c r="N298" s="842"/>
      <c r="O298" s="842"/>
      <c r="P298" s="842"/>
      <c r="Q298" s="842"/>
      <c r="R298" s="842"/>
      <c r="S298" s="842"/>
      <c r="T298" s="842"/>
      <c r="U298" s="842"/>
      <c r="V298" s="842"/>
      <c r="W298" s="842"/>
    </row>
    <row r="299" spans="1:23" s="701" customFormat="1" ht="12.75" customHeight="1" hidden="1">
      <c r="A299" s="848"/>
      <c r="B299" s="860"/>
      <c r="C299" s="846"/>
      <c r="D299" s="870"/>
      <c r="E299" s="850"/>
      <c r="F299" s="850"/>
      <c r="G299" s="860"/>
      <c r="H299" s="700">
        <v>0</v>
      </c>
      <c r="I299" s="700">
        <v>0</v>
      </c>
      <c r="J299" s="457">
        <f>K299+N299</f>
        <v>0</v>
      </c>
      <c r="K299" s="457">
        <f>L299+M299</f>
        <v>0</v>
      </c>
      <c r="L299" s="458">
        <v>0</v>
      </c>
      <c r="M299" s="458">
        <v>0</v>
      </c>
      <c r="N299" s="457">
        <f>O299+R299+U299</f>
        <v>0</v>
      </c>
      <c r="O299" s="457">
        <f>P299+Q299</f>
        <v>0</v>
      </c>
      <c r="P299" s="458">
        <v>0</v>
      </c>
      <c r="Q299" s="458">
        <v>0</v>
      </c>
      <c r="R299" s="457">
        <f>S299+T299</f>
        <v>0</v>
      </c>
      <c r="S299" s="458">
        <v>0</v>
      </c>
      <c r="T299" s="458">
        <v>0</v>
      </c>
      <c r="U299" s="457">
        <f>V299+W299</f>
        <v>0</v>
      </c>
      <c r="V299" s="458">
        <v>0</v>
      </c>
      <c r="W299" s="458">
        <v>0</v>
      </c>
    </row>
    <row r="300" spans="1:23" s="701" customFormat="1" ht="12.75" customHeight="1" hidden="1">
      <c r="A300" s="848"/>
      <c r="B300" s="860"/>
      <c r="C300" s="846"/>
      <c r="D300" s="870"/>
      <c r="E300" s="850"/>
      <c r="F300" s="850"/>
      <c r="G300" s="860"/>
      <c r="H300" s="700">
        <v>366205</v>
      </c>
      <c r="I300" s="700">
        <v>0</v>
      </c>
      <c r="J300" s="842">
        <f>J297+J299</f>
        <v>787480</v>
      </c>
      <c r="K300" s="842">
        <f aca="true" t="shared" si="55" ref="K300:W300">K297+K299</f>
        <v>669358</v>
      </c>
      <c r="L300" s="842">
        <f t="shared" si="55"/>
        <v>669358</v>
      </c>
      <c r="M300" s="842">
        <f t="shared" si="55"/>
        <v>0</v>
      </c>
      <c r="N300" s="842">
        <f t="shared" si="55"/>
        <v>118122</v>
      </c>
      <c r="O300" s="842">
        <f t="shared" si="55"/>
        <v>0</v>
      </c>
      <c r="P300" s="842">
        <f t="shared" si="55"/>
        <v>0</v>
      </c>
      <c r="Q300" s="842">
        <f t="shared" si="55"/>
        <v>0</v>
      </c>
      <c r="R300" s="842">
        <f t="shared" si="55"/>
        <v>118122</v>
      </c>
      <c r="S300" s="842">
        <f t="shared" si="55"/>
        <v>118122</v>
      </c>
      <c r="T300" s="842">
        <f t="shared" si="55"/>
        <v>0</v>
      </c>
      <c r="U300" s="842">
        <f t="shared" si="55"/>
        <v>0</v>
      </c>
      <c r="V300" s="842">
        <f t="shared" si="55"/>
        <v>0</v>
      </c>
      <c r="W300" s="842">
        <f t="shared" si="55"/>
        <v>0</v>
      </c>
    </row>
    <row r="301" spans="1:23" s="701" customFormat="1" ht="12.75" customHeight="1" hidden="1">
      <c r="A301" s="848"/>
      <c r="B301" s="861"/>
      <c r="C301" s="846"/>
      <c r="D301" s="871"/>
      <c r="E301" s="851"/>
      <c r="F301" s="851"/>
      <c r="G301" s="861"/>
      <c r="H301" s="700">
        <v>0</v>
      </c>
      <c r="I301" s="700">
        <v>0</v>
      </c>
      <c r="J301" s="842"/>
      <c r="K301" s="842"/>
      <c r="L301" s="842"/>
      <c r="M301" s="842"/>
      <c r="N301" s="842"/>
      <c r="O301" s="842"/>
      <c r="P301" s="842"/>
      <c r="Q301" s="842"/>
      <c r="R301" s="842"/>
      <c r="S301" s="842"/>
      <c r="T301" s="842"/>
      <c r="U301" s="842"/>
      <c r="V301" s="842"/>
      <c r="W301" s="842"/>
    </row>
    <row r="302" spans="1:23" s="701" customFormat="1" ht="12.75" customHeight="1">
      <c r="A302" s="848">
        <v>40</v>
      </c>
      <c r="B302" s="859" t="s">
        <v>761</v>
      </c>
      <c r="C302" s="846" t="s">
        <v>1068</v>
      </c>
      <c r="D302" s="869" t="s">
        <v>762</v>
      </c>
      <c r="E302" s="849" t="s">
        <v>581</v>
      </c>
      <c r="F302" s="849" t="s">
        <v>587</v>
      </c>
      <c r="G302" s="859" t="s">
        <v>598</v>
      </c>
      <c r="H302" s="700">
        <f>H303+H304+H305+H306</f>
        <v>2764483</v>
      </c>
      <c r="I302" s="700">
        <f>I303+I304+I305+I306</f>
        <v>161513</v>
      </c>
      <c r="J302" s="842">
        <f>K302+N302</f>
        <v>1802130</v>
      </c>
      <c r="K302" s="842">
        <f>L302+M302</f>
        <v>1612366</v>
      </c>
      <c r="L302" s="842">
        <v>1612366</v>
      </c>
      <c r="M302" s="842">
        <v>0</v>
      </c>
      <c r="N302" s="842">
        <f>O302+R302+U302</f>
        <v>189764</v>
      </c>
      <c r="O302" s="842">
        <f>P302+Q302</f>
        <v>189764</v>
      </c>
      <c r="P302" s="842">
        <v>189764</v>
      </c>
      <c r="Q302" s="842">
        <v>0</v>
      </c>
      <c r="R302" s="842">
        <f>S302+T302</f>
        <v>0</v>
      </c>
      <c r="S302" s="842">
        <v>0</v>
      </c>
      <c r="T302" s="842">
        <v>0</v>
      </c>
      <c r="U302" s="842">
        <f>V302+W302</f>
        <v>0</v>
      </c>
      <c r="V302" s="842">
        <v>0</v>
      </c>
      <c r="W302" s="842">
        <v>0</v>
      </c>
    </row>
    <row r="303" spans="1:23" s="701" customFormat="1" ht="12.75" customHeight="1">
      <c r="A303" s="848"/>
      <c r="B303" s="860"/>
      <c r="C303" s="846"/>
      <c r="D303" s="870"/>
      <c r="E303" s="850"/>
      <c r="F303" s="850"/>
      <c r="G303" s="860"/>
      <c r="H303" s="700">
        <v>2473485</v>
      </c>
      <c r="I303" s="700">
        <v>144506</v>
      </c>
      <c r="J303" s="842"/>
      <c r="K303" s="842"/>
      <c r="L303" s="842"/>
      <c r="M303" s="842"/>
      <c r="N303" s="842"/>
      <c r="O303" s="842"/>
      <c r="P303" s="842"/>
      <c r="Q303" s="842"/>
      <c r="R303" s="842"/>
      <c r="S303" s="842"/>
      <c r="T303" s="842"/>
      <c r="U303" s="842"/>
      <c r="V303" s="842"/>
      <c r="W303" s="842"/>
    </row>
    <row r="304" spans="1:23" s="701" customFormat="1" ht="12.75" customHeight="1">
      <c r="A304" s="848"/>
      <c r="B304" s="860"/>
      <c r="C304" s="846"/>
      <c r="D304" s="870"/>
      <c r="E304" s="850"/>
      <c r="F304" s="850"/>
      <c r="G304" s="860"/>
      <c r="H304" s="700">
        <v>290998</v>
      </c>
      <c r="I304" s="700">
        <v>17007</v>
      </c>
      <c r="J304" s="457">
        <f>K304+N304</f>
        <v>-391831</v>
      </c>
      <c r="K304" s="457">
        <f>L304+M304</f>
        <v>-350520</v>
      </c>
      <c r="L304" s="458">
        <v>-350520</v>
      </c>
      <c r="M304" s="458">
        <v>0</v>
      </c>
      <c r="N304" s="457">
        <f>O304+R304+U304</f>
        <v>-41311</v>
      </c>
      <c r="O304" s="457">
        <f>P304+Q304</f>
        <v>-41311</v>
      </c>
      <c r="P304" s="458">
        <v>-41311</v>
      </c>
      <c r="Q304" s="458">
        <v>0</v>
      </c>
      <c r="R304" s="457">
        <f>S304+T304</f>
        <v>0</v>
      </c>
      <c r="S304" s="458">
        <v>0</v>
      </c>
      <c r="T304" s="458">
        <v>0</v>
      </c>
      <c r="U304" s="457">
        <f>V304+W304</f>
        <v>0</v>
      </c>
      <c r="V304" s="458">
        <v>0</v>
      </c>
      <c r="W304" s="458">
        <v>0</v>
      </c>
    </row>
    <row r="305" spans="1:23" s="701" customFormat="1" ht="12.75" customHeight="1">
      <c r="A305" s="848"/>
      <c r="B305" s="860"/>
      <c r="C305" s="846"/>
      <c r="D305" s="870"/>
      <c r="E305" s="850"/>
      <c r="F305" s="850"/>
      <c r="G305" s="860"/>
      <c r="H305" s="700">
        <v>0</v>
      </c>
      <c r="I305" s="700">
        <v>0</v>
      </c>
      <c r="J305" s="842">
        <f>J302+J304</f>
        <v>1410299</v>
      </c>
      <c r="K305" s="842">
        <f aca="true" t="shared" si="56" ref="K305:W305">K302+K304</f>
        <v>1261846</v>
      </c>
      <c r="L305" s="842">
        <f t="shared" si="56"/>
        <v>1261846</v>
      </c>
      <c r="M305" s="842">
        <f t="shared" si="56"/>
        <v>0</v>
      </c>
      <c r="N305" s="842">
        <f t="shared" si="56"/>
        <v>148453</v>
      </c>
      <c r="O305" s="842">
        <f t="shared" si="56"/>
        <v>148453</v>
      </c>
      <c r="P305" s="842">
        <f t="shared" si="56"/>
        <v>148453</v>
      </c>
      <c r="Q305" s="842">
        <f t="shared" si="56"/>
        <v>0</v>
      </c>
      <c r="R305" s="842">
        <f t="shared" si="56"/>
        <v>0</v>
      </c>
      <c r="S305" s="842">
        <f t="shared" si="56"/>
        <v>0</v>
      </c>
      <c r="T305" s="842">
        <f t="shared" si="56"/>
        <v>0</v>
      </c>
      <c r="U305" s="842">
        <f t="shared" si="56"/>
        <v>0</v>
      </c>
      <c r="V305" s="842">
        <f t="shared" si="56"/>
        <v>0</v>
      </c>
      <c r="W305" s="842">
        <f t="shared" si="56"/>
        <v>0</v>
      </c>
    </row>
    <row r="306" spans="1:23" s="701" customFormat="1" ht="12.75" customHeight="1">
      <c r="A306" s="848"/>
      <c r="B306" s="861"/>
      <c r="C306" s="846"/>
      <c r="D306" s="871"/>
      <c r="E306" s="851"/>
      <c r="F306" s="851"/>
      <c r="G306" s="861"/>
      <c r="H306" s="700">
        <v>0</v>
      </c>
      <c r="I306" s="700">
        <v>0</v>
      </c>
      <c r="J306" s="842"/>
      <c r="K306" s="842"/>
      <c r="L306" s="842"/>
      <c r="M306" s="842"/>
      <c r="N306" s="842"/>
      <c r="O306" s="842"/>
      <c r="P306" s="842"/>
      <c r="Q306" s="842"/>
      <c r="R306" s="842"/>
      <c r="S306" s="842"/>
      <c r="T306" s="842"/>
      <c r="U306" s="842"/>
      <c r="V306" s="842"/>
      <c r="W306" s="842"/>
    </row>
    <row r="307" spans="1:23" s="701" customFormat="1" ht="14.25" customHeight="1">
      <c r="A307" s="848">
        <v>41</v>
      </c>
      <c r="B307" s="859" t="s">
        <v>761</v>
      </c>
      <c r="C307" s="846" t="s">
        <v>1068</v>
      </c>
      <c r="D307" s="869" t="s">
        <v>764</v>
      </c>
      <c r="E307" s="849" t="s">
        <v>581</v>
      </c>
      <c r="F307" s="849" t="s">
        <v>587</v>
      </c>
      <c r="G307" s="859" t="s">
        <v>1066</v>
      </c>
      <c r="H307" s="700">
        <f>H308+H309+H310+H311</f>
        <v>3517126</v>
      </c>
      <c r="I307" s="700">
        <f>I308+I309+I310+I311</f>
        <v>0</v>
      </c>
      <c r="J307" s="842">
        <f>K307+N307</f>
        <v>3337572</v>
      </c>
      <c r="K307" s="842">
        <f>L307+M307</f>
        <v>3337572</v>
      </c>
      <c r="L307" s="842">
        <v>3256572</v>
      </c>
      <c r="M307" s="842">
        <v>81000</v>
      </c>
      <c r="N307" s="842">
        <f>O307+R307+U307</f>
        <v>0</v>
      </c>
      <c r="O307" s="842">
        <f>P307+Q307</f>
        <v>0</v>
      </c>
      <c r="P307" s="842">
        <v>0</v>
      </c>
      <c r="Q307" s="842">
        <v>0</v>
      </c>
      <c r="R307" s="842">
        <f>S307+T307</f>
        <v>0</v>
      </c>
      <c r="S307" s="842">
        <v>0</v>
      </c>
      <c r="T307" s="842">
        <v>0</v>
      </c>
      <c r="U307" s="842">
        <f>V307+W307</f>
        <v>0</v>
      </c>
      <c r="V307" s="842">
        <v>0</v>
      </c>
      <c r="W307" s="842">
        <v>0</v>
      </c>
    </row>
    <row r="308" spans="1:23" s="701" customFormat="1" ht="14.25" customHeight="1">
      <c r="A308" s="848"/>
      <c r="B308" s="860"/>
      <c r="C308" s="846"/>
      <c r="D308" s="870"/>
      <c r="E308" s="850"/>
      <c r="F308" s="850"/>
      <c r="G308" s="860"/>
      <c r="H308" s="700">
        <v>3517126</v>
      </c>
      <c r="I308" s="700">
        <v>0</v>
      </c>
      <c r="J308" s="842"/>
      <c r="K308" s="842"/>
      <c r="L308" s="842"/>
      <c r="M308" s="842"/>
      <c r="N308" s="842"/>
      <c r="O308" s="842"/>
      <c r="P308" s="842"/>
      <c r="Q308" s="842"/>
      <c r="R308" s="842"/>
      <c r="S308" s="842"/>
      <c r="T308" s="842"/>
      <c r="U308" s="842"/>
      <c r="V308" s="842"/>
      <c r="W308" s="842"/>
    </row>
    <row r="309" spans="1:23" s="701" customFormat="1" ht="14.25" customHeight="1">
      <c r="A309" s="848"/>
      <c r="B309" s="860"/>
      <c r="C309" s="846"/>
      <c r="D309" s="870"/>
      <c r="E309" s="850"/>
      <c r="F309" s="850"/>
      <c r="G309" s="860"/>
      <c r="H309" s="700">
        <v>0</v>
      </c>
      <c r="I309" s="700">
        <v>0</v>
      </c>
      <c r="J309" s="457">
        <f>K309+N309</f>
        <v>-1311410</v>
      </c>
      <c r="K309" s="457">
        <f>L309+M309</f>
        <v>-1311410</v>
      </c>
      <c r="L309" s="458">
        <v>-1230410</v>
      </c>
      <c r="M309" s="458">
        <v>-81000</v>
      </c>
      <c r="N309" s="457">
        <f>O309+R309+U309</f>
        <v>0</v>
      </c>
      <c r="O309" s="457">
        <f>P309+Q309</f>
        <v>0</v>
      </c>
      <c r="P309" s="458">
        <v>0</v>
      </c>
      <c r="Q309" s="458">
        <v>0</v>
      </c>
      <c r="R309" s="457">
        <f>S309+T309</f>
        <v>0</v>
      </c>
      <c r="S309" s="458">
        <v>0</v>
      </c>
      <c r="T309" s="458">
        <v>0</v>
      </c>
      <c r="U309" s="457">
        <f>V309+W309</f>
        <v>0</v>
      </c>
      <c r="V309" s="458">
        <v>0</v>
      </c>
      <c r="W309" s="458">
        <v>0</v>
      </c>
    </row>
    <row r="310" spans="1:23" s="701" customFormat="1" ht="14.25" customHeight="1">
      <c r="A310" s="848"/>
      <c r="B310" s="860"/>
      <c r="C310" s="846"/>
      <c r="D310" s="870"/>
      <c r="E310" s="850"/>
      <c r="F310" s="850"/>
      <c r="G310" s="860"/>
      <c r="H310" s="700">
        <v>0</v>
      </c>
      <c r="I310" s="700">
        <v>0</v>
      </c>
      <c r="J310" s="842">
        <f>J307+J309</f>
        <v>2026162</v>
      </c>
      <c r="K310" s="842">
        <f aca="true" t="shared" si="57" ref="K310:W310">K307+K309</f>
        <v>2026162</v>
      </c>
      <c r="L310" s="842">
        <f t="shared" si="57"/>
        <v>2026162</v>
      </c>
      <c r="M310" s="842">
        <f t="shared" si="57"/>
        <v>0</v>
      </c>
      <c r="N310" s="842">
        <f t="shared" si="57"/>
        <v>0</v>
      </c>
      <c r="O310" s="842">
        <f t="shared" si="57"/>
        <v>0</v>
      </c>
      <c r="P310" s="842">
        <f t="shared" si="57"/>
        <v>0</v>
      </c>
      <c r="Q310" s="842">
        <f t="shared" si="57"/>
        <v>0</v>
      </c>
      <c r="R310" s="842">
        <f t="shared" si="57"/>
        <v>0</v>
      </c>
      <c r="S310" s="842">
        <f t="shared" si="57"/>
        <v>0</v>
      </c>
      <c r="T310" s="842">
        <f t="shared" si="57"/>
        <v>0</v>
      </c>
      <c r="U310" s="842">
        <f t="shared" si="57"/>
        <v>0</v>
      </c>
      <c r="V310" s="842">
        <f t="shared" si="57"/>
        <v>0</v>
      </c>
      <c r="W310" s="842">
        <f t="shared" si="57"/>
        <v>0</v>
      </c>
    </row>
    <row r="311" spans="1:23" s="701" customFormat="1" ht="14.25" customHeight="1">
      <c r="A311" s="848"/>
      <c r="B311" s="861"/>
      <c r="C311" s="846"/>
      <c r="D311" s="871"/>
      <c r="E311" s="851"/>
      <c r="F311" s="851"/>
      <c r="G311" s="861"/>
      <c r="H311" s="700">
        <v>0</v>
      </c>
      <c r="I311" s="700">
        <v>0</v>
      </c>
      <c r="J311" s="842"/>
      <c r="K311" s="842"/>
      <c r="L311" s="842"/>
      <c r="M311" s="842"/>
      <c r="N311" s="842"/>
      <c r="O311" s="842"/>
      <c r="P311" s="842"/>
      <c r="Q311" s="842"/>
      <c r="R311" s="842"/>
      <c r="S311" s="842"/>
      <c r="T311" s="842"/>
      <c r="U311" s="842"/>
      <c r="V311" s="842"/>
      <c r="W311" s="842"/>
    </row>
    <row r="312" spans="1:23" s="701" customFormat="1" ht="13.5" customHeight="1">
      <c r="A312" s="848">
        <v>42</v>
      </c>
      <c r="B312" s="859" t="s">
        <v>765</v>
      </c>
      <c r="C312" s="846" t="s">
        <v>1071</v>
      </c>
      <c r="D312" s="869" t="s">
        <v>767</v>
      </c>
      <c r="E312" s="849" t="s">
        <v>581</v>
      </c>
      <c r="F312" s="849" t="s">
        <v>587</v>
      </c>
      <c r="G312" s="859" t="s">
        <v>631</v>
      </c>
      <c r="H312" s="700">
        <f>H313+H314+H315+H316</f>
        <v>4727368</v>
      </c>
      <c r="I312" s="700">
        <f>I313+I314+I315+I316</f>
        <v>3695053</v>
      </c>
      <c r="J312" s="842">
        <f>K312+N312</f>
        <v>418281</v>
      </c>
      <c r="K312" s="842">
        <f>L312+M312</f>
        <v>374398</v>
      </c>
      <c r="L312" s="842">
        <v>374398</v>
      </c>
      <c r="M312" s="842">
        <v>0</v>
      </c>
      <c r="N312" s="842">
        <f>O312+R312+U312</f>
        <v>43883</v>
      </c>
      <c r="O312" s="842">
        <f>P312+Q312</f>
        <v>43883</v>
      </c>
      <c r="P312" s="842">
        <v>43883</v>
      </c>
      <c r="Q312" s="842">
        <v>0</v>
      </c>
      <c r="R312" s="842">
        <f>S312+T312</f>
        <v>0</v>
      </c>
      <c r="S312" s="842">
        <v>0</v>
      </c>
      <c r="T312" s="842">
        <v>0</v>
      </c>
      <c r="U312" s="842">
        <f>V312+W312</f>
        <v>0</v>
      </c>
      <c r="V312" s="842">
        <v>0</v>
      </c>
      <c r="W312" s="842">
        <v>0</v>
      </c>
    </row>
    <row r="313" spans="1:23" s="701" customFormat="1" ht="13.5" customHeight="1">
      <c r="A313" s="848"/>
      <c r="B313" s="860"/>
      <c r="C313" s="846"/>
      <c r="D313" s="870"/>
      <c r="E313" s="850"/>
      <c r="F313" s="850"/>
      <c r="G313" s="860"/>
      <c r="H313" s="700">
        <v>4229750</v>
      </c>
      <c r="I313" s="700">
        <v>3306076</v>
      </c>
      <c r="J313" s="842"/>
      <c r="K313" s="842"/>
      <c r="L313" s="842"/>
      <c r="M313" s="842"/>
      <c r="N313" s="842"/>
      <c r="O313" s="842"/>
      <c r="P313" s="842"/>
      <c r="Q313" s="842"/>
      <c r="R313" s="842"/>
      <c r="S313" s="842"/>
      <c r="T313" s="842"/>
      <c r="U313" s="842"/>
      <c r="V313" s="842"/>
      <c r="W313" s="842"/>
    </row>
    <row r="314" spans="1:23" s="701" customFormat="1" ht="13.5" customHeight="1">
      <c r="A314" s="848"/>
      <c r="B314" s="860"/>
      <c r="C314" s="846"/>
      <c r="D314" s="870"/>
      <c r="E314" s="850"/>
      <c r="F314" s="850"/>
      <c r="G314" s="860"/>
      <c r="H314" s="700">
        <v>497618</v>
      </c>
      <c r="I314" s="700">
        <v>388977</v>
      </c>
      <c r="J314" s="457">
        <f>K314+N314</f>
        <v>614034</v>
      </c>
      <c r="K314" s="457">
        <f>L314+M314</f>
        <v>549276</v>
      </c>
      <c r="L314" s="458">
        <v>549276</v>
      </c>
      <c r="M314" s="458">
        <v>0</v>
      </c>
      <c r="N314" s="457">
        <f>O314+R314+U314</f>
        <v>64758</v>
      </c>
      <c r="O314" s="457">
        <f>P314+Q314</f>
        <v>64758</v>
      </c>
      <c r="P314" s="458">
        <v>64758</v>
      </c>
      <c r="Q314" s="458">
        <v>0</v>
      </c>
      <c r="R314" s="457">
        <f>S314+T314</f>
        <v>0</v>
      </c>
      <c r="S314" s="458">
        <v>0</v>
      </c>
      <c r="T314" s="458">
        <v>0</v>
      </c>
      <c r="U314" s="457">
        <f>V314+W314</f>
        <v>0</v>
      </c>
      <c r="V314" s="458">
        <v>0</v>
      </c>
      <c r="W314" s="458">
        <v>0</v>
      </c>
    </row>
    <row r="315" spans="1:23" s="701" customFormat="1" ht="13.5" customHeight="1">
      <c r="A315" s="848"/>
      <c r="B315" s="860"/>
      <c r="C315" s="846"/>
      <c r="D315" s="870"/>
      <c r="E315" s="850"/>
      <c r="F315" s="850"/>
      <c r="G315" s="860"/>
      <c r="H315" s="700">
        <v>0</v>
      </c>
      <c r="I315" s="700">
        <v>0</v>
      </c>
      <c r="J315" s="842">
        <f>J312+J314</f>
        <v>1032315</v>
      </c>
      <c r="K315" s="842">
        <f aca="true" t="shared" si="58" ref="K315:W315">K312+K314</f>
        <v>923674</v>
      </c>
      <c r="L315" s="842">
        <f t="shared" si="58"/>
        <v>923674</v>
      </c>
      <c r="M315" s="842">
        <f t="shared" si="58"/>
        <v>0</v>
      </c>
      <c r="N315" s="842">
        <f t="shared" si="58"/>
        <v>108641</v>
      </c>
      <c r="O315" s="842">
        <f t="shared" si="58"/>
        <v>108641</v>
      </c>
      <c r="P315" s="842">
        <f t="shared" si="58"/>
        <v>108641</v>
      </c>
      <c r="Q315" s="842">
        <f t="shared" si="58"/>
        <v>0</v>
      </c>
      <c r="R315" s="842">
        <f t="shared" si="58"/>
        <v>0</v>
      </c>
      <c r="S315" s="842">
        <f t="shared" si="58"/>
        <v>0</v>
      </c>
      <c r="T315" s="842">
        <f t="shared" si="58"/>
        <v>0</v>
      </c>
      <c r="U315" s="842">
        <f t="shared" si="58"/>
        <v>0</v>
      </c>
      <c r="V315" s="842">
        <f t="shared" si="58"/>
        <v>0</v>
      </c>
      <c r="W315" s="842">
        <f t="shared" si="58"/>
        <v>0</v>
      </c>
    </row>
    <row r="316" spans="1:23" s="701" customFormat="1" ht="13.5" customHeight="1">
      <c r="A316" s="848"/>
      <c r="B316" s="861"/>
      <c r="C316" s="846"/>
      <c r="D316" s="871"/>
      <c r="E316" s="851"/>
      <c r="F316" s="851"/>
      <c r="G316" s="861"/>
      <c r="H316" s="700">
        <v>0</v>
      </c>
      <c r="I316" s="700">
        <v>0</v>
      </c>
      <c r="J316" s="842"/>
      <c r="K316" s="842"/>
      <c r="L316" s="842"/>
      <c r="M316" s="842"/>
      <c r="N316" s="842"/>
      <c r="O316" s="842"/>
      <c r="P316" s="842"/>
      <c r="Q316" s="842"/>
      <c r="R316" s="842"/>
      <c r="S316" s="842"/>
      <c r="T316" s="842"/>
      <c r="U316" s="842"/>
      <c r="V316" s="842"/>
      <c r="W316" s="842"/>
    </row>
    <row r="317" spans="1:23" s="701" customFormat="1" ht="14.25" customHeight="1">
      <c r="A317" s="848">
        <v>43</v>
      </c>
      <c r="B317" s="859" t="s">
        <v>1072</v>
      </c>
      <c r="C317" s="846" t="s">
        <v>1068</v>
      </c>
      <c r="D317" s="869" t="s">
        <v>1073</v>
      </c>
      <c r="E317" s="849" t="s">
        <v>581</v>
      </c>
      <c r="F317" s="849" t="s">
        <v>1074</v>
      </c>
      <c r="G317" s="859" t="s">
        <v>619</v>
      </c>
      <c r="H317" s="700">
        <f>H318+H319+H320+H321</f>
        <v>19999350</v>
      </c>
      <c r="I317" s="700">
        <f>I318+I319+I320+I321</f>
        <v>11057524</v>
      </c>
      <c r="J317" s="842">
        <f>K317+N317</f>
        <v>2610900</v>
      </c>
      <c r="K317" s="842">
        <f>L317+M317</f>
        <v>2219265</v>
      </c>
      <c r="L317" s="842">
        <v>2219265</v>
      </c>
      <c r="M317" s="842">
        <v>0</v>
      </c>
      <c r="N317" s="842">
        <f>O317+R317+U317</f>
        <v>391635</v>
      </c>
      <c r="O317" s="842">
        <f>P317+Q317</f>
        <v>391635</v>
      </c>
      <c r="P317" s="842">
        <v>391635</v>
      </c>
      <c r="Q317" s="842">
        <v>0</v>
      </c>
      <c r="R317" s="842">
        <f>S317+T317</f>
        <v>0</v>
      </c>
      <c r="S317" s="842">
        <v>0</v>
      </c>
      <c r="T317" s="842">
        <v>0</v>
      </c>
      <c r="U317" s="842">
        <f>V317+W317</f>
        <v>0</v>
      </c>
      <c r="V317" s="842">
        <v>0</v>
      </c>
      <c r="W317" s="842">
        <v>0</v>
      </c>
    </row>
    <row r="318" spans="1:23" s="701" customFormat="1" ht="14.25" customHeight="1">
      <c r="A318" s="848"/>
      <c r="B318" s="860"/>
      <c r="C318" s="846"/>
      <c r="D318" s="870"/>
      <c r="E318" s="850"/>
      <c r="F318" s="850"/>
      <c r="G318" s="860"/>
      <c r="H318" s="700">
        <v>16999447</v>
      </c>
      <c r="I318" s="700">
        <v>9398895</v>
      </c>
      <c r="J318" s="842"/>
      <c r="K318" s="842"/>
      <c r="L318" s="842"/>
      <c r="M318" s="842"/>
      <c r="N318" s="842"/>
      <c r="O318" s="842"/>
      <c r="P318" s="842"/>
      <c r="Q318" s="842"/>
      <c r="R318" s="842"/>
      <c r="S318" s="842"/>
      <c r="T318" s="842"/>
      <c r="U318" s="842"/>
      <c r="V318" s="842"/>
      <c r="W318" s="842"/>
    </row>
    <row r="319" spans="1:23" s="701" customFormat="1" ht="14.25" customHeight="1">
      <c r="A319" s="848"/>
      <c r="B319" s="860"/>
      <c r="C319" s="846"/>
      <c r="D319" s="870"/>
      <c r="E319" s="850"/>
      <c r="F319" s="850"/>
      <c r="G319" s="860"/>
      <c r="H319" s="700">
        <v>2999903</v>
      </c>
      <c r="I319" s="700">
        <v>1658629</v>
      </c>
      <c r="J319" s="457">
        <f>K319+N319</f>
        <v>0</v>
      </c>
      <c r="K319" s="457">
        <f>L319+M319</f>
        <v>0</v>
      </c>
      <c r="L319" s="458">
        <v>0</v>
      </c>
      <c r="M319" s="458">
        <v>0</v>
      </c>
      <c r="N319" s="457">
        <f>O319+R319+U319</f>
        <v>0</v>
      </c>
      <c r="O319" s="457">
        <f>P319+Q319</f>
        <v>0</v>
      </c>
      <c r="P319" s="458">
        <v>0</v>
      </c>
      <c r="Q319" s="458">
        <v>0</v>
      </c>
      <c r="R319" s="457">
        <f>S319+T319</f>
        <v>0</v>
      </c>
      <c r="S319" s="458">
        <v>0</v>
      </c>
      <c r="T319" s="458">
        <v>0</v>
      </c>
      <c r="U319" s="457">
        <f>V319+W319</f>
        <v>0</v>
      </c>
      <c r="V319" s="458">
        <v>0</v>
      </c>
      <c r="W319" s="458">
        <v>0</v>
      </c>
    </row>
    <row r="320" spans="1:23" s="701" customFormat="1" ht="14.25" customHeight="1">
      <c r="A320" s="848"/>
      <c r="B320" s="860"/>
      <c r="C320" s="846"/>
      <c r="D320" s="870"/>
      <c r="E320" s="850"/>
      <c r="F320" s="850"/>
      <c r="G320" s="860"/>
      <c r="H320" s="700">
        <v>0</v>
      </c>
      <c r="I320" s="700">
        <v>0</v>
      </c>
      <c r="J320" s="842">
        <f>J317+J319</f>
        <v>2610900</v>
      </c>
      <c r="K320" s="842">
        <f aca="true" t="shared" si="59" ref="K320:W320">K317+K319</f>
        <v>2219265</v>
      </c>
      <c r="L320" s="842">
        <f t="shared" si="59"/>
        <v>2219265</v>
      </c>
      <c r="M320" s="842">
        <f t="shared" si="59"/>
        <v>0</v>
      </c>
      <c r="N320" s="842">
        <f t="shared" si="59"/>
        <v>391635</v>
      </c>
      <c r="O320" s="842">
        <f t="shared" si="59"/>
        <v>391635</v>
      </c>
      <c r="P320" s="842">
        <f t="shared" si="59"/>
        <v>391635</v>
      </c>
      <c r="Q320" s="842">
        <f t="shared" si="59"/>
        <v>0</v>
      </c>
      <c r="R320" s="842">
        <f t="shared" si="59"/>
        <v>0</v>
      </c>
      <c r="S320" s="842">
        <f t="shared" si="59"/>
        <v>0</v>
      </c>
      <c r="T320" s="842">
        <f t="shared" si="59"/>
        <v>0</v>
      </c>
      <c r="U320" s="842">
        <f t="shared" si="59"/>
        <v>0</v>
      </c>
      <c r="V320" s="842">
        <f t="shared" si="59"/>
        <v>0</v>
      </c>
      <c r="W320" s="842">
        <f t="shared" si="59"/>
        <v>0</v>
      </c>
    </row>
    <row r="321" spans="1:23" s="701" customFormat="1" ht="14.25" customHeight="1">
      <c r="A321" s="848"/>
      <c r="B321" s="861"/>
      <c r="C321" s="846"/>
      <c r="D321" s="871"/>
      <c r="E321" s="851"/>
      <c r="F321" s="851"/>
      <c r="G321" s="861"/>
      <c r="H321" s="700">
        <v>0</v>
      </c>
      <c r="I321" s="700">
        <v>0</v>
      </c>
      <c r="J321" s="842"/>
      <c r="K321" s="842"/>
      <c r="L321" s="842"/>
      <c r="M321" s="842"/>
      <c r="N321" s="842"/>
      <c r="O321" s="842"/>
      <c r="P321" s="842"/>
      <c r="Q321" s="842"/>
      <c r="R321" s="842"/>
      <c r="S321" s="842"/>
      <c r="T321" s="842"/>
      <c r="U321" s="842"/>
      <c r="V321" s="842"/>
      <c r="W321" s="842"/>
    </row>
    <row r="322" spans="1:23" s="701" customFormat="1" ht="13.5" customHeight="1">
      <c r="A322" s="848">
        <v>44</v>
      </c>
      <c r="B322" s="859" t="s">
        <v>1072</v>
      </c>
      <c r="C322" s="846" t="s">
        <v>1068</v>
      </c>
      <c r="D322" s="869" t="s">
        <v>1075</v>
      </c>
      <c r="E322" s="849" t="s">
        <v>581</v>
      </c>
      <c r="F322" s="849" t="s">
        <v>1074</v>
      </c>
      <c r="G322" s="859" t="s">
        <v>598</v>
      </c>
      <c r="H322" s="700">
        <f>H323+H324+H325+H326</f>
        <v>5081851</v>
      </c>
      <c r="I322" s="700">
        <f>I323+I324+I325+I326</f>
        <v>473688</v>
      </c>
      <c r="J322" s="842">
        <f>K322+N322</f>
        <v>1693950</v>
      </c>
      <c r="K322" s="842">
        <f>L322+M322</f>
        <v>1439857</v>
      </c>
      <c r="L322" s="842">
        <v>1439857</v>
      </c>
      <c r="M322" s="842">
        <v>0</v>
      </c>
      <c r="N322" s="842">
        <f>O322+R322+U322</f>
        <v>254093</v>
      </c>
      <c r="O322" s="842">
        <f>P322+Q322</f>
        <v>254093</v>
      </c>
      <c r="P322" s="842">
        <v>254093</v>
      </c>
      <c r="Q322" s="842">
        <v>0</v>
      </c>
      <c r="R322" s="842">
        <f>S322+T322</f>
        <v>0</v>
      </c>
      <c r="S322" s="842">
        <v>0</v>
      </c>
      <c r="T322" s="842">
        <v>0</v>
      </c>
      <c r="U322" s="842">
        <f>V322+W322</f>
        <v>0</v>
      </c>
      <c r="V322" s="842">
        <v>0</v>
      </c>
      <c r="W322" s="842">
        <v>0</v>
      </c>
    </row>
    <row r="323" spans="1:23" s="701" customFormat="1" ht="13.5" customHeight="1">
      <c r="A323" s="848"/>
      <c r="B323" s="860"/>
      <c r="C323" s="846"/>
      <c r="D323" s="870"/>
      <c r="E323" s="850"/>
      <c r="F323" s="850"/>
      <c r="G323" s="860"/>
      <c r="H323" s="700">
        <v>4319573</v>
      </c>
      <c r="I323" s="700">
        <v>402635</v>
      </c>
      <c r="J323" s="842"/>
      <c r="K323" s="842"/>
      <c r="L323" s="842"/>
      <c r="M323" s="842"/>
      <c r="N323" s="842"/>
      <c r="O323" s="842"/>
      <c r="P323" s="842"/>
      <c r="Q323" s="842"/>
      <c r="R323" s="842"/>
      <c r="S323" s="842"/>
      <c r="T323" s="842"/>
      <c r="U323" s="842"/>
      <c r="V323" s="842"/>
      <c r="W323" s="842"/>
    </row>
    <row r="324" spans="1:23" s="701" customFormat="1" ht="13.5" customHeight="1">
      <c r="A324" s="848"/>
      <c r="B324" s="860"/>
      <c r="C324" s="846"/>
      <c r="D324" s="870"/>
      <c r="E324" s="850"/>
      <c r="F324" s="850"/>
      <c r="G324" s="860"/>
      <c r="H324" s="700">
        <v>762278</v>
      </c>
      <c r="I324" s="700">
        <v>71053</v>
      </c>
      <c r="J324" s="457">
        <f>K324+N324</f>
        <v>0</v>
      </c>
      <c r="K324" s="457">
        <f>L324+M324</f>
        <v>0</v>
      </c>
      <c r="L324" s="458">
        <v>0</v>
      </c>
      <c r="M324" s="458">
        <v>0</v>
      </c>
      <c r="N324" s="457">
        <f>O324+R324+U324</f>
        <v>0</v>
      </c>
      <c r="O324" s="457">
        <f>P324+Q324</f>
        <v>0</v>
      </c>
      <c r="P324" s="458">
        <v>0</v>
      </c>
      <c r="Q324" s="458">
        <v>0</v>
      </c>
      <c r="R324" s="457">
        <f>S324+T324</f>
        <v>0</v>
      </c>
      <c r="S324" s="458">
        <v>0</v>
      </c>
      <c r="T324" s="458">
        <v>0</v>
      </c>
      <c r="U324" s="457">
        <f>V324+W324</f>
        <v>0</v>
      </c>
      <c r="V324" s="458">
        <v>0</v>
      </c>
      <c r="W324" s="458">
        <v>0</v>
      </c>
    </row>
    <row r="325" spans="1:23" s="701" customFormat="1" ht="13.5" customHeight="1">
      <c r="A325" s="848"/>
      <c r="B325" s="860"/>
      <c r="C325" s="846"/>
      <c r="D325" s="870"/>
      <c r="E325" s="850"/>
      <c r="F325" s="850"/>
      <c r="G325" s="860"/>
      <c r="H325" s="700">
        <v>0</v>
      </c>
      <c r="I325" s="700">
        <v>0</v>
      </c>
      <c r="J325" s="842">
        <f>J322+J324</f>
        <v>1693950</v>
      </c>
      <c r="K325" s="842">
        <f aca="true" t="shared" si="60" ref="K325:W325">K322+K324</f>
        <v>1439857</v>
      </c>
      <c r="L325" s="842">
        <f t="shared" si="60"/>
        <v>1439857</v>
      </c>
      <c r="M325" s="842">
        <f t="shared" si="60"/>
        <v>0</v>
      </c>
      <c r="N325" s="842">
        <f t="shared" si="60"/>
        <v>254093</v>
      </c>
      <c r="O325" s="842">
        <f t="shared" si="60"/>
        <v>254093</v>
      </c>
      <c r="P325" s="842">
        <f t="shared" si="60"/>
        <v>254093</v>
      </c>
      <c r="Q325" s="842">
        <f t="shared" si="60"/>
        <v>0</v>
      </c>
      <c r="R325" s="842">
        <f t="shared" si="60"/>
        <v>0</v>
      </c>
      <c r="S325" s="842">
        <f t="shared" si="60"/>
        <v>0</v>
      </c>
      <c r="T325" s="842">
        <f t="shared" si="60"/>
        <v>0</v>
      </c>
      <c r="U325" s="842">
        <f t="shared" si="60"/>
        <v>0</v>
      </c>
      <c r="V325" s="842">
        <f t="shared" si="60"/>
        <v>0</v>
      </c>
      <c r="W325" s="842">
        <f t="shared" si="60"/>
        <v>0</v>
      </c>
    </row>
    <row r="326" spans="1:23" s="701" customFormat="1" ht="13.5" customHeight="1">
      <c r="A326" s="848"/>
      <c r="B326" s="861"/>
      <c r="C326" s="846"/>
      <c r="D326" s="871"/>
      <c r="E326" s="851"/>
      <c r="F326" s="851"/>
      <c r="G326" s="861"/>
      <c r="H326" s="700">
        <v>0</v>
      </c>
      <c r="I326" s="700">
        <v>0</v>
      </c>
      <c r="J326" s="842"/>
      <c r="K326" s="842"/>
      <c r="L326" s="842"/>
      <c r="M326" s="842"/>
      <c r="N326" s="842"/>
      <c r="O326" s="842"/>
      <c r="P326" s="842"/>
      <c r="Q326" s="842"/>
      <c r="R326" s="842"/>
      <c r="S326" s="842"/>
      <c r="T326" s="842"/>
      <c r="U326" s="842"/>
      <c r="V326" s="842"/>
      <c r="W326" s="842"/>
    </row>
    <row r="327" spans="1:23" s="701" customFormat="1" ht="13.5" customHeight="1" hidden="1">
      <c r="A327" s="848">
        <v>59</v>
      </c>
      <c r="B327" s="859" t="s">
        <v>1076</v>
      </c>
      <c r="C327" s="846" t="s">
        <v>1071</v>
      </c>
      <c r="D327" s="869" t="s">
        <v>1077</v>
      </c>
      <c r="E327" s="849" t="s">
        <v>581</v>
      </c>
      <c r="F327" s="849" t="s">
        <v>1074</v>
      </c>
      <c r="G327" s="859" t="s">
        <v>1066</v>
      </c>
      <c r="H327" s="700">
        <f>H328+H329+H330+H331</f>
        <v>7483300</v>
      </c>
      <c r="I327" s="700">
        <f>I328+I329+I330+I331</f>
        <v>0</v>
      </c>
      <c r="J327" s="842">
        <f>K327+N327</f>
        <v>1537250</v>
      </c>
      <c r="K327" s="842">
        <f>L327+M327</f>
        <v>1306662</v>
      </c>
      <c r="L327" s="842">
        <v>1306662</v>
      </c>
      <c r="M327" s="842">
        <v>0</v>
      </c>
      <c r="N327" s="842">
        <f>O327+R327+U327</f>
        <v>230588</v>
      </c>
      <c r="O327" s="842">
        <f>P327+Q327</f>
        <v>230588</v>
      </c>
      <c r="P327" s="842">
        <v>230588</v>
      </c>
      <c r="Q327" s="842">
        <v>0</v>
      </c>
      <c r="R327" s="842">
        <f>S327+T327</f>
        <v>0</v>
      </c>
      <c r="S327" s="842">
        <v>0</v>
      </c>
      <c r="T327" s="842">
        <v>0</v>
      </c>
      <c r="U327" s="842">
        <f>V327+W327</f>
        <v>0</v>
      </c>
      <c r="V327" s="842">
        <v>0</v>
      </c>
      <c r="W327" s="842">
        <v>0</v>
      </c>
    </row>
    <row r="328" spans="1:23" s="701" customFormat="1" ht="13.5" customHeight="1" hidden="1">
      <c r="A328" s="848"/>
      <c r="B328" s="860"/>
      <c r="C328" s="846"/>
      <c r="D328" s="870"/>
      <c r="E328" s="850"/>
      <c r="F328" s="850"/>
      <c r="G328" s="860"/>
      <c r="H328" s="700">
        <v>6360805</v>
      </c>
      <c r="I328" s="700">
        <v>0</v>
      </c>
      <c r="J328" s="842"/>
      <c r="K328" s="842"/>
      <c r="L328" s="842"/>
      <c r="M328" s="842"/>
      <c r="N328" s="842"/>
      <c r="O328" s="842"/>
      <c r="P328" s="842"/>
      <c r="Q328" s="842"/>
      <c r="R328" s="842"/>
      <c r="S328" s="842"/>
      <c r="T328" s="842"/>
      <c r="U328" s="842"/>
      <c r="V328" s="842"/>
      <c r="W328" s="842"/>
    </row>
    <row r="329" spans="1:23" s="701" customFormat="1" ht="13.5" customHeight="1" hidden="1">
      <c r="A329" s="848"/>
      <c r="B329" s="860"/>
      <c r="C329" s="846"/>
      <c r="D329" s="870"/>
      <c r="E329" s="850"/>
      <c r="F329" s="850"/>
      <c r="G329" s="860"/>
      <c r="H329" s="700">
        <v>1122495</v>
      </c>
      <c r="I329" s="700">
        <v>0</v>
      </c>
      <c r="J329" s="457">
        <f>K329+N329</f>
        <v>0</v>
      </c>
      <c r="K329" s="457">
        <f>L329+M329</f>
        <v>0</v>
      </c>
      <c r="L329" s="458">
        <v>0</v>
      </c>
      <c r="M329" s="458">
        <v>0</v>
      </c>
      <c r="N329" s="457">
        <f>O329+R329+U329</f>
        <v>0</v>
      </c>
      <c r="O329" s="457">
        <f>P329+Q329</f>
        <v>0</v>
      </c>
      <c r="P329" s="458">
        <v>0</v>
      </c>
      <c r="Q329" s="458">
        <v>0</v>
      </c>
      <c r="R329" s="457">
        <f>S329+T329</f>
        <v>0</v>
      </c>
      <c r="S329" s="458">
        <v>0</v>
      </c>
      <c r="T329" s="458">
        <v>0</v>
      </c>
      <c r="U329" s="457">
        <f>V329+W329</f>
        <v>0</v>
      </c>
      <c r="V329" s="458">
        <v>0</v>
      </c>
      <c r="W329" s="458">
        <v>0</v>
      </c>
    </row>
    <row r="330" spans="1:23" s="701" customFormat="1" ht="13.5" customHeight="1" hidden="1">
      <c r="A330" s="848"/>
      <c r="B330" s="860"/>
      <c r="C330" s="846"/>
      <c r="D330" s="870"/>
      <c r="E330" s="850"/>
      <c r="F330" s="850"/>
      <c r="G330" s="860"/>
      <c r="H330" s="700">
        <v>0</v>
      </c>
      <c r="I330" s="700">
        <v>0</v>
      </c>
      <c r="J330" s="842">
        <f>J327+J329</f>
        <v>1537250</v>
      </c>
      <c r="K330" s="842">
        <f aca="true" t="shared" si="61" ref="K330:W330">K327+K329</f>
        <v>1306662</v>
      </c>
      <c r="L330" s="842">
        <f t="shared" si="61"/>
        <v>1306662</v>
      </c>
      <c r="M330" s="842">
        <f t="shared" si="61"/>
        <v>0</v>
      </c>
      <c r="N330" s="842">
        <f t="shared" si="61"/>
        <v>230588</v>
      </c>
      <c r="O330" s="842">
        <f t="shared" si="61"/>
        <v>230588</v>
      </c>
      <c r="P330" s="842">
        <f t="shared" si="61"/>
        <v>230588</v>
      </c>
      <c r="Q330" s="842">
        <f t="shared" si="61"/>
        <v>0</v>
      </c>
      <c r="R330" s="842">
        <f t="shared" si="61"/>
        <v>0</v>
      </c>
      <c r="S330" s="842">
        <f t="shared" si="61"/>
        <v>0</v>
      </c>
      <c r="T330" s="842">
        <f t="shared" si="61"/>
        <v>0</v>
      </c>
      <c r="U330" s="842">
        <f t="shared" si="61"/>
        <v>0</v>
      </c>
      <c r="V330" s="842">
        <f t="shared" si="61"/>
        <v>0</v>
      </c>
      <c r="W330" s="842">
        <f t="shared" si="61"/>
        <v>0</v>
      </c>
    </row>
    <row r="331" spans="1:23" s="701" customFormat="1" ht="13.5" customHeight="1" hidden="1">
      <c r="A331" s="848"/>
      <c r="B331" s="861"/>
      <c r="C331" s="846"/>
      <c r="D331" s="871"/>
      <c r="E331" s="851"/>
      <c r="F331" s="851"/>
      <c r="G331" s="861"/>
      <c r="H331" s="700">
        <v>0</v>
      </c>
      <c r="I331" s="700">
        <v>0</v>
      </c>
      <c r="J331" s="842"/>
      <c r="K331" s="842"/>
      <c r="L331" s="842"/>
      <c r="M331" s="842"/>
      <c r="N331" s="842"/>
      <c r="O331" s="842"/>
      <c r="P331" s="842"/>
      <c r="Q331" s="842"/>
      <c r="R331" s="842"/>
      <c r="S331" s="842"/>
      <c r="T331" s="842"/>
      <c r="U331" s="842"/>
      <c r="V331" s="842"/>
      <c r="W331" s="842"/>
    </row>
    <row r="332" spans="1:23" s="701" customFormat="1" ht="13.5" customHeight="1">
      <c r="A332" s="848">
        <v>45</v>
      </c>
      <c r="B332" s="859" t="s">
        <v>740</v>
      </c>
      <c r="C332" s="846" t="s">
        <v>1078</v>
      </c>
      <c r="D332" s="869" t="s">
        <v>1079</v>
      </c>
      <c r="E332" s="849" t="s">
        <v>581</v>
      </c>
      <c r="F332" s="849" t="s">
        <v>1080</v>
      </c>
      <c r="G332" s="859" t="s">
        <v>598</v>
      </c>
      <c r="H332" s="700">
        <f>H333+H334+H335+H336</f>
        <v>26644347</v>
      </c>
      <c r="I332" s="700">
        <f>I333+I334+I335+I336</f>
        <v>6644074</v>
      </c>
      <c r="J332" s="842">
        <f>K332+N332</f>
        <v>10259039</v>
      </c>
      <c r="K332" s="842">
        <f>L332+M332</f>
        <v>9588342</v>
      </c>
      <c r="L332" s="842">
        <v>9588342</v>
      </c>
      <c r="M332" s="842">
        <v>0</v>
      </c>
      <c r="N332" s="842">
        <f>O332+R332+U332</f>
        <v>670697</v>
      </c>
      <c r="O332" s="842">
        <f>P332+Q332</f>
        <v>564021</v>
      </c>
      <c r="P332" s="842">
        <v>564021</v>
      </c>
      <c r="Q332" s="842">
        <v>0</v>
      </c>
      <c r="R332" s="842">
        <f>S332+T332</f>
        <v>106676</v>
      </c>
      <c r="S332" s="842">
        <v>106676</v>
      </c>
      <c r="T332" s="842">
        <v>0</v>
      </c>
      <c r="U332" s="842">
        <f>V332+W332</f>
        <v>0</v>
      </c>
      <c r="V332" s="842">
        <v>0</v>
      </c>
      <c r="W332" s="842">
        <v>0</v>
      </c>
    </row>
    <row r="333" spans="1:23" s="701" customFormat="1" ht="13.5" customHeight="1">
      <c r="A333" s="848"/>
      <c r="B333" s="860"/>
      <c r="C333" s="846"/>
      <c r="D333" s="870"/>
      <c r="E333" s="850"/>
      <c r="F333" s="850"/>
      <c r="G333" s="860"/>
      <c r="H333" s="700">
        <v>24793944</v>
      </c>
      <c r="I333" s="700">
        <v>6249414</v>
      </c>
      <c r="J333" s="842"/>
      <c r="K333" s="842"/>
      <c r="L333" s="842"/>
      <c r="M333" s="842"/>
      <c r="N333" s="842"/>
      <c r="O333" s="842"/>
      <c r="P333" s="842"/>
      <c r="Q333" s="842"/>
      <c r="R333" s="842"/>
      <c r="S333" s="842"/>
      <c r="T333" s="842"/>
      <c r="U333" s="842"/>
      <c r="V333" s="842"/>
      <c r="W333" s="842"/>
    </row>
    <row r="334" spans="1:23" s="701" customFormat="1" ht="13.5" customHeight="1">
      <c r="A334" s="848"/>
      <c r="B334" s="860"/>
      <c r="C334" s="846"/>
      <c r="D334" s="870"/>
      <c r="E334" s="850"/>
      <c r="F334" s="850"/>
      <c r="G334" s="860"/>
      <c r="H334" s="700">
        <v>1458468</v>
      </c>
      <c r="I334" s="700">
        <v>367612</v>
      </c>
      <c r="J334" s="457">
        <f>K334+N334</f>
        <v>22633</v>
      </c>
      <c r="K334" s="457">
        <f>L334+M334</f>
        <v>-25315</v>
      </c>
      <c r="L334" s="458">
        <v>-25315</v>
      </c>
      <c r="M334" s="458">
        <v>0</v>
      </c>
      <c r="N334" s="457">
        <f>O334+R334+U334</f>
        <v>47948</v>
      </c>
      <c r="O334" s="457">
        <f>P334+Q334</f>
        <v>-1493</v>
      </c>
      <c r="P334" s="458">
        <v>-1493</v>
      </c>
      <c r="Q334" s="458">
        <v>0</v>
      </c>
      <c r="R334" s="457">
        <f>S334+T334</f>
        <v>49441</v>
      </c>
      <c r="S334" s="458">
        <v>49441</v>
      </c>
      <c r="T334" s="458">
        <v>0</v>
      </c>
      <c r="U334" s="457">
        <f>V334+W334</f>
        <v>0</v>
      </c>
      <c r="V334" s="458">
        <v>0</v>
      </c>
      <c r="W334" s="458">
        <v>0</v>
      </c>
    </row>
    <row r="335" spans="1:23" s="701" customFormat="1" ht="13.5" customHeight="1">
      <c r="A335" s="848"/>
      <c r="B335" s="860"/>
      <c r="C335" s="846"/>
      <c r="D335" s="870"/>
      <c r="E335" s="850"/>
      <c r="F335" s="850"/>
      <c r="G335" s="860"/>
      <c r="H335" s="700">
        <v>391935</v>
      </c>
      <c r="I335" s="700">
        <v>27048</v>
      </c>
      <c r="J335" s="842">
        <f>J332+J334</f>
        <v>10281672</v>
      </c>
      <c r="K335" s="842">
        <f aca="true" t="shared" si="62" ref="K335:W335">K332+K334</f>
        <v>9563027</v>
      </c>
      <c r="L335" s="842">
        <f t="shared" si="62"/>
        <v>9563027</v>
      </c>
      <c r="M335" s="842">
        <f t="shared" si="62"/>
        <v>0</v>
      </c>
      <c r="N335" s="842">
        <f t="shared" si="62"/>
        <v>718645</v>
      </c>
      <c r="O335" s="842">
        <f t="shared" si="62"/>
        <v>562528</v>
      </c>
      <c r="P335" s="842">
        <f t="shared" si="62"/>
        <v>562528</v>
      </c>
      <c r="Q335" s="842">
        <f t="shared" si="62"/>
        <v>0</v>
      </c>
      <c r="R335" s="842">
        <f t="shared" si="62"/>
        <v>156117</v>
      </c>
      <c r="S335" s="842">
        <f t="shared" si="62"/>
        <v>156117</v>
      </c>
      <c r="T335" s="842">
        <f t="shared" si="62"/>
        <v>0</v>
      </c>
      <c r="U335" s="842">
        <f t="shared" si="62"/>
        <v>0</v>
      </c>
      <c r="V335" s="842">
        <f t="shared" si="62"/>
        <v>0</v>
      </c>
      <c r="W335" s="842">
        <f t="shared" si="62"/>
        <v>0</v>
      </c>
    </row>
    <row r="336" spans="1:23" s="701" customFormat="1" ht="13.5" customHeight="1">
      <c r="A336" s="848"/>
      <c r="B336" s="861"/>
      <c r="C336" s="846"/>
      <c r="D336" s="871"/>
      <c r="E336" s="851"/>
      <c r="F336" s="851"/>
      <c r="G336" s="861"/>
      <c r="H336" s="700">
        <v>0</v>
      </c>
      <c r="I336" s="700">
        <v>0</v>
      </c>
      <c r="J336" s="842"/>
      <c r="K336" s="842"/>
      <c r="L336" s="842"/>
      <c r="M336" s="842"/>
      <c r="N336" s="842"/>
      <c r="O336" s="842"/>
      <c r="P336" s="842"/>
      <c r="Q336" s="842"/>
      <c r="R336" s="842"/>
      <c r="S336" s="842"/>
      <c r="T336" s="842"/>
      <c r="U336" s="842"/>
      <c r="V336" s="842"/>
      <c r="W336" s="842"/>
    </row>
    <row r="337" spans="1:23" s="704" customFormat="1" ht="15.75" customHeight="1">
      <c r="A337" s="843" t="s">
        <v>1081</v>
      </c>
      <c r="B337" s="843"/>
      <c r="C337" s="843"/>
      <c r="D337" s="843"/>
      <c r="E337" s="843"/>
      <c r="F337" s="843"/>
      <c r="G337" s="843"/>
      <c r="H337" s="703">
        <f>H17+H22+H27+H32+H37+H42+H47+H52+H57+H62+H67+H72+H77+H82+H87+H92+H102+H117+H122+H127+H132+H137+H142+H147+H152+H157+H162+H167+H177+H182+H187+H192+H197+H202+H207+H212+H217+H222+H227+H232+H237+H242+H247+H252+H262+H267+H272+H277+H282+H287+H292+H297+H302+H307+H312+H317+H322+H327+H332+H112+H97+H107+H257</f>
        <v>1231774328</v>
      </c>
      <c r="I337" s="703">
        <f>I17+I22+I27+I32+I37+I42+I47+I52+I57+I62+I67+I72+I77+I82+I87+I92+I102+I117+I122+I127+I132+I137+I142+I147+I152+I157+I162+I167+I177+I182+I187+I192+I197+I202+I207+I212+I217+I222+I227+I232+I237+I242+I247+I252+I262+I267+I272+I277+I282+I287+I292+I297+I302+I307+I312+I317+I322+I327+I332+I112+I97+I107+I257</f>
        <v>203484804</v>
      </c>
      <c r="J337" s="840">
        <f>J17+J22+J27+J32+J37+J42+J47+J52+J57+J62+J67+J72+J77+J82+J87+J92+J102+J112+J117+J122+J127+J132+J137+J142+J147+J152+J157+J162+J167+J177+J182+J187+J192+J197+J202+J207+J212+J217+J222+J227+J232+J237+J242+J247+J252+J262+J267+J272+J277+J282+J287+J292+J297+J302+J307+J312+J317+J322+J327+J332+J97+J107+J257</f>
        <v>415492275</v>
      </c>
      <c r="K337" s="840">
        <f aca="true" t="shared" si="63" ref="K337:W337">K17+K22+K27+K32+K37+K42+K47+K52+K57+K62+K67+K72+K77+K82+K87+K92+K102+K112+K117+K122+K127+K132+K137+K142+K147+K152+K157+K162+K167+K177+K182+K187+K192+K197+K202+K207+K212+K217+K222+K227+K232+K237+K242+K247+K252+K262+K267+K272+K277+K282+K287+K292+K297+K302+K307+K312+K317+K322+K327+K332+K97+K107+K257</f>
        <v>349001081</v>
      </c>
      <c r="L337" s="840">
        <f t="shared" si="63"/>
        <v>58355361</v>
      </c>
      <c r="M337" s="840">
        <f t="shared" si="63"/>
        <v>290645720</v>
      </c>
      <c r="N337" s="840">
        <f t="shared" si="63"/>
        <v>66491194</v>
      </c>
      <c r="O337" s="840">
        <f t="shared" si="63"/>
        <v>2774942</v>
      </c>
      <c r="P337" s="840">
        <f t="shared" si="63"/>
        <v>2774942</v>
      </c>
      <c r="Q337" s="840">
        <f t="shared" si="63"/>
        <v>0</v>
      </c>
      <c r="R337" s="840">
        <f t="shared" si="63"/>
        <v>47063053</v>
      </c>
      <c r="S337" s="840">
        <f t="shared" si="63"/>
        <v>3183360</v>
      </c>
      <c r="T337" s="840">
        <f t="shared" si="63"/>
        <v>43879693</v>
      </c>
      <c r="U337" s="840">
        <f t="shared" si="63"/>
        <v>16653199</v>
      </c>
      <c r="V337" s="840">
        <f t="shared" si="63"/>
        <v>1179397</v>
      </c>
      <c r="W337" s="840">
        <f t="shared" si="63"/>
        <v>15473802</v>
      </c>
    </row>
    <row r="338" spans="1:23" s="704" customFormat="1" ht="15.75" customHeight="1">
      <c r="A338" s="843"/>
      <c r="B338" s="843"/>
      <c r="C338" s="843"/>
      <c r="D338" s="843"/>
      <c r="E338" s="843"/>
      <c r="F338" s="843"/>
      <c r="G338" s="843"/>
      <c r="H338" s="703">
        <f aca="true" t="shared" si="64" ref="H338:I341">H18+H23+H28+H33+H38+H43+H48+H53+H58+H63+H68+H73+H78+H83+H88+H93+H103+H118+H123+H128+H133+H138+H143+H148+H153+H158+H163+H168+H178+H183+H188+H193+H198+H203+H208+H213+H218+H223+H228+H233+H238+H243+H248+H253+H263+H268+H273+H278+H283+H288+H293+H298+H303+H308+H313+H318+H323+H328+H333+H113+H98+H108+H258</f>
        <v>1033418366</v>
      </c>
      <c r="I338" s="703">
        <f t="shared" si="64"/>
        <v>151015628</v>
      </c>
      <c r="J338" s="840"/>
      <c r="K338" s="840"/>
      <c r="L338" s="840"/>
      <c r="M338" s="840"/>
      <c r="N338" s="840"/>
      <c r="O338" s="840"/>
      <c r="P338" s="840"/>
      <c r="Q338" s="840"/>
      <c r="R338" s="840"/>
      <c r="S338" s="840"/>
      <c r="T338" s="840"/>
      <c r="U338" s="840"/>
      <c r="V338" s="840"/>
      <c r="W338" s="840"/>
    </row>
    <row r="339" spans="1:23" s="704" customFormat="1" ht="15.75" customHeight="1">
      <c r="A339" s="843"/>
      <c r="B339" s="843"/>
      <c r="C339" s="843"/>
      <c r="D339" s="843"/>
      <c r="E339" s="843"/>
      <c r="F339" s="843"/>
      <c r="G339" s="843"/>
      <c r="H339" s="703">
        <f t="shared" si="64"/>
        <v>10791520</v>
      </c>
      <c r="I339" s="703">
        <f t="shared" si="64"/>
        <v>2835795</v>
      </c>
      <c r="J339" s="705">
        <f>J334+J329+J324+J319+J314+J309+J304+J299+J294+J289+J284+J279+J269+J264+J254+J249+J244+J239+J234+J229+J224+J219+J214+J209+J204+J199+J194+J189+J184+J179+J169+J164+J159+J154+J149+J144+J139+J134+J129+J124+J119+J114+J104+J94+J89+J84+J79+J74+J69+J64+J59+J54+J49+J44+J39+J34+J29+J24+J19+J274+J259+J99+J109</f>
        <v>-42713923</v>
      </c>
      <c r="K339" s="705">
        <f aca="true" t="shared" si="65" ref="K339:W339">K334+K329+K324+K319+K314+K309+K304+K299+K294+K289+K284+K279+K269+K264+K254+K249+K244+K239+K234+K229+K224+K219+K214+K209+K204+K199+K194+K189+K184+K179+K169+K164+K159+K154+K149+K144+K139+K134+K129+K124+K119+K114+K104+K94+K89+K84+K79+K74+K69+K64+K59+K54+K49+K44+K39+K34+K29+K24+K19+K274+K259+K99+K109</f>
        <v>-51195761</v>
      </c>
      <c r="L339" s="705">
        <f t="shared" si="65"/>
        <v>6412450</v>
      </c>
      <c r="M339" s="705">
        <f t="shared" si="65"/>
        <v>-57608211</v>
      </c>
      <c r="N339" s="705">
        <f t="shared" si="65"/>
        <v>8481838</v>
      </c>
      <c r="O339" s="705">
        <f t="shared" si="65"/>
        <v>543946</v>
      </c>
      <c r="P339" s="705">
        <f t="shared" si="65"/>
        <v>543946</v>
      </c>
      <c r="Q339" s="705">
        <f t="shared" si="65"/>
        <v>0</v>
      </c>
      <c r="R339" s="705">
        <f t="shared" si="65"/>
        <v>6903889</v>
      </c>
      <c r="S339" s="705">
        <f t="shared" si="65"/>
        <v>342246</v>
      </c>
      <c r="T339" s="705">
        <f t="shared" si="65"/>
        <v>6561643</v>
      </c>
      <c r="U339" s="705">
        <f t="shared" si="65"/>
        <v>1034003</v>
      </c>
      <c r="V339" s="705">
        <f t="shared" si="65"/>
        <v>2308</v>
      </c>
      <c r="W339" s="705">
        <f t="shared" si="65"/>
        <v>1031695</v>
      </c>
    </row>
    <row r="340" spans="1:23" s="704" customFormat="1" ht="15.75" customHeight="1">
      <c r="A340" s="843"/>
      <c r="B340" s="843"/>
      <c r="C340" s="843"/>
      <c r="D340" s="843"/>
      <c r="E340" s="843"/>
      <c r="F340" s="843"/>
      <c r="G340" s="843"/>
      <c r="H340" s="703">
        <f t="shared" si="64"/>
        <v>163890515</v>
      </c>
      <c r="I340" s="703">
        <f t="shared" si="64"/>
        <v>47177537</v>
      </c>
      <c r="J340" s="840">
        <f>J337+J339</f>
        <v>372778352</v>
      </c>
      <c r="K340" s="840">
        <f aca="true" t="shared" si="66" ref="K340:W340">K337+K339</f>
        <v>297805320</v>
      </c>
      <c r="L340" s="840">
        <f t="shared" si="66"/>
        <v>64767811</v>
      </c>
      <c r="M340" s="840">
        <f t="shared" si="66"/>
        <v>233037509</v>
      </c>
      <c r="N340" s="840">
        <f t="shared" si="66"/>
        <v>74973032</v>
      </c>
      <c r="O340" s="840">
        <f t="shared" si="66"/>
        <v>3318888</v>
      </c>
      <c r="P340" s="840">
        <f t="shared" si="66"/>
        <v>3318888</v>
      </c>
      <c r="Q340" s="840">
        <f t="shared" si="66"/>
        <v>0</v>
      </c>
      <c r="R340" s="840">
        <f t="shared" si="66"/>
        <v>53966942</v>
      </c>
      <c r="S340" s="840">
        <f t="shared" si="66"/>
        <v>3525606</v>
      </c>
      <c r="T340" s="840">
        <f t="shared" si="66"/>
        <v>50441336</v>
      </c>
      <c r="U340" s="840">
        <f t="shared" si="66"/>
        <v>17687202</v>
      </c>
      <c r="V340" s="840">
        <f t="shared" si="66"/>
        <v>1181705</v>
      </c>
      <c r="W340" s="840">
        <f t="shared" si="66"/>
        <v>16505497</v>
      </c>
    </row>
    <row r="341" spans="1:23" s="704" customFormat="1" ht="15.75" customHeight="1">
      <c r="A341" s="843"/>
      <c r="B341" s="843"/>
      <c r="C341" s="843"/>
      <c r="D341" s="843"/>
      <c r="E341" s="843"/>
      <c r="F341" s="843"/>
      <c r="G341" s="843"/>
      <c r="H341" s="703">
        <f t="shared" si="64"/>
        <v>23673927</v>
      </c>
      <c r="I341" s="703">
        <f t="shared" si="64"/>
        <v>2455844</v>
      </c>
      <c r="J341" s="840"/>
      <c r="K341" s="840"/>
      <c r="L341" s="840"/>
      <c r="M341" s="840"/>
      <c r="N341" s="840"/>
      <c r="O341" s="840"/>
      <c r="P341" s="840"/>
      <c r="Q341" s="840"/>
      <c r="R341" s="840"/>
      <c r="S341" s="840"/>
      <c r="T341" s="840"/>
      <c r="U341" s="840"/>
      <c r="V341" s="840"/>
      <c r="W341" s="840"/>
    </row>
    <row r="342" spans="1:23" ht="3.75" customHeight="1">
      <c r="A342" s="868"/>
      <c r="B342" s="868"/>
      <c r="C342" s="868"/>
      <c r="D342" s="868"/>
      <c r="E342" s="868"/>
      <c r="F342" s="868"/>
      <c r="G342" s="868"/>
      <c r="H342" s="868"/>
      <c r="I342" s="868"/>
      <c r="J342" s="868"/>
      <c r="K342" s="868"/>
      <c r="L342" s="868"/>
      <c r="M342" s="868"/>
      <c r="N342" s="868"/>
      <c r="O342" s="868"/>
      <c r="P342" s="868"/>
      <c r="Q342" s="868"/>
      <c r="R342" s="868"/>
      <c r="S342" s="868"/>
      <c r="T342" s="868"/>
      <c r="U342" s="868"/>
      <c r="V342" s="868"/>
      <c r="W342" s="868"/>
    </row>
    <row r="343" spans="1:24" s="452" customFormat="1" ht="21.75" customHeight="1">
      <c r="A343" s="855" t="s">
        <v>1082</v>
      </c>
      <c r="B343" s="856"/>
      <c r="C343" s="856"/>
      <c r="D343" s="856"/>
      <c r="E343" s="856"/>
      <c r="F343" s="856"/>
      <c r="G343" s="856"/>
      <c r="H343" s="856"/>
      <c r="I343" s="856"/>
      <c r="J343" s="856"/>
      <c r="K343" s="856"/>
      <c r="L343" s="856"/>
      <c r="M343" s="856"/>
      <c r="N343" s="856"/>
      <c r="O343" s="856"/>
      <c r="P343" s="856"/>
      <c r="Q343" s="856"/>
      <c r="R343" s="856"/>
      <c r="S343" s="856"/>
      <c r="T343" s="856"/>
      <c r="U343" s="856"/>
      <c r="V343" s="856"/>
      <c r="W343" s="857"/>
      <c r="X343" s="453"/>
    </row>
    <row r="344" spans="1:23" ht="3.75" customHeight="1">
      <c r="A344" s="868"/>
      <c r="B344" s="868"/>
      <c r="C344" s="868"/>
      <c r="D344" s="868"/>
      <c r="E344" s="868"/>
      <c r="F344" s="868"/>
      <c r="G344" s="868"/>
      <c r="H344" s="868"/>
      <c r="I344" s="868"/>
      <c r="J344" s="868"/>
      <c r="K344" s="868"/>
      <c r="L344" s="868"/>
      <c r="M344" s="868"/>
      <c r="N344" s="868"/>
      <c r="O344" s="868"/>
      <c r="P344" s="868"/>
      <c r="Q344" s="868"/>
      <c r="R344" s="868"/>
      <c r="S344" s="868"/>
      <c r="T344" s="868"/>
      <c r="U344" s="868"/>
      <c r="V344" s="868"/>
      <c r="W344" s="868"/>
    </row>
    <row r="345" spans="1:23" ht="15.75" customHeight="1">
      <c r="A345" s="844">
        <v>1</v>
      </c>
      <c r="B345" s="845" t="s">
        <v>1083</v>
      </c>
      <c r="C345" s="844" t="s">
        <v>1084</v>
      </c>
      <c r="D345" s="847" t="s">
        <v>1085</v>
      </c>
      <c r="E345" s="844" t="s">
        <v>581</v>
      </c>
      <c r="F345" s="848" t="s">
        <v>1086</v>
      </c>
      <c r="G345" s="848" t="s">
        <v>588</v>
      </c>
      <c r="H345" s="700">
        <f>H346+H348+H347+H349</f>
        <v>107032742</v>
      </c>
      <c r="I345" s="700">
        <f>I346+I348+I347+I349</f>
        <v>33423702</v>
      </c>
      <c r="J345" s="842">
        <f>K345+N345</f>
        <v>34716470</v>
      </c>
      <c r="K345" s="842">
        <f>L345+M345</f>
        <v>29509000</v>
      </c>
      <c r="L345" s="842">
        <v>29499650</v>
      </c>
      <c r="M345" s="842">
        <v>9350</v>
      </c>
      <c r="N345" s="842">
        <f>O345+R345+U345</f>
        <v>5207470</v>
      </c>
      <c r="O345" s="842">
        <f>P345+Q345</f>
        <v>0</v>
      </c>
      <c r="P345" s="842">
        <v>0</v>
      </c>
      <c r="Q345" s="842">
        <v>0</v>
      </c>
      <c r="R345" s="842">
        <f>S345+T345</f>
        <v>5207470</v>
      </c>
      <c r="S345" s="842">
        <v>5205820</v>
      </c>
      <c r="T345" s="842">
        <v>1650</v>
      </c>
      <c r="U345" s="842">
        <f>V345+W345</f>
        <v>0</v>
      </c>
      <c r="V345" s="842">
        <v>0</v>
      </c>
      <c r="W345" s="842">
        <v>0</v>
      </c>
    </row>
    <row r="346" spans="1:23" ht="15.75" customHeight="1">
      <c r="A346" s="844"/>
      <c r="B346" s="845"/>
      <c r="C346" s="844"/>
      <c r="D346" s="847"/>
      <c r="E346" s="844"/>
      <c r="F346" s="848"/>
      <c r="G346" s="848"/>
      <c r="H346" s="700">
        <v>90977831</v>
      </c>
      <c r="I346" s="700">
        <v>28410146</v>
      </c>
      <c r="J346" s="842"/>
      <c r="K346" s="842"/>
      <c r="L346" s="842"/>
      <c r="M346" s="842"/>
      <c r="N346" s="842"/>
      <c r="O346" s="842"/>
      <c r="P346" s="842"/>
      <c r="Q346" s="842"/>
      <c r="R346" s="842"/>
      <c r="S346" s="842"/>
      <c r="T346" s="842"/>
      <c r="U346" s="842"/>
      <c r="V346" s="842"/>
      <c r="W346" s="842"/>
    </row>
    <row r="347" spans="1:23" ht="15.75" customHeight="1">
      <c r="A347" s="844"/>
      <c r="B347" s="845"/>
      <c r="C347" s="844"/>
      <c r="D347" s="847"/>
      <c r="E347" s="844"/>
      <c r="F347" s="848"/>
      <c r="G347" s="848"/>
      <c r="H347" s="700">
        <v>0</v>
      </c>
      <c r="I347" s="700">
        <v>0</v>
      </c>
      <c r="J347" s="457">
        <f>K347+N347</f>
        <v>863368</v>
      </c>
      <c r="K347" s="457">
        <f>L347+M347</f>
        <v>733863</v>
      </c>
      <c r="L347" s="458">
        <v>733863</v>
      </c>
      <c r="M347" s="458">
        <v>0</v>
      </c>
      <c r="N347" s="457">
        <f>O347+R347+U347</f>
        <v>129505</v>
      </c>
      <c r="O347" s="457">
        <f>P347+Q347</f>
        <v>0</v>
      </c>
      <c r="P347" s="458">
        <v>0</v>
      </c>
      <c r="Q347" s="458">
        <v>0</v>
      </c>
      <c r="R347" s="457">
        <f>S347+T347</f>
        <v>129505</v>
      </c>
      <c r="S347" s="458">
        <v>129505</v>
      </c>
      <c r="T347" s="458">
        <v>0</v>
      </c>
      <c r="U347" s="457">
        <f>V347+W347</f>
        <v>0</v>
      </c>
      <c r="V347" s="458">
        <v>0</v>
      </c>
      <c r="W347" s="458">
        <v>0</v>
      </c>
    </row>
    <row r="348" spans="1:23" ht="15.75" customHeight="1">
      <c r="A348" s="844"/>
      <c r="B348" s="845"/>
      <c r="C348" s="844"/>
      <c r="D348" s="847"/>
      <c r="E348" s="844"/>
      <c r="F348" s="848"/>
      <c r="G348" s="848"/>
      <c r="H348" s="700">
        <v>16054911</v>
      </c>
      <c r="I348" s="700">
        <v>5013556</v>
      </c>
      <c r="J348" s="842">
        <f>J345+J347</f>
        <v>35579838</v>
      </c>
      <c r="K348" s="842">
        <f aca="true" t="shared" si="67" ref="K348:W348">K345+K347</f>
        <v>30242863</v>
      </c>
      <c r="L348" s="842">
        <f t="shared" si="67"/>
        <v>30233513</v>
      </c>
      <c r="M348" s="842">
        <f t="shared" si="67"/>
        <v>9350</v>
      </c>
      <c r="N348" s="842">
        <f t="shared" si="67"/>
        <v>5336975</v>
      </c>
      <c r="O348" s="842">
        <f t="shared" si="67"/>
        <v>0</v>
      </c>
      <c r="P348" s="842">
        <f t="shared" si="67"/>
        <v>0</v>
      </c>
      <c r="Q348" s="842">
        <f t="shared" si="67"/>
        <v>0</v>
      </c>
      <c r="R348" s="842">
        <f t="shared" si="67"/>
        <v>5336975</v>
      </c>
      <c r="S348" s="842">
        <f t="shared" si="67"/>
        <v>5335325</v>
      </c>
      <c r="T348" s="842">
        <f t="shared" si="67"/>
        <v>1650</v>
      </c>
      <c r="U348" s="842">
        <f t="shared" si="67"/>
        <v>0</v>
      </c>
      <c r="V348" s="842">
        <f t="shared" si="67"/>
        <v>0</v>
      </c>
      <c r="W348" s="842">
        <f t="shared" si="67"/>
        <v>0</v>
      </c>
    </row>
    <row r="349" spans="1:23" ht="15.75" customHeight="1">
      <c r="A349" s="844"/>
      <c r="B349" s="845"/>
      <c r="C349" s="844"/>
      <c r="D349" s="847"/>
      <c r="E349" s="844"/>
      <c r="F349" s="848"/>
      <c r="G349" s="848"/>
      <c r="H349" s="700">
        <v>0</v>
      </c>
      <c r="I349" s="700">
        <v>0</v>
      </c>
      <c r="J349" s="842"/>
      <c r="K349" s="842"/>
      <c r="L349" s="842"/>
      <c r="M349" s="842"/>
      <c r="N349" s="842"/>
      <c r="O349" s="842"/>
      <c r="P349" s="842"/>
      <c r="Q349" s="842"/>
      <c r="R349" s="842"/>
      <c r="S349" s="842"/>
      <c r="T349" s="842"/>
      <c r="U349" s="842"/>
      <c r="V349" s="842"/>
      <c r="W349" s="842"/>
    </row>
    <row r="350" spans="1:23" ht="15.75" customHeight="1">
      <c r="A350" s="844">
        <v>2</v>
      </c>
      <c r="B350" s="845" t="s">
        <v>1083</v>
      </c>
      <c r="C350" s="844" t="s">
        <v>1084</v>
      </c>
      <c r="D350" s="847" t="s">
        <v>1085</v>
      </c>
      <c r="E350" s="844" t="s">
        <v>1087</v>
      </c>
      <c r="F350" s="849" t="s">
        <v>592</v>
      </c>
      <c r="G350" s="848" t="s">
        <v>588</v>
      </c>
      <c r="H350" s="700">
        <f>H351+H353+H352+H354</f>
        <v>5635992</v>
      </c>
      <c r="I350" s="700">
        <f>I351+I353+I352+I354</f>
        <v>1779497</v>
      </c>
      <c r="J350" s="842">
        <f>K350+N350</f>
        <v>1900000</v>
      </c>
      <c r="K350" s="842">
        <f>L350+M350</f>
        <v>1615000</v>
      </c>
      <c r="L350" s="842">
        <v>1615000</v>
      </c>
      <c r="M350" s="842">
        <v>0</v>
      </c>
      <c r="N350" s="842">
        <f>O350+R350+U350</f>
        <v>285000</v>
      </c>
      <c r="O350" s="842">
        <f>P350+Q350</f>
        <v>0</v>
      </c>
      <c r="P350" s="842">
        <v>0</v>
      </c>
      <c r="Q350" s="842">
        <v>0</v>
      </c>
      <c r="R350" s="842">
        <f>S350+T350</f>
        <v>285000</v>
      </c>
      <c r="S350" s="842">
        <v>285000</v>
      </c>
      <c r="T350" s="842">
        <v>0</v>
      </c>
      <c r="U350" s="842">
        <f>V350+W350</f>
        <v>0</v>
      </c>
      <c r="V350" s="842">
        <v>0</v>
      </c>
      <c r="W350" s="842">
        <v>0</v>
      </c>
    </row>
    <row r="351" spans="1:23" ht="15.75" customHeight="1">
      <c r="A351" s="844"/>
      <c r="B351" s="845"/>
      <c r="C351" s="844"/>
      <c r="D351" s="847"/>
      <c r="E351" s="844"/>
      <c r="F351" s="850"/>
      <c r="G351" s="848"/>
      <c r="H351" s="700">
        <v>4790594</v>
      </c>
      <c r="I351" s="700">
        <v>1512572</v>
      </c>
      <c r="J351" s="842"/>
      <c r="K351" s="842"/>
      <c r="L351" s="842"/>
      <c r="M351" s="842"/>
      <c r="N351" s="842"/>
      <c r="O351" s="842"/>
      <c r="P351" s="842"/>
      <c r="Q351" s="842"/>
      <c r="R351" s="842"/>
      <c r="S351" s="842"/>
      <c r="T351" s="842"/>
      <c r="U351" s="842"/>
      <c r="V351" s="842"/>
      <c r="W351" s="842"/>
    </row>
    <row r="352" spans="1:23" ht="15.75" customHeight="1">
      <c r="A352" s="844"/>
      <c r="B352" s="845"/>
      <c r="C352" s="844"/>
      <c r="D352" s="847"/>
      <c r="E352" s="844"/>
      <c r="F352" s="850"/>
      <c r="G352" s="848"/>
      <c r="H352" s="700">
        <v>0</v>
      </c>
      <c r="I352" s="700">
        <v>0</v>
      </c>
      <c r="J352" s="457">
        <f>K352+N352</f>
        <v>32991</v>
      </c>
      <c r="K352" s="457">
        <f>L352+M352</f>
        <v>28044</v>
      </c>
      <c r="L352" s="458">
        <v>28044</v>
      </c>
      <c r="M352" s="458">
        <v>0</v>
      </c>
      <c r="N352" s="457">
        <f>O352+R352+U352</f>
        <v>4947</v>
      </c>
      <c r="O352" s="457">
        <f>P352+Q352</f>
        <v>0</v>
      </c>
      <c r="P352" s="458">
        <v>0</v>
      </c>
      <c r="Q352" s="458">
        <v>0</v>
      </c>
      <c r="R352" s="457">
        <f>S352+T352</f>
        <v>4947</v>
      </c>
      <c r="S352" s="458">
        <v>4947</v>
      </c>
      <c r="T352" s="458">
        <v>0</v>
      </c>
      <c r="U352" s="457">
        <f>V352+W352</f>
        <v>0</v>
      </c>
      <c r="V352" s="458">
        <v>0</v>
      </c>
      <c r="W352" s="458">
        <v>0</v>
      </c>
    </row>
    <row r="353" spans="1:23" ht="15.75" customHeight="1">
      <c r="A353" s="844"/>
      <c r="B353" s="845"/>
      <c r="C353" s="844"/>
      <c r="D353" s="847"/>
      <c r="E353" s="844"/>
      <c r="F353" s="850"/>
      <c r="G353" s="848"/>
      <c r="H353" s="700">
        <v>845398</v>
      </c>
      <c r="I353" s="700">
        <v>266925</v>
      </c>
      <c r="J353" s="842">
        <f>J350+J352</f>
        <v>1932991</v>
      </c>
      <c r="K353" s="842">
        <f aca="true" t="shared" si="68" ref="K353:W353">K350+K352</f>
        <v>1643044</v>
      </c>
      <c r="L353" s="842">
        <f t="shared" si="68"/>
        <v>1643044</v>
      </c>
      <c r="M353" s="842">
        <f t="shared" si="68"/>
        <v>0</v>
      </c>
      <c r="N353" s="842">
        <f t="shared" si="68"/>
        <v>289947</v>
      </c>
      <c r="O353" s="842">
        <f t="shared" si="68"/>
        <v>0</v>
      </c>
      <c r="P353" s="842">
        <f t="shared" si="68"/>
        <v>0</v>
      </c>
      <c r="Q353" s="842">
        <f t="shared" si="68"/>
        <v>0</v>
      </c>
      <c r="R353" s="842">
        <f t="shared" si="68"/>
        <v>289947</v>
      </c>
      <c r="S353" s="842">
        <f t="shared" si="68"/>
        <v>289947</v>
      </c>
      <c r="T353" s="842">
        <f t="shared" si="68"/>
        <v>0</v>
      </c>
      <c r="U353" s="842">
        <f t="shared" si="68"/>
        <v>0</v>
      </c>
      <c r="V353" s="842">
        <f t="shared" si="68"/>
        <v>0</v>
      </c>
      <c r="W353" s="842">
        <f t="shared" si="68"/>
        <v>0</v>
      </c>
    </row>
    <row r="354" spans="1:23" ht="15.75" customHeight="1">
      <c r="A354" s="844"/>
      <c r="B354" s="845"/>
      <c r="C354" s="844"/>
      <c r="D354" s="847"/>
      <c r="E354" s="844"/>
      <c r="F354" s="851"/>
      <c r="G354" s="848"/>
      <c r="H354" s="700">
        <v>0</v>
      </c>
      <c r="I354" s="700">
        <v>0</v>
      </c>
      <c r="J354" s="842"/>
      <c r="K354" s="842"/>
      <c r="L354" s="842"/>
      <c r="M354" s="842"/>
      <c r="N354" s="842"/>
      <c r="O354" s="842"/>
      <c r="P354" s="842"/>
      <c r="Q354" s="842"/>
      <c r="R354" s="842"/>
      <c r="S354" s="842"/>
      <c r="T354" s="842"/>
      <c r="U354" s="842"/>
      <c r="V354" s="842"/>
      <c r="W354" s="842"/>
    </row>
    <row r="355" spans="1:23" ht="15" customHeight="1" hidden="1">
      <c r="A355" s="859">
        <v>3</v>
      </c>
      <c r="B355" s="862" t="s">
        <v>1088</v>
      </c>
      <c r="C355" s="859">
        <v>123</v>
      </c>
      <c r="D355" s="865" t="s">
        <v>1089</v>
      </c>
      <c r="E355" s="859" t="s">
        <v>581</v>
      </c>
      <c r="F355" s="849" t="s">
        <v>1086</v>
      </c>
      <c r="G355" s="849">
        <v>2019</v>
      </c>
      <c r="H355" s="700">
        <f>H356+H358+H357+H359</f>
        <v>2270000</v>
      </c>
      <c r="I355" s="700">
        <f>I356+I358+I357+I359</f>
        <v>0</v>
      </c>
      <c r="J355" s="842">
        <f>K355+N355</f>
        <v>2270000</v>
      </c>
      <c r="K355" s="842">
        <f>L355+M355</f>
        <v>1929500</v>
      </c>
      <c r="L355" s="842">
        <v>1929500</v>
      </c>
      <c r="M355" s="842">
        <v>0</v>
      </c>
      <c r="N355" s="842">
        <f>O355+R355+U355</f>
        <v>340500</v>
      </c>
      <c r="O355" s="842">
        <f>P355+Q355</f>
        <v>0</v>
      </c>
      <c r="P355" s="842">
        <v>0</v>
      </c>
      <c r="Q355" s="842">
        <v>0</v>
      </c>
      <c r="R355" s="842">
        <f>S355+T355</f>
        <v>340500</v>
      </c>
      <c r="S355" s="842">
        <v>340500</v>
      </c>
      <c r="T355" s="842">
        <v>0</v>
      </c>
      <c r="U355" s="842">
        <f>V355+W355</f>
        <v>0</v>
      </c>
      <c r="V355" s="842">
        <v>0</v>
      </c>
      <c r="W355" s="842">
        <v>0</v>
      </c>
    </row>
    <row r="356" spans="1:23" ht="15" customHeight="1" hidden="1">
      <c r="A356" s="860"/>
      <c r="B356" s="863"/>
      <c r="C356" s="860"/>
      <c r="D356" s="866"/>
      <c r="E356" s="860"/>
      <c r="F356" s="850"/>
      <c r="G356" s="850"/>
      <c r="H356" s="700">
        <f>K355</f>
        <v>1929500</v>
      </c>
      <c r="I356" s="700">
        <v>0</v>
      </c>
      <c r="J356" s="842"/>
      <c r="K356" s="842"/>
      <c r="L356" s="842"/>
      <c r="M356" s="842"/>
      <c r="N356" s="842"/>
      <c r="O356" s="842"/>
      <c r="P356" s="842"/>
      <c r="Q356" s="842"/>
      <c r="R356" s="842"/>
      <c r="S356" s="842"/>
      <c r="T356" s="842"/>
      <c r="U356" s="842"/>
      <c r="V356" s="842"/>
      <c r="W356" s="842"/>
    </row>
    <row r="357" spans="1:23" ht="15" customHeight="1" hidden="1">
      <c r="A357" s="860"/>
      <c r="B357" s="863"/>
      <c r="C357" s="860"/>
      <c r="D357" s="866"/>
      <c r="E357" s="860"/>
      <c r="F357" s="850"/>
      <c r="G357" s="850"/>
      <c r="H357" s="700">
        <v>0</v>
      </c>
      <c r="I357" s="700">
        <v>0</v>
      </c>
      <c r="J357" s="457">
        <f>K357+N357</f>
        <v>0</v>
      </c>
      <c r="K357" s="457">
        <f>L357+M357</f>
        <v>0</v>
      </c>
      <c r="L357" s="458">
        <v>0</v>
      </c>
      <c r="M357" s="458">
        <v>0</v>
      </c>
      <c r="N357" s="457">
        <f>O357+R357+U357</f>
        <v>0</v>
      </c>
      <c r="O357" s="457">
        <f>P357+Q357</f>
        <v>0</v>
      </c>
      <c r="P357" s="458">
        <v>0</v>
      </c>
      <c r="Q357" s="458">
        <v>0</v>
      </c>
      <c r="R357" s="457">
        <f>S357+T357</f>
        <v>0</v>
      </c>
      <c r="S357" s="458">
        <v>0</v>
      </c>
      <c r="T357" s="458">
        <v>0</v>
      </c>
      <c r="U357" s="457">
        <f>V357+W357</f>
        <v>0</v>
      </c>
      <c r="V357" s="458">
        <v>0</v>
      </c>
      <c r="W357" s="458">
        <v>0</v>
      </c>
    </row>
    <row r="358" spans="1:23" ht="15" customHeight="1" hidden="1">
      <c r="A358" s="860"/>
      <c r="B358" s="863"/>
      <c r="C358" s="860"/>
      <c r="D358" s="866"/>
      <c r="E358" s="860"/>
      <c r="F358" s="850"/>
      <c r="G358" s="850"/>
      <c r="H358" s="700">
        <f>R355</f>
        <v>340500</v>
      </c>
      <c r="I358" s="700">
        <v>0</v>
      </c>
      <c r="J358" s="842">
        <f>J355+J357</f>
        <v>2270000</v>
      </c>
      <c r="K358" s="842">
        <f aca="true" t="shared" si="69" ref="K358:W358">K355+K357</f>
        <v>1929500</v>
      </c>
      <c r="L358" s="842">
        <f t="shared" si="69"/>
        <v>1929500</v>
      </c>
      <c r="M358" s="842">
        <f t="shared" si="69"/>
        <v>0</v>
      </c>
      <c r="N358" s="842">
        <f t="shared" si="69"/>
        <v>340500</v>
      </c>
      <c r="O358" s="842">
        <f t="shared" si="69"/>
        <v>0</v>
      </c>
      <c r="P358" s="842">
        <f t="shared" si="69"/>
        <v>0</v>
      </c>
      <c r="Q358" s="842">
        <f t="shared" si="69"/>
        <v>0</v>
      </c>
      <c r="R358" s="842">
        <f t="shared" si="69"/>
        <v>340500</v>
      </c>
      <c r="S358" s="842">
        <f t="shared" si="69"/>
        <v>340500</v>
      </c>
      <c r="T358" s="842">
        <f t="shared" si="69"/>
        <v>0</v>
      </c>
      <c r="U358" s="842">
        <f t="shared" si="69"/>
        <v>0</v>
      </c>
      <c r="V358" s="842">
        <f t="shared" si="69"/>
        <v>0</v>
      </c>
      <c r="W358" s="842">
        <f t="shared" si="69"/>
        <v>0</v>
      </c>
    </row>
    <row r="359" spans="1:23" ht="15" customHeight="1" hidden="1">
      <c r="A359" s="861"/>
      <c r="B359" s="864"/>
      <c r="C359" s="861"/>
      <c r="D359" s="867"/>
      <c r="E359" s="861"/>
      <c r="F359" s="851"/>
      <c r="G359" s="851"/>
      <c r="H359" s="700">
        <v>0</v>
      </c>
      <c r="I359" s="700">
        <v>0</v>
      </c>
      <c r="J359" s="842"/>
      <c r="K359" s="842"/>
      <c r="L359" s="842"/>
      <c r="M359" s="842"/>
      <c r="N359" s="842"/>
      <c r="O359" s="842"/>
      <c r="P359" s="842"/>
      <c r="Q359" s="842"/>
      <c r="R359" s="842"/>
      <c r="S359" s="842"/>
      <c r="T359" s="842"/>
      <c r="U359" s="842"/>
      <c r="V359" s="842"/>
      <c r="W359" s="842"/>
    </row>
    <row r="360" spans="1:23" ht="15" customHeight="1" hidden="1">
      <c r="A360" s="859">
        <v>4</v>
      </c>
      <c r="B360" s="862" t="s">
        <v>1088</v>
      </c>
      <c r="C360" s="859">
        <v>123</v>
      </c>
      <c r="D360" s="865" t="s">
        <v>1089</v>
      </c>
      <c r="E360" s="859" t="s">
        <v>1087</v>
      </c>
      <c r="F360" s="849" t="s">
        <v>592</v>
      </c>
      <c r="G360" s="849">
        <v>2019</v>
      </c>
      <c r="H360" s="700">
        <f>H361+H363+H362+H364</f>
        <v>30000</v>
      </c>
      <c r="I360" s="700">
        <f>I361+I363+I362+I364</f>
        <v>0</v>
      </c>
      <c r="J360" s="842">
        <f>K360+N360</f>
        <v>30000</v>
      </c>
      <c r="K360" s="842">
        <f>L360+M360</f>
        <v>25500</v>
      </c>
      <c r="L360" s="842">
        <v>25500</v>
      </c>
      <c r="M360" s="842">
        <v>0</v>
      </c>
      <c r="N360" s="842">
        <f>O360+R360+U360</f>
        <v>4500</v>
      </c>
      <c r="O360" s="842">
        <f>P360+Q360</f>
        <v>0</v>
      </c>
      <c r="P360" s="842">
        <v>0</v>
      </c>
      <c r="Q360" s="842">
        <v>0</v>
      </c>
      <c r="R360" s="842">
        <f>S360+T360</f>
        <v>4500</v>
      </c>
      <c r="S360" s="842">
        <v>4500</v>
      </c>
      <c r="T360" s="842">
        <v>0</v>
      </c>
      <c r="U360" s="842">
        <f>V360+W360</f>
        <v>0</v>
      </c>
      <c r="V360" s="842">
        <v>0</v>
      </c>
      <c r="W360" s="842">
        <v>0</v>
      </c>
    </row>
    <row r="361" spans="1:23" ht="15" customHeight="1" hidden="1">
      <c r="A361" s="860"/>
      <c r="B361" s="863"/>
      <c r="C361" s="860"/>
      <c r="D361" s="866"/>
      <c r="E361" s="860"/>
      <c r="F361" s="850"/>
      <c r="G361" s="850"/>
      <c r="H361" s="700">
        <f>K360</f>
        <v>25500</v>
      </c>
      <c r="I361" s="700">
        <v>0</v>
      </c>
      <c r="J361" s="842"/>
      <c r="K361" s="842"/>
      <c r="L361" s="842"/>
      <c r="M361" s="842"/>
      <c r="N361" s="842"/>
      <c r="O361" s="842"/>
      <c r="P361" s="842"/>
      <c r="Q361" s="842"/>
      <c r="R361" s="842"/>
      <c r="S361" s="842"/>
      <c r="T361" s="842"/>
      <c r="U361" s="842"/>
      <c r="V361" s="842"/>
      <c r="W361" s="842"/>
    </row>
    <row r="362" spans="1:23" ht="15" customHeight="1" hidden="1">
      <c r="A362" s="860"/>
      <c r="B362" s="863"/>
      <c r="C362" s="860"/>
      <c r="D362" s="866"/>
      <c r="E362" s="860"/>
      <c r="F362" s="850"/>
      <c r="G362" s="850"/>
      <c r="H362" s="700">
        <v>0</v>
      </c>
      <c r="I362" s="700">
        <v>0</v>
      </c>
      <c r="J362" s="457">
        <f>K362+N362</f>
        <v>0</v>
      </c>
      <c r="K362" s="457">
        <f>L362+M362</f>
        <v>0</v>
      </c>
      <c r="L362" s="458">
        <v>0</v>
      </c>
      <c r="M362" s="458">
        <v>0</v>
      </c>
      <c r="N362" s="457">
        <f>O362+R362+U362</f>
        <v>0</v>
      </c>
      <c r="O362" s="457">
        <f>P362+Q362</f>
        <v>0</v>
      </c>
      <c r="P362" s="458">
        <v>0</v>
      </c>
      <c r="Q362" s="458">
        <v>0</v>
      </c>
      <c r="R362" s="457">
        <f>S362+T362</f>
        <v>0</v>
      </c>
      <c r="S362" s="458">
        <v>0</v>
      </c>
      <c r="T362" s="458">
        <v>0</v>
      </c>
      <c r="U362" s="457">
        <f>V362+W362</f>
        <v>0</v>
      </c>
      <c r="V362" s="458">
        <v>0</v>
      </c>
      <c r="W362" s="458">
        <v>0</v>
      </c>
    </row>
    <row r="363" spans="1:23" ht="15" customHeight="1" hidden="1">
      <c r="A363" s="860"/>
      <c r="B363" s="863"/>
      <c r="C363" s="860"/>
      <c r="D363" s="866"/>
      <c r="E363" s="860"/>
      <c r="F363" s="850"/>
      <c r="G363" s="850"/>
      <c r="H363" s="700">
        <f>R360</f>
        <v>4500</v>
      </c>
      <c r="I363" s="700">
        <v>0</v>
      </c>
      <c r="J363" s="842">
        <f>J360+J362</f>
        <v>30000</v>
      </c>
      <c r="K363" s="842">
        <f aca="true" t="shared" si="70" ref="K363:W363">K360+K362</f>
        <v>25500</v>
      </c>
      <c r="L363" s="842">
        <f t="shared" si="70"/>
        <v>25500</v>
      </c>
      <c r="M363" s="842">
        <f t="shared" si="70"/>
        <v>0</v>
      </c>
      <c r="N363" s="842">
        <f t="shared" si="70"/>
        <v>4500</v>
      </c>
      <c r="O363" s="842">
        <f t="shared" si="70"/>
        <v>0</v>
      </c>
      <c r="P363" s="842">
        <f t="shared" si="70"/>
        <v>0</v>
      </c>
      <c r="Q363" s="842">
        <f t="shared" si="70"/>
        <v>0</v>
      </c>
      <c r="R363" s="842">
        <f t="shared" si="70"/>
        <v>4500</v>
      </c>
      <c r="S363" s="842">
        <f t="shared" si="70"/>
        <v>4500</v>
      </c>
      <c r="T363" s="842">
        <f t="shared" si="70"/>
        <v>0</v>
      </c>
      <c r="U363" s="842">
        <f t="shared" si="70"/>
        <v>0</v>
      </c>
      <c r="V363" s="842">
        <f t="shared" si="70"/>
        <v>0</v>
      </c>
      <c r="W363" s="842">
        <f t="shared" si="70"/>
        <v>0</v>
      </c>
    </row>
    <row r="364" spans="1:23" ht="15" customHeight="1" hidden="1">
      <c r="A364" s="861"/>
      <c r="B364" s="864"/>
      <c r="C364" s="861"/>
      <c r="D364" s="867"/>
      <c r="E364" s="861"/>
      <c r="F364" s="851"/>
      <c r="G364" s="851"/>
      <c r="H364" s="700">
        <v>0</v>
      </c>
      <c r="I364" s="700">
        <v>0</v>
      </c>
      <c r="J364" s="842"/>
      <c r="K364" s="842"/>
      <c r="L364" s="842"/>
      <c r="M364" s="842"/>
      <c r="N364" s="842"/>
      <c r="O364" s="842"/>
      <c r="P364" s="842"/>
      <c r="Q364" s="842"/>
      <c r="R364" s="842"/>
      <c r="S364" s="842"/>
      <c r="T364" s="842"/>
      <c r="U364" s="842"/>
      <c r="V364" s="842"/>
      <c r="W364" s="842"/>
    </row>
    <row r="365" spans="1:23" ht="16.5" customHeight="1">
      <c r="A365" s="858" t="s">
        <v>1090</v>
      </c>
      <c r="B365" s="858"/>
      <c r="C365" s="858"/>
      <c r="D365" s="858"/>
      <c r="E365" s="858"/>
      <c r="F365" s="858"/>
      <c r="G365" s="858"/>
      <c r="H365" s="707">
        <f>H345+H350+H355+H360</f>
        <v>114968734</v>
      </c>
      <c r="I365" s="707">
        <f aca="true" t="shared" si="71" ref="H365:I369">I345+I350+I355+I360</f>
        <v>35203199</v>
      </c>
      <c r="J365" s="840">
        <f>J345+J350+J355+J360</f>
        <v>38916470</v>
      </c>
      <c r="K365" s="840">
        <f aca="true" t="shared" si="72" ref="K365:W365">K345+K350+K355+K360</f>
        <v>33079000</v>
      </c>
      <c r="L365" s="840">
        <f t="shared" si="72"/>
        <v>33069650</v>
      </c>
      <c r="M365" s="840">
        <f t="shared" si="72"/>
        <v>9350</v>
      </c>
      <c r="N365" s="840">
        <f t="shared" si="72"/>
        <v>5837470</v>
      </c>
      <c r="O365" s="840">
        <f t="shared" si="72"/>
        <v>0</v>
      </c>
      <c r="P365" s="840">
        <f t="shared" si="72"/>
        <v>0</v>
      </c>
      <c r="Q365" s="840">
        <f t="shared" si="72"/>
        <v>0</v>
      </c>
      <c r="R365" s="840">
        <f t="shared" si="72"/>
        <v>5837470</v>
      </c>
      <c r="S365" s="840">
        <f t="shared" si="72"/>
        <v>5835820</v>
      </c>
      <c r="T365" s="840">
        <f t="shared" si="72"/>
        <v>1650</v>
      </c>
      <c r="U365" s="840">
        <f t="shared" si="72"/>
        <v>0</v>
      </c>
      <c r="V365" s="840">
        <f t="shared" si="72"/>
        <v>0</v>
      </c>
      <c r="W365" s="840">
        <f t="shared" si="72"/>
        <v>0</v>
      </c>
    </row>
    <row r="366" spans="1:23" ht="14.25" customHeight="1">
      <c r="A366" s="858"/>
      <c r="B366" s="858"/>
      <c r="C366" s="858"/>
      <c r="D366" s="858"/>
      <c r="E366" s="858"/>
      <c r="F366" s="858"/>
      <c r="G366" s="858"/>
      <c r="H366" s="707">
        <f t="shared" si="71"/>
        <v>97723425</v>
      </c>
      <c r="I366" s="707">
        <f t="shared" si="71"/>
        <v>29922718</v>
      </c>
      <c r="J366" s="840"/>
      <c r="K366" s="840"/>
      <c r="L366" s="840"/>
      <c r="M366" s="840"/>
      <c r="N366" s="840"/>
      <c r="O366" s="840"/>
      <c r="P366" s="840"/>
      <c r="Q366" s="840"/>
      <c r="R366" s="840"/>
      <c r="S366" s="840"/>
      <c r="T366" s="840"/>
      <c r="U366" s="840"/>
      <c r="V366" s="840"/>
      <c r="W366" s="840"/>
    </row>
    <row r="367" spans="1:23" ht="14.25" customHeight="1">
      <c r="A367" s="858"/>
      <c r="B367" s="858"/>
      <c r="C367" s="858"/>
      <c r="D367" s="858"/>
      <c r="E367" s="858"/>
      <c r="F367" s="858"/>
      <c r="G367" s="858"/>
      <c r="H367" s="707">
        <f t="shared" si="71"/>
        <v>0</v>
      </c>
      <c r="I367" s="707">
        <f t="shared" si="71"/>
        <v>0</v>
      </c>
      <c r="J367" s="705">
        <f>J347+J352+J357+J362</f>
        <v>896359</v>
      </c>
      <c r="K367" s="705">
        <f aca="true" t="shared" si="73" ref="K367:W367">K347+K352+K357+K362</f>
        <v>761907</v>
      </c>
      <c r="L367" s="705">
        <f t="shared" si="73"/>
        <v>761907</v>
      </c>
      <c r="M367" s="705">
        <f t="shared" si="73"/>
        <v>0</v>
      </c>
      <c r="N367" s="705">
        <f t="shared" si="73"/>
        <v>134452</v>
      </c>
      <c r="O367" s="705">
        <f t="shared" si="73"/>
        <v>0</v>
      </c>
      <c r="P367" s="705">
        <f t="shared" si="73"/>
        <v>0</v>
      </c>
      <c r="Q367" s="705">
        <f t="shared" si="73"/>
        <v>0</v>
      </c>
      <c r="R367" s="705">
        <f t="shared" si="73"/>
        <v>134452</v>
      </c>
      <c r="S367" s="705">
        <f t="shared" si="73"/>
        <v>134452</v>
      </c>
      <c r="T367" s="705">
        <f t="shared" si="73"/>
        <v>0</v>
      </c>
      <c r="U367" s="705">
        <f t="shared" si="73"/>
        <v>0</v>
      </c>
      <c r="V367" s="705">
        <f t="shared" si="73"/>
        <v>0</v>
      </c>
      <c r="W367" s="705">
        <f t="shared" si="73"/>
        <v>0</v>
      </c>
    </row>
    <row r="368" spans="1:23" ht="14.25" customHeight="1">
      <c r="A368" s="858"/>
      <c r="B368" s="858"/>
      <c r="C368" s="858"/>
      <c r="D368" s="858"/>
      <c r="E368" s="858"/>
      <c r="F368" s="858"/>
      <c r="G368" s="858"/>
      <c r="H368" s="707">
        <f t="shared" si="71"/>
        <v>17245309</v>
      </c>
      <c r="I368" s="707">
        <f t="shared" si="71"/>
        <v>5280481</v>
      </c>
      <c r="J368" s="840">
        <f>J365+J367</f>
        <v>39812829</v>
      </c>
      <c r="K368" s="840">
        <f aca="true" t="shared" si="74" ref="K368:W368">K365+K367</f>
        <v>33840907</v>
      </c>
      <c r="L368" s="840">
        <f t="shared" si="74"/>
        <v>33831557</v>
      </c>
      <c r="M368" s="840">
        <f t="shared" si="74"/>
        <v>9350</v>
      </c>
      <c r="N368" s="840">
        <f t="shared" si="74"/>
        <v>5971922</v>
      </c>
      <c r="O368" s="840">
        <f t="shared" si="74"/>
        <v>0</v>
      </c>
      <c r="P368" s="840">
        <f t="shared" si="74"/>
        <v>0</v>
      </c>
      <c r="Q368" s="840">
        <f t="shared" si="74"/>
        <v>0</v>
      </c>
      <c r="R368" s="840">
        <f t="shared" si="74"/>
        <v>5971922</v>
      </c>
      <c r="S368" s="840">
        <f t="shared" si="74"/>
        <v>5970272</v>
      </c>
      <c r="T368" s="840">
        <f t="shared" si="74"/>
        <v>1650</v>
      </c>
      <c r="U368" s="840">
        <f t="shared" si="74"/>
        <v>0</v>
      </c>
      <c r="V368" s="840">
        <f t="shared" si="74"/>
        <v>0</v>
      </c>
      <c r="W368" s="840">
        <f t="shared" si="74"/>
        <v>0</v>
      </c>
    </row>
    <row r="369" spans="1:23" ht="14.25" customHeight="1">
      <c r="A369" s="858"/>
      <c r="B369" s="858"/>
      <c r="C369" s="858"/>
      <c r="D369" s="858"/>
      <c r="E369" s="858"/>
      <c r="F369" s="858"/>
      <c r="G369" s="858"/>
      <c r="H369" s="707">
        <f t="shared" si="71"/>
        <v>0</v>
      </c>
      <c r="I369" s="707">
        <f t="shared" si="71"/>
        <v>0</v>
      </c>
      <c r="J369" s="840"/>
      <c r="K369" s="840"/>
      <c r="L369" s="840"/>
      <c r="M369" s="840"/>
      <c r="N369" s="840"/>
      <c r="O369" s="840"/>
      <c r="P369" s="840"/>
      <c r="Q369" s="840"/>
      <c r="R369" s="840"/>
      <c r="S369" s="840"/>
      <c r="T369" s="840"/>
      <c r="U369" s="840"/>
      <c r="V369" s="840"/>
      <c r="W369" s="840"/>
    </row>
    <row r="370" spans="1:24" s="709" customFormat="1" ht="4.5" customHeight="1">
      <c r="A370" s="844"/>
      <c r="B370" s="844"/>
      <c r="C370" s="844"/>
      <c r="D370" s="844"/>
      <c r="E370" s="844"/>
      <c r="F370" s="844"/>
      <c r="G370" s="844"/>
      <c r="H370" s="844"/>
      <c r="I370" s="844"/>
      <c r="J370" s="844"/>
      <c r="K370" s="844"/>
      <c r="L370" s="844"/>
      <c r="M370" s="844"/>
      <c r="N370" s="844"/>
      <c r="O370" s="844"/>
      <c r="P370" s="844"/>
      <c r="Q370" s="844"/>
      <c r="R370" s="844"/>
      <c r="S370" s="844"/>
      <c r="T370" s="844"/>
      <c r="U370" s="844"/>
      <c r="V370" s="844"/>
      <c r="W370" s="844"/>
      <c r="X370" s="708"/>
    </row>
    <row r="371" spans="1:24" s="452" customFormat="1" ht="22.5" customHeight="1">
      <c r="A371" s="855" t="s">
        <v>1091</v>
      </c>
      <c r="B371" s="856"/>
      <c r="C371" s="856"/>
      <c r="D371" s="856"/>
      <c r="E371" s="856"/>
      <c r="F371" s="856"/>
      <c r="G371" s="856"/>
      <c r="H371" s="856"/>
      <c r="I371" s="856"/>
      <c r="J371" s="856"/>
      <c r="K371" s="856"/>
      <c r="L371" s="856"/>
      <c r="M371" s="856"/>
      <c r="N371" s="856"/>
      <c r="O371" s="856"/>
      <c r="P371" s="856"/>
      <c r="Q371" s="856"/>
      <c r="R371" s="856"/>
      <c r="S371" s="856"/>
      <c r="T371" s="856"/>
      <c r="U371" s="856"/>
      <c r="V371" s="856"/>
      <c r="W371" s="857"/>
      <c r="X371" s="453"/>
    </row>
    <row r="372" spans="1:24" s="709" customFormat="1" ht="5.25" customHeight="1">
      <c r="A372" s="844"/>
      <c r="B372" s="844"/>
      <c r="C372" s="844"/>
      <c r="D372" s="844"/>
      <c r="E372" s="844"/>
      <c r="F372" s="844"/>
      <c r="G372" s="844"/>
      <c r="H372" s="844"/>
      <c r="I372" s="844"/>
      <c r="J372" s="844"/>
      <c r="K372" s="844"/>
      <c r="L372" s="844"/>
      <c r="M372" s="844"/>
      <c r="N372" s="844"/>
      <c r="O372" s="844"/>
      <c r="P372" s="844"/>
      <c r="Q372" s="844"/>
      <c r="R372" s="844"/>
      <c r="S372" s="844"/>
      <c r="T372" s="844"/>
      <c r="U372" s="844"/>
      <c r="V372" s="844"/>
      <c r="W372" s="844"/>
      <c r="X372" s="708"/>
    </row>
    <row r="373" spans="1:23" ht="12.75" customHeight="1">
      <c r="A373" s="844">
        <v>1</v>
      </c>
      <c r="B373" s="845" t="s">
        <v>768</v>
      </c>
      <c r="C373" s="852" t="s">
        <v>1092</v>
      </c>
      <c r="D373" s="847" t="s">
        <v>769</v>
      </c>
      <c r="E373" s="844" t="s">
        <v>581</v>
      </c>
      <c r="F373" s="848" t="s">
        <v>1093</v>
      </c>
      <c r="G373" s="848" t="s">
        <v>1094</v>
      </c>
      <c r="H373" s="700" t="s">
        <v>76</v>
      </c>
      <c r="I373" s="700" t="s">
        <v>76</v>
      </c>
      <c r="J373" s="842">
        <f>K373+N373</f>
        <v>0</v>
      </c>
      <c r="K373" s="842">
        <f>L373+M373</f>
        <v>0</v>
      </c>
      <c r="L373" s="842">
        <v>0</v>
      </c>
      <c r="M373" s="842">
        <v>0</v>
      </c>
      <c r="N373" s="842">
        <f>O373+R373+U373</f>
        <v>0</v>
      </c>
      <c r="O373" s="842">
        <f>P373+Q373</f>
        <v>0</v>
      </c>
      <c r="P373" s="842">
        <v>0</v>
      </c>
      <c r="Q373" s="842">
        <v>0</v>
      </c>
      <c r="R373" s="842">
        <f>S373+T373</f>
        <v>0</v>
      </c>
      <c r="S373" s="842">
        <v>0</v>
      </c>
      <c r="T373" s="842">
        <v>0</v>
      </c>
      <c r="U373" s="842">
        <f>V373+W373</f>
        <v>0</v>
      </c>
      <c r="V373" s="842">
        <v>0</v>
      </c>
      <c r="W373" s="842">
        <v>0</v>
      </c>
    </row>
    <row r="374" spans="1:23" ht="12.75" customHeight="1">
      <c r="A374" s="844"/>
      <c r="B374" s="845"/>
      <c r="C374" s="853"/>
      <c r="D374" s="847"/>
      <c r="E374" s="844"/>
      <c r="F374" s="848"/>
      <c r="G374" s="848"/>
      <c r="H374" s="700" t="s">
        <v>76</v>
      </c>
      <c r="I374" s="700" t="s">
        <v>76</v>
      </c>
      <c r="J374" s="842"/>
      <c r="K374" s="842"/>
      <c r="L374" s="842"/>
      <c r="M374" s="842"/>
      <c r="N374" s="842"/>
      <c r="O374" s="842"/>
      <c r="P374" s="842"/>
      <c r="Q374" s="842"/>
      <c r="R374" s="842"/>
      <c r="S374" s="842"/>
      <c r="T374" s="842"/>
      <c r="U374" s="842"/>
      <c r="V374" s="842"/>
      <c r="W374" s="842"/>
    </row>
    <row r="375" spans="1:23" ht="12.75" customHeight="1">
      <c r="A375" s="844"/>
      <c r="B375" s="845"/>
      <c r="C375" s="853"/>
      <c r="D375" s="847"/>
      <c r="E375" s="844"/>
      <c r="F375" s="848"/>
      <c r="G375" s="848"/>
      <c r="H375" s="700" t="s">
        <v>76</v>
      </c>
      <c r="I375" s="700" t="s">
        <v>76</v>
      </c>
      <c r="J375" s="457">
        <f>K375+N375</f>
        <v>3476942</v>
      </c>
      <c r="K375" s="457">
        <f>L375+M375</f>
        <v>0</v>
      </c>
      <c r="L375" s="458">
        <v>0</v>
      </c>
      <c r="M375" s="458">
        <v>0</v>
      </c>
      <c r="N375" s="457">
        <f>O375+R375+U375</f>
        <v>3476942</v>
      </c>
      <c r="O375" s="457">
        <f>P375+Q375</f>
        <v>3476942</v>
      </c>
      <c r="P375" s="458">
        <v>0</v>
      </c>
      <c r="Q375" s="458">
        <v>3476942</v>
      </c>
      <c r="R375" s="457">
        <f>S375+T375</f>
        <v>0</v>
      </c>
      <c r="S375" s="458">
        <v>0</v>
      </c>
      <c r="T375" s="458">
        <v>0</v>
      </c>
      <c r="U375" s="457">
        <f>V375+W375</f>
        <v>0</v>
      </c>
      <c r="V375" s="458">
        <v>0</v>
      </c>
      <c r="W375" s="458">
        <v>0</v>
      </c>
    </row>
    <row r="376" spans="1:23" ht="12.75" customHeight="1">
      <c r="A376" s="844"/>
      <c r="B376" s="845"/>
      <c r="C376" s="853"/>
      <c r="D376" s="847"/>
      <c r="E376" s="844"/>
      <c r="F376" s="848"/>
      <c r="G376" s="848"/>
      <c r="H376" s="700" t="s">
        <v>76</v>
      </c>
      <c r="I376" s="700" t="s">
        <v>76</v>
      </c>
      <c r="J376" s="842">
        <f>J373+J375</f>
        <v>3476942</v>
      </c>
      <c r="K376" s="842">
        <f aca="true" t="shared" si="75" ref="K376:W376">K373+K375</f>
        <v>0</v>
      </c>
      <c r="L376" s="842">
        <f t="shared" si="75"/>
        <v>0</v>
      </c>
      <c r="M376" s="842">
        <f t="shared" si="75"/>
        <v>0</v>
      </c>
      <c r="N376" s="842">
        <f t="shared" si="75"/>
        <v>3476942</v>
      </c>
      <c r="O376" s="842">
        <f t="shared" si="75"/>
        <v>3476942</v>
      </c>
      <c r="P376" s="842">
        <f t="shared" si="75"/>
        <v>0</v>
      </c>
      <c r="Q376" s="842">
        <f t="shared" si="75"/>
        <v>3476942</v>
      </c>
      <c r="R376" s="842">
        <f t="shared" si="75"/>
        <v>0</v>
      </c>
      <c r="S376" s="842">
        <f t="shared" si="75"/>
        <v>0</v>
      </c>
      <c r="T376" s="842">
        <f t="shared" si="75"/>
        <v>0</v>
      </c>
      <c r="U376" s="842">
        <f t="shared" si="75"/>
        <v>0</v>
      </c>
      <c r="V376" s="842">
        <f t="shared" si="75"/>
        <v>0</v>
      </c>
      <c r="W376" s="842">
        <f t="shared" si="75"/>
        <v>0</v>
      </c>
    </row>
    <row r="377" spans="1:23" ht="12.75" customHeight="1">
      <c r="A377" s="844"/>
      <c r="B377" s="845"/>
      <c r="C377" s="854"/>
      <c r="D377" s="847"/>
      <c r="E377" s="844"/>
      <c r="F377" s="848"/>
      <c r="G377" s="848"/>
      <c r="H377" s="700" t="s">
        <v>76</v>
      </c>
      <c r="I377" s="700" t="s">
        <v>76</v>
      </c>
      <c r="J377" s="842"/>
      <c r="K377" s="842"/>
      <c r="L377" s="842"/>
      <c r="M377" s="842"/>
      <c r="N377" s="842"/>
      <c r="O377" s="842"/>
      <c r="P377" s="842"/>
      <c r="Q377" s="842"/>
      <c r="R377" s="842"/>
      <c r="S377" s="842"/>
      <c r="T377" s="842"/>
      <c r="U377" s="842"/>
      <c r="V377" s="842"/>
      <c r="W377" s="842"/>
    </row>
    <row r="378" spans="1:23" ht="12.75" customHeight="1">
      <c r="A378" s="844">
        <v>2</v>
      </c>
      <c r="B378" s="845" t="s">
        <v>804</v>
      </c>
      <c r="C378" s="852" t="s">
        <v>1095</v>
      </c>
      <c r="D378" s="847" t="s">
        <v>805</v>
      </c>
      <c r="E378" s="844" t="s">
        <v>581</v>
      </c>
      <c r="F378" s="848" t="s">
        <v>622</v>
      </c>
      <c r="G378" s="848" t="s">
        <v>1094</v>
      </c>
      <c r="H378" s="700" t="s">
        <v>76</v>
      </c>
      <c r="I378" s="700" t="s">
        <v>76</v>
      </c>
      <c r="J378" s="842">
        <f>K378+N378</f>
        <v>4297591</v>
      </c>
      <c r="K378" s="842">
        <f>L378+M378</f>
        <v>0</v>
      </c>
      <c r="L378" s="842">
        <v>0</v>
      </c>
      <c r="M378" s="842">
        <v>0</v>
      </c>
      <c r="N378" s="842">
        <f>O378+R378+U378</f>
        <v>4297591</v>
      </c>
      <c r="O378" s="842">
        <f>P378+Q378</f>
        <v>4297591</v>
      </c>
      <c r="P378" s="842">
        <v>0</v>
      </c>
      <c r="Q378" s="842">
        <v>4297591</v>
      </c>
      <c r="R378" s="842">
        <f>S378+T378</f>
        <v>0</v>
      </c>
      <c r="S378" s="842">
        <v>0</v>
      </c>
      <c r="T378" s="842">
        <v>0</v>
      </c>
      <c r="U378" s="842">
        <f>V378+W378</f>
        <v>0</v>
      </c>
      <c r="V378" s="842">
        <v>0</v>
      </c>
      <c r="W378" s="842">
        <v>0</v>
      </c>
    </row>
    <row r="379" spans="1:23" ht="12.75" customHeight="1">
      <c r="A379" s="844"/>
      <c r="B379" s="845"/>
      <c r="C379" s="853"/>
      <c r="D379" s="847"/>
      <c r="E379" s="844"/>
      <c r="F379" s="848"/>
      <c r="G379" s="848"/>
      <c r="H379" s="700" t="s">
        <v>76</v>
      </c>
      <c r="I379" s="700" t="s">
        <v>76</v>
      </c>
      <c r="J379" s="842"/>
      <c r="K379" s="842"/>
      <c r="L379" s="842"/>
      <c r="M379" s="842"/>
      <c r="N379" s="842"/>
      <c r="O379" s="842"/>
      <c r="P379" s="842"/>
      <c r="Q379" s="842"/>
      <c r="R379" s="842"/>
      <c r="S379" s="842"/>
      <c r="T379" s="842"/>
      <c r="U379" s="842"/>
      <c r="V379" s="842"/>
      <c r="W379" s="842"/>
    </row>
    <row r="380" spans="1:23" ht="12.75" customHeight="1">
      <c r="A380" s="844"/>
      <c r="B380" s="845"/>
      <c r="C380" s="853"/>
      <c r="D380" s="847"/>
      <c r="E380" s="844"/>
      <c r="F380" s="848"/>
      <c r="G380" s="848"/>
      <c r="H380" s="700" t="s">
        <v>76</v>
      </c>
      <c r="I380" s="700" t="s">
        <v>76</v>
      </c>
      <c r="J380" s="457">
        <f>K380+N380</f>
        <v>-4118044</v>
      </c>
      <c r="K380" s="457">
        <f>L380+M380</f>
        <v>0</v>
      </c>
      <c r="L380" s="458">
        <v>0</v>
      </c>
      <c r="M380" s="458">
        <v>0</v>
      </c>
      <c r="N380" s="457">
        <f>O380+R380+U380</f>
        <v>-4118044</v>
      </c>
      <c r="O380" s="457">
        <f>P380+Q380</f>
        <v>-4118044</v>
      </c>
      <c r="P380" s="458">
        <v>0</v>
      </c>
      <c r="Q380" s="458">
        <v>-4118044</v>
      </c>
      <c r="R380" s="457">
        <f>S380+T380</f>
        <v>0</v>
      </c>
      <c r="S380" s="458">
        <v>0</v>
      </c>
      <c r="T380" s="458">
        <v>0</v>
      </c>
      <c r="U380" s="457">
        <f>V380+W380</f>
        <v>0</v>
      </c>
      <c r="V380" s="458">
        <v>0</v>
      </c>
      <c r="W380" s="458">
        <v>0</v>
      </c>
    </row>
    <row r="381" spans="1:23" ht="12.75" customHeight="1">
      <c r="A381" s="844"/>
      <c r="B381" s="845"/>
      <c r="C381" s="853"/>
      <c r="D381" s="847"/>
      <c r="E381" s="844"/>
      <c r="F381" s="848"/>
      <c r="G381" s="848"/>
      <c r="H381" s="700" t="s">
        <v>76</v>
      </c>
      <c r="I381" s="700" t="s">
        <v>76</v>
      </c>
      <c r="J381" s="842">
        <f>J378+J380</f>
        <v>179547</v>
      </c>
      <c r="K381" s="842">
        <f aca="true" t="shared" si="76" ref="K381:W381">K378+K380</f>
        <v>0</v>
      </c>
      <c r="L381" s="842">
        <f t="shared" si="76"/>
        <v>0</v>
      </c>
      <c r="M381" s="842">
        <f t="shared" si="76"/>
        <v>0</v>
      </c>
      <c r="N381" s="842">
        <f t="shared" si="76"/>
        <v>179547</v>
      </c>
      <c r="O381" s="842">
        <f t="shared" si="76"/>
        <v>179547</v>
      </c>
      <c r="P381" s="842">
        <f t="shared" si="76"/>
        <v>0</v>
      </c>
      <c r="Q381" s="842">
        <f t="shared" si="76"/>
        <v>179547</v>
      </c>
      <c r="R381" s="842">
        <f t="shared" si="76"/>
        <v>0</v>
      </c>
      <c r="S381" s="842">
        <f t="shared" si="76"/>
        <v>0</v>
      </c>
      <c r="T381" s="842">
        <f t="shared" si="76"/>
        <v>0</v>
      </c>
      <c r="U381" s="842">
        <f t="shared" si="76"/>
        <v>0</v>
      </c>
      <c r="V381" s="842">
        <f t="shared" si="76"/>
        <v>0</v>
      </c>
      <c r="W381" s="842">
        <f t="shared" si="76"/>
        <v>0</v>
      </c>
    </row>
    <row r="382" spans="1:23" ht="12.75" customHeight="1">
      <c r="A382" s="844"/>
      <c r="B382" s="845"/>
      <c r="C382" s="854"/>
      <c r="D382" s="847"/>
      <c r="E382" s="844"/>
      <c r="F382" s="848"/>
      <c r="G382" s="848"/>
      <c r="H382" s="700" t="s">
        <v>76</v>
      </c>
      <c r="I382" s="700" t="s">
        <v>76</v>
      </c>
      <c r="J382" s="842"/>
      <c r="K382" s="842"/>
      <c r="L382" s="842"/>
      <c r="M382" s="842"/>
      <c r="N382" s="842"/>
      <c r="O382" s="842"/>
      <c r="P382" s="842"/>
      <c r="Q382" s="842"/>
      <c r="R382" s="842"/>
      <c r="S382" s="842"/>
      <c r="T382" s="842"/>
      <c r="U382" s="842"/>
      <c r="V382" s="842"/>
      <c r="W382" s="842"/>
    </row>
    <row r="383" spans="1:23" ht="14.25" customHeight="1">
      <c r="A383" s="844">
        <v>3</v>
      </c>
      <c r="B383" s="845" t="s">
        <v>806</v>
      </c>
      <c r="C383" s="852" t="s">
        <v>1095</v>
      </c>
      <c r="D383" s="847" t="s">
        <v>807</v>
      </c>
      <c r="E383" s="844" t="s">
        <v>581</v>
      </c>
      <c r="F383" s="848" t="s">
        <v>622</v>
      </c>
      <c r="G383" s="848" t="s">
        <v>1094</v>
      </c>
      <c r="H383" s="700" t="s">
        <v>76</v>
      </c>
      <c r="I383" s="700" t="s">
        <v>76</v>
      </c>
      <c r="J383" s="842">
        <f>K383+N383</f>
        <v>4312500</v>
      </c>
      <c r="K383" s="842">
        <f>L383+M383</f>
        <v>0</v>
      </c>
      <c r="L383" s="842">
        <v>0</v>
      </c>
      <c r="M383" s="842">
        <v>0</v>
      </c>
      <c r="N383" s="842">
        <f>O383+R383+U383</f>
        <v>4312500</v>
      </c>
      <c r="O383" s="842">
        <f>P383+Q383</f>
        <v>4312500</v>
      </c>
      <c r="P383" s="842">
        <v>0</v>
      </c>
      <c r="Q383" s="842">
        <v>4312500</v>
      </c>
      <c r="R383" s="842">
        <f>S383+T383</f>
        <v>0</v>
      </c>
      <c r="S383" s="842">
        <v>0</v>
      </c>
      <c r="T383" s="842">
        <v>0</v>
      </c>
      <c r="U383" s="842">
        <f>V383+W383</f>
        <v>0</v>
      </c>
      <c r="V383" s="842">
        <v>0</v>
      </c>
      <c r="W383" s="842">
        <v>0</v>
      </c>
    </row>
    <row r="384" spans="1:23" ht="14.25" customHeight="1">
      <c r="A384" s="844"/>
      <c r="B384" s="845"/>
      <c r="C384" s="853"/>
      <c r="D384" s="847"/>
      <c r="E384" s="844"/>
      <c r="F384" s="848"/>
      <c r="G384" s="848"/>
      <c r="H384" s="700" t="s">
        <v>76</v>
      </c>
      <c r="I384" s="700" t="s">
        <v>76</v>
      </c>
      <c r="J384" s="842"/>
      <c r="K384" s="842"/>
      <c r="L384" s="842"/>
      <c r="M384" s="842"/>
      <c r="N384" s="842"/>
      <c r="O384" s="842"/>
      <c r="P384" s="842"/>
      <c r="Q384" s="842"/>
      <c r="R384" s="842"/>
      <c r="S384" s="842"/>
      <c r="T384" s="842"/>
      <c r="U384" s="842"/>
      <c r="V384" s="842"/>
      <c r="W384" s="842"/>
    </row>
    <row r="385" spans="1:23" ht="14.25" customHeight="1">
      <c r="A385" s="844"/>
      <c r="B385" s="845"/>
      <c r="C385" s="853"/>
      <c r="D385" s="847"/>
      <c r="E385" s="844"/>
      <c r="F385" s="848"/>
      <c r="G385" s="848"/>
      <c r="H385" s="700" t="s">
        <v>76</v>
      </c>
      <c r="I385" s="700" t="s">
        <v>76</v>
      </c>
      <c r="J385" s="457">
        <f>K385+N385</f>
        <v>-120805</v>
      </c>
      <c r="K385" s="457">
        <f>L385+M385</f>
        <v>0</v>
      </c>
      <c r="L385" s="458">
        <v>0</v>
      </c>
      <c r="M385" s="458">
        <v>0</v>
      </c>
      <c r="N385" s="457">
        <f>O385+R385+U385</f>
        <v>-120805</v>
      </c>
      <c r="O385" s="457">
        <f>P385+Q385</f>
        <v>-120805</v>
      </c>
      <c r="P385" s="458">
        <v>0</v>
      </c>
      <c r="Q385" s="458">
        <v>-120805</v>
      </c>
      <c r="R385" s="457">
        <f>S385+T385</f>
        <v>0</v>
      </c>
      <c r="S385" s="458">
        <v>0</v>
      </c>
      <c r="T385" s="458">
        <v>0</v>
      </c>
      <c r="U385" s="457">
        <f>V385+W385</f>
        <v>0</v>
      </c>
      <c r="V385" s="458">
        <v>0</v>
      </c>
      <c r="W385" s="458">
        <v>0</v>
      </c>
    </row>
    <row r="386" spans="1:23" ht="14.25" customHeight="1">
      <c r="A386" s="844"/>
      <c r="B386" s="845"/>
      <c r="C386" s="853"/>
      <c r="D386" s="847"/>
      <c r="E386" s="844"/>
      <c r="F386" s="848"/>
      <c r="G386" s="848"/>
      <c r="H386" s="700" t="s">
        <v>76</v>
      </c>
      <c r="I386" s="700" t="s">
        <v>76</v>
      </c>
      <c r="J386" s="842">
        <f>J383+J385</f>
        <v>4191695</v>
      </c>
      <c r="K386" s="842">
        <f aca="true" t="shared" si="77" ref="K386:W386">K383+K385</f>
        <v>0</v>
      </c>
      <c r="L386" s="842">
        <f t="shared" si="77"/>
        <v>0</v>
      </c>
      <c r="M386" s="842">
        <f t="shared" si="77"/>
        <v>0</v>
      </c>
      <c r="N386" s="842">
        <f t="shared" si="77"/>
        <v>4191695</v>
      </c>
      <c r="O386" s="842">
        <f t="shared" si="77"/>
        <v>4191695</v>
      </c>
      <c r="P386" s="842">
        <f t="shared" si="77"/>
        <v>0</v>
      </c>
      <c r="Q386" s="842">
        <f t="shared" si="77"/>
        <v>4191695</v>
      </c>
      <c r="R386" s="842">
        <f t="shared" si="77"/>
        <v>0</v>
      </c>
      <c r="S386" s="842">
        <f t="shared" si="77"/>
        <v>0</v>
      </c>
      <c r="T386" s="842">
        <f t="shared" si="77"/>
        <v>0</v>
      </c>
      <c r="U386" s="842">
        <f t="shared" si="77"/>
        <v>0</v>
      </c>
      <c r="V386" s="842">
        <f t="shared" si="77"/>
        <v>0</v>
      </c>
      <c r="W386" s="842">
        <f t="shared" si="77"/>
        <v>0</v>
      </c>
    </row>
    <row r="387" spans="1:23" ht="14.25" customHeight="1">
      <c r="A387" s="844"/>
      <c r="B387" s="845"/>
      <c r="C387" s="854"/>
      <c r="D387" s="847"/>
      <c r="E387" s="844"/>
      <c r="F387" s="848"/>
      <c r="G387" s="848"/>
      <c r="H387" s="700" t="s">
        <v>76</v>
      </c>
      <c r="I387" s="700" t="s">
        <v>76</v>
      </c>
      <c r="J387" s="842"/>
      <c r="K387" s="842"/>
      <c r="L387" s="842"/>
      <c r="M387" s="842"/>
      <c r="N387" s="842"/>
      <c r="O387" s="842"/>
      <c r="P387" s="842"/>
      <c r="Q387" s="842"/>
      <c r="R387" s="842"/>
      <c r="S387" s="842"/>
      <c r="T387" s="842"/>
      <c r="U387" s="842"/>
      <c r="V387" s="842"/>
      <c r="W387" s="842"/>
    </row>
    <row r="388" spans="1:23" ht="15" customHeight="1" hidden="1">
      <c r="A388" s="844">
        <v>1</v>
      </c>
      <c r="B388" s="845" t="s">
        <v>794</v>
      </c>
      <c r="C388" s="844">
        <v>102</v>
      </c>
      <c r="D388" s="847" t="s">
        <v>795</v>
      </c>
      <c r="E388" s="844" t="s">
        <v>1087</v>
      </c>
      <c r="F388" s="849" t="s">
        <v>1096</v>
      </c>
      <c r="G388" s="848" t="s">
        <v>1094</v>
      </c>
      <c r="H388" s="700" t="s">
        <v>76</v>
      </c>
      <c r="I388" s="700" t="s">
        <v>76</v>
      </c>
      <c r="J388" s="842">
        <f>K388+N388</f>
        <v>1955198</v>
      </c>
      <c r="K388" s="842">
        <f>L388+M388</f>
        <v>0</v>
      </c>
      <c r="L388" s="842">
        <v>0</v>
      </c>
      <c r="M388" s="842">
        <v>0</v>
      </c>
      <c r="N388" s="842">
        <f>O388+R388+U388</f>
        <v>1955198</v>
      </c>
      <c r="O388" s="842">
        <f>P388+Q388</f>
        <v>1955198</v>
      </c>
      <c r="P388" s="842">
        <v>1955198</v>
      </c>
      <c r="Q388" s="842">
        <v>0</v>
      </c>
      <c r="R388" s="842">
        <f>S388+T388</f>
        <v>0</v>
      </c>
      <c r="S388" s="842">
        <v>0</v>
      </c>
      <c r="T388" s="842">
        <v>0</v>
      </c>
      <c r="U388" s="842">
        <f>V388+W388</f>
        <v>0</v>
      </c>
      <c r="V388" s="842">
        <v>0</v>
      </c>
      <c r="W388" s="842">
        <v>0</v>
      </c>
    </row>
    <row r="389" spans="1:23" ht="15" customHeight="1" hidden="1">
      <c r="A389" s="844"/>
      <c r="B389" s="845"/>
      <c r="C389" s="844"/>
      <c r="D389" s="847"/>
      <c r="E389" s="844"/>
      <c r="F389" s="850"/>
      <c r="G389" s="848"/>
      <c r="H389" s="700" t="s">
        <v>76</v>
      </c>
      <c r="I389" s="700" t="s">
        <v>76</v>
      </c>
      <c r="J389" s="842"/>
      <c r="K389" s="842"/>
      <c r="L389" s="842"/>
      <c r="M389" s="842"/>
      <c r="N389" s="842"/>
      <c r="O389" s="842"/>
      <c r="P389" s="842"/>
      <c r="Q389" s="842"/>
      <c r="R389" s="842"/>
      <c r="S389" s="842"/>
      <c r="T389" s="842"/>
      <c r="U389" s="842"/>
      <c r="V389" s="842"/>
      <c r="W389" s="842"/>
    </row>
    <row r="390" spans="1:23" ht="15" customHeight="1" hidden="1">
      <c r="A390" s="844"/>
      <c r="B390" s="845"/>
      <c r="C390" s="844"/>
      <c r="D390" s="847"/>
      <c r="E390" s="844"/>
      <c r="F390" s="850"/>
      <c r="G390" s="848"/>
      <c r="H390" s="700" t="s">
        <v>76</v>
      </c>
      <c r="I390" s="700" t="s">
        <v>76</v>
      </c>
      <c r="J390" s="457">
        <f>K390+N390</f>
        <v>0</v>
      </c>
      <c r="K390" s="457">
        <f>L390+M390</f>
        <v>0</v>
      </c>
      <c r="L390" s="458">
        <v>0</v>
      </c>
      <c r="M390" s="458">
        <v>0</v>
      </c>
      <c r="N390" s="457">
        <f>O390+R390+U390</f>
        <v>0</v>
      </c>
      <c r="O390" s="457">
        <f>P390+Q390</f>
        <v>0</v>
      </c>
      <c r="P390" s="458">
        <v>0</v>
      </c>
      <c r="Q390" s="458">
        <v>0</v>
      </c>
      <c r="R390" s="457">
        <f>S390+T390</f>
        <v>0</v>
      </c>
      <c r="S390" s="458">
        <v>0</v>
      </c>
      <c r="T390" s="458">
        <v>0</v>
      </c>
      <c r="U390" s="457">
        <f>V390+W390</f>
        <v>0</v>
      </c>
      <c r="V390" s="458">
        <v>0</v>
      </c>
      <c r="W390" s="458">
        <v>0</v>
      </c>
    </row>
    <row r="391" spans="1:23" ht="15" customHeight="1" hidden="1">
      <c r="A391" s="844"/>
      <c r="B391" s="845"/>
      <c r="C391" s="844"/>
      <c r="D391" s="847"/>
      <c r="E391" s="844"/>
      <c r="F391" s="850"/>
      <c r="G391" s="848"/>
      <c r="H391" s="700" t="s">
        <v>76</v>
      </c>
      <c r="I391" s="700" t="s">
        <v>76</v>
      </c>
      <c r="J391" s="842">
        <f>J388+J390</f>
        <v>1955198</v>
      </c>
      <c r="K391" s="842">
        <f aca="true" t="shared" si="78" ref="K391:W391">K388+K390</f>
        <v>0</v>
      </c>
      <c r="L391" s="842">
        <f t="shared" si="78"/>
        <v>0</v>
      </c>
      <c r="M391" s="842">
        <f t="shared" si="78"/>
        <v>0</v>
      </c>
      <c r="N391" s="842">
        <f t="shared" si="78"/>
        <v>1955198</v>
      </c>
      <c r="O391" s="842">
        <f t="shared" si="78"/>
        <v>1955198</v>
      </c>
      <c r="P391" s="842">
        <f t="shared" si="78"/>
        <v>1955198</v>
      </c>
      <c r="Q391" s="842">
        <f t="shared" si="78"/>
        <v>0</v>
      </c>
      <c r="R391" s="842">
        <f t="shared" si="78"/>
        <v>0</v>
      </c>
      <c r="S391" s="842">
        <f t="shared" si="78"/>
        <v>0</v>
      </c>
      <c r="T391" s="842">
        <f t="shared" si="78"/>
        <v>0</v>
      </c>
      <c r="U391" s="842">
        <f t="shared" si="78"/>
        <v>0</v>
      </c>
      <c r="V391" s="842">
        <f t="shared" si="78"/>
        <v>0</v>
      </c>
      <c r="W391" s="842">
        <f t="shared" si="78"/>
        <v>0</v>
      </c>
    </row>
    <row r="392" spans="1:23" ht="15" customHeight="1" hidden="1">
      <c r="A392" s="844"/>
      <c r="B392" s="845"/>
      <c r="C392" s="844"/>
      <c r="D392" s="847"/>
      <c r="E392" s="844"/>
      <c r="F392" s="851"/>
      <c r="G392" s="848"/>
      <c r="H392" s="700" t="s">
        <v>76</v>
      </c>
      <c r="I392" s="700" t="s">
        <v>76</v>
      </c>
      <c r="J392" s="842"/>
      <c r="K392" s="842"/>
      <c r="L392" s="842"/>
      <c r="M392" s="842"/>
      <c r="N392" s="842"/>
      <c r="O392" s="842"/>
      <c r="P392" s="842"/>
      <c r="Q392" s="842"/>
      <c r="R392" s="842"/>
      <c r="S392" s="842"/>
      <c r="T392" s="842"/>
      <c r="U392" s="842"/>
      <c r="V392" s="842"/>
      <c r="W392" s="842"/>
    </row>
    <row r="393" spans="1:23" ht="14.25" customHeight="1" hidden="1">
      <c r="A393" s="844">
        <v>2</v>
      </c>
      <c r="B393" s="845" t="s">
        <v>796</v>
      </c>
      <c r="C393" s="846" t="s">
        <v>1097</v>
      </c>
      <c r="D393" s="847" t="s">
        <v>1098</v>
      </c>
      <c r="E393" s="844" t="s">
        <v>1087</v>
      </c>
      <c r="F393" s="849" t="s">
        <v>1096</v>
      </c>
      <c r="G393" s="848" t="s">
        <v>1094</v>
      </c>
      <c r="H393" s="700" t="s">
        <v>76</v>
      </c>
      <c r="I393" s="700" t="s">
        <v>76</v>
      </c>
      <c r="J393" s="842">
        <f>K393+N393</f>
        <v>0</v>
      </c>
      <c r="K393" s="842">
        <f>L393+M393</f>
        <v>0</v>
      </c>
      <c r="L393" s="842">
        <v>0</v>
      </c>
      <c r="M393" s="842">
        <v>0</v>
      </c>
      <c r="N393" s="842">
        <f>O393+R393+U393</f>
        <v>0</v>
      </c>
      <c r="O393" s="842">
        <f>P393+Q393</f>
        <v>0</v>
      </c>
      <c r="P393" s="842">
        <v>0</v>
      </c>
      <c r="Q393" s="842">
        <v>0</v>
      </c>
      <c r="R393" s="842">
        <f>S393+T393</f>
        <v>0</v>
      </c>
      <c r="S393" s="842">
        <v>0</v>
      </c>
      <c r="T393" s="842">
        <v>0</v>
      </c>
      <c r="U393" s="842">
        <f>V393+W393</f>
        <v>0</v>
      </c>
      <c r="V393" s="842">
        <v>0</v>
      </c>
      <c r="W393" s="842">
        <v>0</v>
      </c>
    </row>
    <row r="394" spans="1:23" ht="14.25" customHeight="1" hidden="1">
      <c r="A394" s="844"/>
      <c r="B394" s="845"/>
      <c r="C394" s="846"/>
      <c r="D394" s="847"/>
      <c r="E394" s="844"/>
      <c r="F394" s="850"/>
      <c r="G394" s="848"/>
      <c r="H394" s="700" t="s">
        <v>76</v>
      </c>
      <c r="I394" s="700" t="s">
        <v>76</v>
      </c>
      <c r="J394" s="842"/>
      <c r="K394" s="842"/>
      <c r="L394" s="842"/>
      <c r="M394" s="842"/>
      <c r="N394" s="842"/>
      <c r="O394" s="842"/>
      <c r="P394" s="842"/>
      <c r="Q394" s="842"/>
      <c r="R394" s="842"/>
      <c r="S394" s="842"/>
      <c r="T394" s="842"/>
      <c r="U394" s="842"/>
      <c r="V394" s="842"/>
      <c r="W394" s="842"/>
    </row>
    <row r="395" spans="1:23" ht="14.25" customHeight="1" hidden="1">
      <c r="A395" s="844"/>
      <c r="B395" s="845"/>
      <c r="C395" s="846"/>
      <c r="D395" s="847"/>
      <c r="E395" s="844"/>
      <c r="F395" s="850"/>
      <c r="G395" s="848"/>
      <c r="H395" s="700" t="s">
        <v>76</v>
      </c>
      <c r="I395" s="700" t="s">
        <v>76</v>
      </c>
      <c r="J395" s="457">
        <f>K395+N395</f>
        <v>0</v>
      </c>
      <c r="K395" s="457">
        <f>L395+M395</f>
        <v>0</v>
      </c>
      <c r="L395" s="458">
        <v>0</v>
      </c>
      <c r="M395" s="458">
        <v>0</v>
      </c>
      <c r="N395" s="457">
        <f>O395+R395+U395</f>
        <v>0</v>
      </c>
      <c r="O395" s="457">
        <f>P395+Q395</f>
        <v>0</v>
      </c>
      <c r="P395" s="458">
        <v>0</v>
      </c>
      <c r="Q395" s="458">
        <v>0</v>
      </c>
      <c r="R395" s="457">
        <f>S395+T395</f>
        <v>0</v>
      </c>
      <c r="S395" s="458">
        <v>0</v>
      </c>
      <c r="T395" s="458">
        <v>0</v>
      </c>
      <c r="U395" s="457">
        <f>V395+W395</f>
        <v>0</v>
      </c>
      <c r="V395" s="458">
        <v>0</v>
      </c>
      <c r="W395" s="458">
        <v>0</v>
      </c>
    </row>
    <row r="396" spans="1:23" ht="14.25" customHeight="1" hidden="1">
      <c r="A396" s="844"/>
      <c r="B396" s="845"/>
      <c r="C396" s="846"/>
      <c r="D396" s="847"/>
      <c r="E396" s="844"/>
      <c r="F396" s="850"/>
      <c r="G396" s="848"/>
      <c r="H396" s="700" t="s">
        <v>76</v>
      </c>
      <c r="I396" s="700" t="s">
        <v>76</v>
      </c>
      <c r="J396" s="842">
        <f>J393+J395</f>
        <v>0</v>
      </c>
      <c r="K396" s="842">
        <f aca="true" t="shared" si="79" ref="K396:W396">K393+K395</f>
        <v>0</v>
      </c>
      <c r="L396" s="842">
        <f t="shared" si="79"/>
        <v>0</v>
      </c>
      <c r="M396" s="842">
        <f t="shared" si="79"/>
        <v>0</v>
      </c>
      <c r="N396" s="842">
        <f t="shared" si="79"/>
        <v>0</v>
      </c>
      <c r="O396" s="842">
        <f t="shared" si="79"/>
        <v>0</v>
      </c>
      <c r="P396" s="842">
        <f t="shared" si="79"/>
        <v>0</v>
      </c>
      <c r="Q396" s="842">
        <f t="shared" si="79"/>
        <v>0</v>
      </c>
      <c r="R396" s="842">
        <f t="shared" si="79"/>
        <v>0</v>
      </c>
      <c r="S396" s="842">
        <f t="shared" si="79"/>
        <v>0</v>
      </c>
      <c r="T396" s="842">
        <f t="shared" si="79"/>
        <v>0</v>
      </c>
      <c r="U396" s="842">
        <f t="shared" si="79"/>
        <v>0</v>
      </c>
      <c r="V396" s="842">
        <f t="shared" si="79"/>
        <v>0</v>
      </c>
      <c r="W396" s="842">
        <f t="shared" si="79"/>
        <v>0</v>
      </c>
    </row>
    <row r="397" spans="1:23" ht="14.25" customHeight="1" hidden="1">
      <c r="A397" s="844"/>
      <c r="B397" s="845"/>
      <c r="C397" s="846"/>
      <c r="D397" s="847"/>
      <c r="E397" s="844"/>
      <c r="F397" s="851"/>
      <c r="G397" s="848"/>
      <c r="H397" s="700" t="s">
        <v>76</v>
      </c>
      <c r="I397" s="700" t="s">
        <v>76</v>
      </c>
      <c r="J397" s="842"/>
      <c r="K397" s="842"/>
      <c r="L397" s="842"/>
      <c r="M397" s="842"/>
      <c r="N397" s="842"/>
      <c r="O397" s="842"/>
      <c r="P397" s="842"/>
      <c r="Q397" s="842"/>
      <c r="R397" s="842"/>
      <c r="S397" s="842"/>
      <c r="T397" s="842"/>
      <c r="U397" s="842"/>
      <c r="V397" s="842"/>
      <c r="W397" s="842"/>
    </row>
    <row r="398" spans="1:23" ht="15" customHeight="1" hidden="1">
      <c r="A398" s="844">
        <v>3</v>
      </c>
      <c r="B398" s="845" t="s">
        <v>738</v>
      </c>
      <c r="C398" s="846" t="s">
        <v>1099</v>
      </c>
      <c r="D398" s="847" t="s">
        <v>739</v>
      </c>
      <c r="E398" s="848" t="s">
        <v>229</v>
      </c>
      <c r="F398" s="849" t="s">
        <v>1080</v>
      </c>
      <c r="G398" s="848" t="s">
        <v>1094</v>
      </c>
      <c r="H398" s="700" t="s">
        <v>76</v>
      </c>
      <c r="I398" s="700" t="s">
        <v>76</v>
      </c>
      <c r="J398" s="842">
        <f>K398+N398</f>
        <v>10497</v>
      </c>
      <c r="K398" s="842">
        <f>L398+M398</f>
        <v>0</v>
      </c>
      <c r="L398" s="842">
        <v>0</v>
      </c>
      <c r="M398" s="842">
        <v>0</v>
      </c>
      <c r="N398" s="842">
        <f>O398+R398+U398</f>
        <v>10497</v>
      </c>
      <c r="O398" s="842">
        <f>P398+Q398</f>
        <v>10497</v>
      </c>
      <c r="P398" s="842">
        <v>10497</v>
      </c>
      <c r="Q398" s="842">
        <v>0</v>
      </c>
      <c r="R398" s="842">
        <f>S398+T398</f>
        <v>0</v>
      </c>
      <c r="S398" s="842">
        <v>0</v>
      </c>
      <c r="T398" s="842">
        <v>0</v>
      </c>
      <c r="U398" s="842">
        <f>V398+W398</f>
        <v>0</v>
      </c>
      <c r="V398" s="842">
        <v>0</v>
      </c>
      <c r="W398" s="842">
        <v>0</v>
      </c>
    </row>
    <row r="399" spans="1:23" ht="15" customHeight="1" hidden="1">
      <c r="A399" s="844"/>
      <c r="B399" s="845"/>
      <c r="C399" s="846"/>
      <c r="D399" s="847"/>
      <c r="E399" s="848"/>
      <c r="F399" s="850"/>
      <c r="G399" s="848"/>
      <c r="H399" s="700" t="s">
        <v>76</v>
      </c>
      <c r="I399" s="700" t="s">
        <v>76</v>
      </c>
      <c r="J399" s="842"/>
      <c r="K399" s="842"/>
      <c r="L399" s="842"/>
      <c r="M399" s="842"/>
      <c r="N399" s="842"/>
      <c r="O399" s="842"/>
      <c r="P399" s="842"/>
      <c r="Q399" s="842"/>
      <c r="R399" s="842"/>
      <c r="S399" s="842"/>
      <c r="T399" s="842"/>
      <c r="U399" s="842"/>
      <c r="V399" s="842"/>
      <c r="W399" s="842"/>
    </row>
    <row r="400" spans="1:23" ht="15" customHeight="1" hidden="1">
      <c r="A400" s="844"/>
      <c r="B400" s="845"/>
      <c r="C400" s="846"/>
      <c r="D400" s="847"/>
      <c r="E400" s="848"/>
      <c r="F400" s="850"/>
      <c r="G400" s="848"/>
      <c r="H400" s="700" t="s">
        <v>76</v>
      </c>
      <c r="I400" s="700" t="s">
        <v>76</v>
      </c>
      <c r="J400" s="457">
        <f>K400+N400</f>
        <v>0</v>
      </c>
      <c r="K400" s="457">
        <f>L400+M400</f>
        <v>0</v>
      </c>
      <c r="L400" s="458">
        <v>0</v>
      </c>
      <c r="M400" s="458">
        <v>0</v>
      </c>
      <c r="N400" s="457">
        <f>O400+R400+U400</f>
        <v>0</v>
      </c>
      <c r="O400" s="457">
        <f>P400+Q400</f>
        <v>0</v>
      </c>
      <c r="P400" s="458">
        <v>0</v>
      </c>
      <c r="Q400" s="458">
        <v>0</v>
      </c>
      <c r="R400" s="457">
        <f>S400+T400</f>
        <v>0</v>
      </c>
      <c r="S400" s="458">
        <v>0</v>
      </c>
      <c r="T400" s="458">
        <v>0</v>
      </c>
      <c r="U400" s="457">
        <f>V400+W400</f>
        <v>0</v>
      </c>
      <c r="V400" s="458">
        <v>0</v>
      </c>
      <c r="W400" s="458">
        <v>0</v>
      </c>
    </row>
    <row r="401" spans="1:23" ht="15" customHeight="1" hidden="1">
      <c r="A401" s="844"/>
      <c r="B401" s="845"/>
      <c r="C401" s="846"/>
      <c r="D401" s="847"/>
      <c r="E401" s="848"/>
      <c r="F401" s="850"/>
      <c r="G401" s="848"/>
      <c r="H401" s="700" t="s">
        <v>76</v>
      </c>
      <c r="I401" s="700" t="s">
        <v>76</v>
      </c>
      <c r="J401" s="842">
        <f>J398+J400</f>
        <v>10497</v>
      </c>
      <c r="K401" s="842">
        <f aca="true" t="shared" si="80" ref="K401:W401">K398+K400</f>
        <v>0</v>
      </c>
      <c r="L401" s="842">
        <f t="shared" si="80"/>
        <v>0</v>
      </c>
      <c r="M401" s="842">
        <f t="shared" si="80"/>
        <v>0</v>
      </c>
      <c r="N401" s="842">
        <f t="shared" si="80"/>
        <v>10497</v>
      </c>
      <c r="O401" s="842">
        <f t="shared" si="80"/>
        <v>10497</v>
      </c>
      <c r="P401" s="842">
        <f t="shared" si="80"/>
        <v>10497</v>
      </c>
      <c r="Q401" s="842">
        <f t="shared" si="80"/>
        <v>0</v>
      </c>
      <c r="R401" s="842">
        <f t="shared" si="80"/>
        <v>0</v>
      </c>
      <c r="S401" s="842">
        <f t="shared" si="80"/>
        <v>0</v>
      </c>
      <c r="T401" s="842">
        <f t="shared" si="80"/>
        <v>0</v>
      </c>
      <c r="U401" s="842">
        <f t="shared" si="80"/>
        <v>0</v>
      </c>
      <c r="V401" s="842">
        <f t="shared" si="80"/>
        <v>0</v>
      </c>
      <c r="W401" s="842">
        <f t="shared" si="80"/>
        <v>0</v>
      </c>
    </row>
    <row r="402" spans="1:23" ht="15" customHeight="1" hidden="1">
      <c r="A402" s="844"/>
      <c r="B402" s="845"/>
      <c r="C402" s="846"/>
      <c r="D402" s="847"/>
      <c r="E402" s="848"/>
      <c r="F402" s="851"/>
      <c r="G402" s="848"/>
      <c r="H402" s="700" t="s">
        <v>76</v>
      </c>
      <c r="I402" s="700" t="s">
        <v>76</v>
      </c>
      <c r="J402" s="842"/>
      <c r="K402" s="842"/>
      <c r="L402" s="842"/>
      <c r="M402" s="842"/>
      <c r="N402" s="842"/>
      <c r="O402" s="842"/>
      <c r="P402" s="842"/>
      <c r="Q402" s="842"/>
      <c r="R402" s="842"/>
      <c r="S402" s="842"/>
      <c r="T402" s="842"/>
      <c r="U402" s="842"/>
      <c r="V402" s="842"/>
      <c r="W402" s="842"/>
    </row>
    <row r="403" spans="1:23" ht="15" customHeight="1" hidden="1">
      <c r="A403" s="844">
        <v>5</v>
      </c>
      <c r="B403" s="845" t="s">
        <v>785</v>
      </c>
      <c r="C403" s="846" t="s">
        <v>1053</v>
      </c>
      <c r="D403" s="847" t="s">
        <v>786</v>
      </c>
      <c r="E403" s="844" t="s">
        <v>581</v>
      </c>
      <c r="F403" s="849" t="s">
        <v>597</v>
      </c>
      <c r="G403" s="848" t="s">
        <v>1094</v>
      </c>
      <c r="H403" s="700" t="s">
        <v>76</v>
      </c>
      <c r="I403" s="700" t="s">
        <v>76</v>
      </c>
      <c r="J403" s="842">
        <f>K403+N403</f>
        <v>655000</v>
      </c>
      <c r="K403" s="842">
        <f>L403+M403</f>
        <v>0</v>
      </c>
      <c r="L403" s="842">
        <v>0</v>
      </c>
      <c r="M403" s="842">
        <v>0</v>
      </c>
      <c r="N403" s="842">
        <f>O403+R403+U403</f>
        <v>655000</v>
      </c>
      <c r="O403" s="842">
        <f>P403+Q403</f>
        <v>655000</v>
      </c>
      <c r="P403" s="842">
        <v>655000</v>
      </c>
      <c r="Q403" s="842">
        <v>0</v>
      </c>
      <c r="R403" s="842">
        <f>S403+T403</f>
        <v>0</v>
      </c>
      <c r="S403" s="842">
        <v>0</v>
      </c>
      <c r="T403" s="842">
        <v>0</v>
      </c>
      <c r="U403" s="842">
        <f>V403+W403</f>
        <v>0</v>
      </c>
      <c r="V403" s="842">
        <v>0</v>
      </c>
      <c r="W403" s="842">
        <v>0</v>
      </c>
    </row>
    <row r="404" spans="1:23" ht="15" customHeight="1" hidden="1">
      <c r="A404" s="844"/>
      <c r="B404" s="845"/>
      <c r="C404" s="846"/>
      <c r="D404" s="847"/>
      <c r="E404" s="844"/>
      <c r="F404" s="850"/>
      <c r="G404" s="848"/>
      <c r="H404" s="700" t="s">
        <v>76</v>
      </c>
      <c r="I404" s="700" t="s">
        <v>76</v>
      </c>
      <c r="J404" s="842"/>
      <c r="K404" s="842"/>
      <c r="L404" s="842"/>
      <c r="M404" s="842"/>
      <c r="N404" s="842"/>
      <c r="O404" s="842"/>
      <c r="P404" s="842"/>
      <c r="Q404" s="842"/>
      <c r="R404" s="842"/>
      <c r="S404" s="842"/>
      <c r="T404" s="842"/>
      <c r="U404" s="842"/>
      <c r="V404" s="842"/>
      <c r="W404" s="842"/>
    </row>
    <row r="405" spans="1:23" ht="15" customHeight="1" hidden="1">
      <c r="A405" s="844"/>
      <c r="B405" s="845"/>
      <c r="C405" s="846"/>
      <c r="D405" s="847"/>
      <c r="E405" s="844"/>
      <c r="F405" s="850"/>
      <c r="G405" s="848"/>
      <c r="H405" s="700" t="s">
        <v>76</v>
      </c>
      <c r="I405" s="700" t="s">
        <v>76</v>
      </c>
      <c r="J405" s="457">
        <f>K405+N405</f>
        <v>0</v>
      </c>
      <c r="K405" s="457">
        <f>L405+M405</f>
        <v>0</v>
      </c>
      <c r="L405" s="458">
        <v>0</v>
      </c>
      <c r="M405" s="458">
        <v>0</v>
      </c>
      <c r="N405" s="457">
        <f>O405+R405+U405</f>
        <v>0</v>
      </c>
      <c r="O405" s="457">
        <f>P405+Q405</f>
        <v>0</v>
      </c>
      <c r="P405" s="458">
        <v>0</v>
      </c>
      <c r="Q405" s="458">
        <v>0</v>
      </c>
      <c r="R405" s="457">
        <f>S405+T405</f>
        <v>0</v>
      </c>
      <c r="S405" s="458">
        <v>0</v>
      </c>
      <c r="T405" s="458">
        <v>0</v>
      </c>
      <c r="U405" s="457">
        <f>V405+W405</f>
        <v>0</v>
      </c>
      <c r="V405" s="458">
        <v>0</v>
      </c>
      <c r="W405" s="458">
        <v>0</v>
      </c>
    </row>
    <row r="406" spans="1:23" ht="15" customHeight="1" hidden="1">
      <c r="A406" s="844"/>
      <c r="B406" s="845"/>
      <c r="C406" s="846"/>
      <c r="D406" s="847"/>
      <c r="E406" s="844"/>
      <c r="F406" s="850"/>
      <c r="G406" s="848"/>
      <c r="H406" s="700" t="s">
        <v>76</v>
      </c>
      <c r="I406" s="700" t="s">
        <v>76</v>
      </c>
      <c r="J406" s="842">
        <f>J403+J405</f>
        <v>655000</v>
      </c>
      <c r="K406" s="842">
        <f aca="true" t="shared" si="81" ref="K406:W406">K403+K405</f>
        <v>0</v>
      </c>
      <c r="L406" s="842">
        <f t="shared" si="81"/>
        <v>0</v>
      </c>
      <c r="M406" s="842">
        <f t="shared" si="81"/>
        <v>0</v>
      </c>
      <c r="N406" s="842">
        <f t="shared" si="81"/>
        <v>655000</v>
      </c>
      <c r="O406" s="842">
        <f t="shared" si="81"/>
        <v>655000</v>
      </c>
      <c r="P406" s="842">
        <f t="shared" si="81"/>
        <v>655000</v>
      </c>
      <c r="Q406" s="842">
        <f t="shared" si="81"/>
        <v>0</v>
      </c>
      <c r="R406" s="842">
        <f t="shared" si="81"/>
        <v>0</v>
      </c>
      <c r="S406" s="842">
        <f t="shared" si="81"/>
        <v>0</v>
      </c>
      <c r="T406" s="842">
        <f t="shared" si="81"/>
        <v>0</v>
      </c>
      <c r="U406" s="842">
        <f t="shared" si="81"/>
        <v>0</v>
      </c>
      <c r="V406" s="842">
        <f t="shared" si="81"/>
        <v>0</v>
      </c>
      <c r="W406" s="842">
        <f t="shared" si="81"/>
        <v>0</v>
      </c>
    </row>
    <row r="407" spans="1:23" ht="15" customHeight="1" hidden="1">
      <c r="A407" s="844"/>
      <c r="B407" s="845"/>
      <c r="C407" s="846"/>
      <c r="D407" s="847"/>
      <c r="E407" s="844"/>
      <c r="F407" s="851"/>
      <c r="G407" s="848"/>
      <c r="H407" s="700" t="s">
        <v>76</v>
      </c>
      <c r="I407" s="700" t="s">
        <v>76</v>
      </c>
      <c r="J407" s="842"/>
      <c r="K407" s="842"/>
      <c r="L407" s="842"/>
      <c r="M407" s="842"/>
      <c r="N407" s="842"/>
      <c r="O407" s="842"/>
      <c r="P407" s="842"/>
      <c r="Q407" s="842"/>
      <c r="R407" s="842"/>
      <c r="S407" s="842"/>
      <c r="T407" s="842"/>
      <c r="U407" s="842"/>
      <c r="V407" s="842"/>
      <c r="W407" s="842"/>
    </row>
    <row r="408" spans="1:23" ht="15" customHeight="1" hidden="1">
      <c r="A408" s="844">
        <v>4</v>
      </c>
      <c r="B408" s="845" t="s">
        <v>798</v>
      </c>
      <c r="C408" s="846" t="s">
        <v>1100</v>
      </c>
      <c r="D408" s="847" t="s">
        <v>799</v>
      </c>
      <c r="E408" s="844" t="s">
        <v>1087</v>
      </c>
      <c r="F408" s="849" t="s">
        <v>1096</v>
      </c>
      <c r="G408" s="848" t="s">
        <v>1094</v>
      </c>
      <c r="H408" s="700" t="s">
        <v>76</v>
      </c>
      <c r="I408" s="700" t="s">
        <v>76</v>
      </c>
      <c r="J408" s="842">
        <f>K408+N408</f>
        <v>376530</v>
      </c>
      <c r="K408" s="842">
        <f>L408+M408</f>
        <v>0</v>
      </c>
      <c r="L408" s="842">
        <v>0</v>
      </c>
      <c r="M408" s="842">
        <v>0</v>
      </c>
      <c r="N408" s="842">
        <f>O408+R408+U408</f>
        <v>376530</v>
      </c>
      <c r="O408" s="842">
        <f>P408+Q408</f>
        <v>376530</v>
      </c>
      <c r="P408" s="842">
        <v>376530</v>
      </c>
      <c r="Q408" s="842">
        <v>0</v>
      </c>
      <c r="R408" s="842">
        <f>S408+T408</f>
        <v>0</v>
      </c>
      <c r="S408" s="842">
        <v>0</v>
      </c>
      <c r="T408" s="842">
        <v>0</v>
      </c>
      <c r="U408" s="842">
        <f>V408+W408</f>
        <v>0</v>
      </c>
      <c r="V408" s="842">
        <v>0</v>
      </c>
      <c r="W408" s="842">
        <v>0</v>
      </c>
    </row>
    <row r="409" spans="1:23" ht="15" customHeight="1" hidden="1">
      <c r="A409" s="844"/>
      <c r="B409" s="845"/>
      <c r="C409" s="846"/>
      <c r="D409" s="847"/>
      <c r="E409" s="844"/>
      <c r="F409" s="850"/>
      <c r="G409" s="848"/>
      <c r="H409" s="700" t="s">
        <v>76</v>
      </c>
      <c r="I409" s="700" t="s">
        <v>76</v>
      </c>
      <c r="J409" s="842"/>
      <c r="K409" s="842"/>
      <c r="L409" s="842"/>
      <c r="M409" s="842"/>
      <c r="N409" s="842"/>
      <c r="O409" s="842"/>
      <c r="P409" s="842"/>
      <c r="Q409" s="842"/>
      <c r="R409" s="842"/>
      <c r="S409" s="842"/>
      <c r="T409" s="842"/>
      <c r="U409" s="842"/>
      <c r="V409" s="842"/>
      <c r="W409" s="842"/>
    </row>
    <row r="410" spans="1:23" ht="15" customHeight="1" hidden="1">
      <c r="A410" s="844"/>
      <c r="B410" s="845"/>
      <c r="C410" s="846"/>
      <c r="D410" s="847"/>
      <c r="E410" s="844"/>
      <c r="F410" s="850"/>
      <c r="G410" s="848"/>
      <c r="H410" s="700" t="s">
        <v>76</v>
      </c>
      <c r="I410" s="700" t="s">
        <v>76</v>
      </c>
      <c r="J410" s="457">
        <f>K410+N410</f>
        <v>0</v>
      </c>
      <c r="K410" s="457">
        <f>L410+M410</f>
        <v>0</v>
      </c>
      <c r="L410" s="458">
        <v>0</v>
      </c>
      <c r="M410" s="458">
        <v>0</v>
      </c>
      <c r="N410" s="457">
        <f>O410+R410+U410</f>
        <v>0</v>
      </c>
      <c r="O410" s="457">
        <f>P410+Q410</f>
        <v>0</v>
      </c>
      <c r="P410" s="458">
        <v>0</v>
      </c>
      <c r="Q410" s="458">
        <v>0</v>
      </c>
      <c r="R410" s="457">
        <f>S410+T410</f>
        <v>0</v>
      </c>
      <c r="S410" s="458">
        <v>0</v>
      </c>
      <c r="T410" s="458">
        <v>0</v>
      </c>
      <c r="U410" s="457">
        <f>V410+W410</f>
        <v>0</v>
      </c>
      <c r="V410" s="458">
        <v>0</v>
      </c>
      <c r="W410" s="458">
        <v>0</v>
      </c>
    </row>
    <row r="411" spans="1:23" ht="15" customHeight="1" hidden="1">
      <c r="A411" s="844"/>
      <c r="B411" s="845"/>
      <c r="C411" s="846"/>
      <c r="D411" s="847"/>
      <c r="E411" s="844"/>
      <c r="F411" s="850"/>
      <c r="G411" s="848"/>
      <c r="H411" s="700" t="s">
        <v>76</v>
      </c>
      <c r="I411" s="700" t="s">
        <v>76</v>
      </c>
      <c r="J411" s="842">
        <f>J408+J410</f>
        <v>376530</v>
      </c>
      <c r="K411" s="842">
        <f aca="true" t="shared" si="82" ref="K411:W411">K408+K410</f>
        <v>0</v>
      </c>
      <c r="L411" s="842">
        <f t="shared" si="82"/>
        <v>0</v>
      </c>
      <c r="M411" s="842">
        <f t="shared" si="82"/>
        <v>0</v>
      </c>
      <c r="N411" s="842">
        <f t="shared" si="82"/>
        <v>376530</v>
      </c>
      <c r="O411" s="842">
        <f t="shared" si="82"/>
        <v>376530</v>
      </c>
      <c r="P411" s="842">
        <f t="shared" si="82"/>
        <v>376530</v>
      </c>
      <c r="Q411" s="842">
        <f t="shared" si="82"/>
        <v>0</v>
      </c>
      <c r="R411" s="842">
        <f t="shared" si="82"/>
        <v>0</v>
      </c>
      <c r="S411" s="842">
        <f t="shared" si="82"/>
        <v>0</v>
      </c>
      <c r="T411" s="842">
        <f t="shared" si="82"/>
        <v>0</v>
      </c>
      <c r="U411" s="842">
        <f t="shared" si="82"/>
        <v>0</v>
      </c>
      <c r="V411" s="842">
        <f t="shared" si="82"/>
        <v>0</v>
      </c>
      <c r="W411" s="842">
        <f t="shared" si="82"/>
        <v>0</v>
      </c>
    </row>
    <row r="412" spans="1:23" ht="15" customHeight="1" hidden="1">
      <c r="A412" s="844"/>
      <c r="B412" s="845"/>
      <c r="C412" s="846"/>
      <c r="D412" s="847"/>
      <c r="E412" s="844"/>
      <c r="F412" s="851"/>
      <c r="G412" s="848"/>
      <c r="H412" s="700" t="s">
        <v>76</v>
      </c>
      <c r="I412" s="700" t="s">
        <v>76</v>
      </c>
      <c r="J412" s="842"/>
      <c r="K412" s="842"/>
      <c r="L412" s="842"/>
      <c r="M412" s="842"/>
      <c r="N412" s="842"/>
      <c r="O412" s="842"/>
      <c r="P412" s="842"/>
      <c r="Q412" s="842"/>
      <c r="R412" s="842"/>
      <c r="S412" s="842"/>
      <c r="T412" s="842"/>
      <c r="U412" s="842"/>
      <c r="V412" s="842"/>
      <c r="W412" s="842"/>
    </row>
    <row r="413" spans="1:23" ht="14.25" customHeight="1" hidden="1">
      <c r="A413" s="844">
        <v>7</v>
      </c>
      <c r="B413" s="845" t="s">
        <v>774</v>
      </c>
      <c r="C413" s="846" t="s">
        <v>1056</v>
      </c>
      <c r="D413" s="847" t="s">
        <v>1101</v>
      </c>
      <c r="E413" s="844" t="s">
        <v>581</v>
      </c>
      <c r="F413" s="848" t="s">
        <v>1102</v>
      </c>
      <c r="G413" s="848" t="s">
        <v>1094</v>
      </c>
      <c r="H413" s="700" t="s">
        <v>76</v>
      </c>
      <c r="I413" s="700" t="s">
        <v>76</v>
      </c>
      <c r="J413" s="842">
        <f>K413+N413</f>
        <v>64000</v>
      </c>
      <c r="K413" s="842">
        <f>L413+M413</f>
        <v>0</v>
      </c>
      <c r="L413" s="842">
        <v>0</v>
      </c>
      <c r="M413" s="842">
        <v>0</v>
      </c>
      <c r="N413" s="842">
        <f>O413+R413+U413</f>
        <v>64000</v>
      </c>
      <c r="O413" s="842">
        <f>P413+Q413</f>
        <v>64000</v>
      </c>
      <c r="P413" s="842">
        <v>64000</v>
      </c>
      <c r="Q413" s="842">
        <v>0</v>
      </c>
      <c r="R413" s="842">
        <f>S413+T413</f>
        <v>0</v>
      </c>
      <c r="S413" s="842">
        <v>0</v>
      </c>
      <c r="T413" s="842">
        <v>0</v>
      </c>
      <c r="U413" s="842">
        <f>V413+W413</f>
        <v>0</v>
      </c>
      <c r="V413" s="842">
        <v>0</v>
      </c>
      <c r="W413" s="842">
        <v>0</v>
      </c>
    </row>
    <row r="414" spans="1:23" ht="14.25" customHeight="1" hidden="1">
      <c r="A414" s="844"/>
      <c r="B414" s="845"/>
      <c r="C414" s="846"/>
      <c r="D414" s="847"/>
      <c r="E414" s="844"/>
      <c r="F414" s="848"/>
      <c r="G414" s="848"/>
      <c r="H414" s="700" t="s">
        <v>76</v>
      </c>
      <c r="I414" s="700" t="s">
        <v>76</v>
      </c>
      <c r="J414" s="842"/>
      <c r="K414" s="842"/>
      <c r="L414" s="842"/>
      <c r="M414" s="842"/>
      <c r="N414" s="842"/>
      <c r="O414" s="842"/>
      <c r="P414" s="842"/>
      <c r="Q414" s="842"/>
      <c r="R414" s="842"/>
      <c r="S414" s="842"/>
      <c r="T414" s="842"/>
      <c r="U414" s="842"/>
      <c r="V414" s="842"/>
      <c r="W414" s="842"/>
    </row>
    <row r="415" spans="1:23" ht="14.25" customHeight="1" hidden="1">
      <c r="A415" s="844"/>
      <c r="B415" s="845"/>
      <c r="C415" s="846"/>
      <c r="D415" s="847"/>
      <c r="E415" s="844"/>
      <c r="F415" s="848"/>
      <c r="G415" s="848"/>
      <c r="H415" s="700" t="s">
        <v>76</v>
      </c>
      <c r="I415" s="700" t="s">
        <v>76</v>
      </c>
      <c r="J415" s="457">
        <f>K415+N415</f>
        <v>0</v>
      </c>
      <c r="K415" s="457">
        <f>L415+M415</f>
        <v>0</v>
      </c>
      <c r="L415" s="458">
        <v>0</v>
      </c>
      <c r="M415" s="458">
        <v>0</v>
      </c>
      <c r="N415" s="457">
        <f>O415+R415+U415</f>
        <v>0</v>
      </c>
      <c r="O415" s="457">
        <f>P415+Q415</f>
        <v>0</v>
      </c>
      <c r="P415" s="458">
        <v>0</v>
      </c>
      <c r="Q415" s="458">
        <v>0</v>
      </c>
      <c r="R415" s="457">
        <f>S415+T415</f>
        <v>0</v>
      </c>
      <c r="S415" s="458">
        <v>0</v>
      </c>
      <c r="T415" s="458">
        <v>0</v>
      </c>
      <c r="U415" s="457">
        <f>V415+W415</f>
        <v>0</v>
      </c>
      <c r="V415" s="458">
        <v>0</v>
      </c>
      <c r="W415" s="458">
        <v>0</v>
      </c>
    </row>
    <row r="416" spans="1:23" ht="14.25" customHeight="1" hidden="1">
      <c r="A416" s="844"/>
      <c r="B416" s="845"/>
      <c r="C416" s="846"/>
      <c r="D416" s="847"/>
      <c r="E416" s="844"/>
      <c r="F416" s="848"/>
      <c r="G416" s="848"/>
      <c r="H416" s="700" t="s">
        <v>76</v>
      </c>
      <c r="I416" s="700" t="s">
        <v>76</v>
      </c>
      <c r="J416" s="842">
        <f>J413+J415</f>
        <v>64000</v>
      </c>
      <c r="K416" s="842">
        <f aca="true" t="shared" si="83" ref="K416:W416">K413+K415</f>
        <v>0</v>
      </c>
      <c r="L416" s="842">
        <f t="shared" si="83"/>
        <v>0</v>
      </c>
      <c r="M416" s="842">
        <f t="shared" si="83"/>
        <v>0</v>
      </c>
      <c r="N416" s="842">
        <f t="shared" si="83"/>
        <v>64000</v>
      </c>
      <c r="O416" s="842">
        <f t="shared" si="83"/>
        <v>64000</v>
      </c>
      <c r="P416" s="842">
        <f t="shared" si="83"/>
        <v>64000</v>
      </c>
      <c r="Q416" s="842">
        <f t="shared" si="83"/>
        <v>0</v>
      </c>
      <c r="R416" s="842">
        <f t="shared" si="83"/>
        <v>0</v>
      </c>
      <c r="S416" s="842">
        <f t="shared" si="83"/>
        <v>0</v>
      </c>
      <c r="T416" s="842">
        <f t="shared" si="83"/>
        <v>0</v>
      </c>
      <c r="U416" s="842">
        <f t="shared" si="83"/>
        <v>0</v>
      </c>
      <c r="V416" s="842">
        <f t="shared" si="83"/>
        <v>0</v>
      </c>
      <c r="W416" s="842">
        <f t="shared" si="83"/>
        <v>0</v>
      </c>
    </row>
    <row r="417" spans="1:23" ht="14.25" customHeight="1" hidden="1">
      <c r="A417" s="844"/>
      <c r="B417" s="845"/>
      <c r="C417" s="846"/>
      <c r="D417" s="847"/>
      <c r="E417" s="844"/>
      <c r="F417" s="848"/>
      <c r="G417" s="848"/>
      <c r="H417" s="700" t="s">
        <v>76</v>
      </c>
      <c r="I417" s="700" t="s">
        <v>76</v>
      </c>
      <c r="J417" s="842"/>
      <c r="K417" s="842"/>
      <c r="L417" s="842"/>
      <c r="M417" s="842"/>
      <c r="N417" s="842"/>
      <c r="O417" s="842"/>
      <c r="P417" s="842"/>
      <c r="Q417" s="842"/>
      <c r="R417" s="842"/>
      <c r="S417" s="842"/>
      <c r="T417" s="842"/>
      <c r="U417" s="842"/>
      <c r="V417" s="842"/>
      <c r="W417" s="842"/>
    </row>
    <row r="418" spans="1:23" ht="13.5" customHeight="1" hidden="1">
      <c r="A418" s="844">
        <v>8</v>
      </c>
      <c r="B418" s="845" t="s">
        <v>771</v>
      </c>
      <c r="C418" s="846" t="s">
        <v>1056</v>
      </c>
      <c r="D418" s="847" t="s">
        <v>1103</v>
      </c>
      <c r="E418" s="844" t="s">
        <v>581</v>
      </c>
      <c r="F418" s="848" t="s">
        <v>1104</v>
      </c>
      <c r="G418" s="848" t="s">
        <v>1094</v>
      </c>
      <c r="H418" s="700" t="s">
        <v>76</v>
      </c>
      <c r="I418" s="700" t="s">
        <v>76</v>
      </c>
      <c r="J418" s="842">
        <f>K418+N418</f>
        <v>2677000</v>
      </c>
      <c r="K418" s="842">
        <f>L418+M418</f>
        <v>0</v>
      </c>
      <c r="L418" s="842">
        <v>0</v>
      </c>
      <c r="M418" s="842">
        <v>0</v>
      </c>
      <c r="N418" s="842">
        <f>O418+R418+U418</f>
        <v>2677000</v>
      </c>
      <c r="O418" s="842">
        <f>P418+Q418</f>
        <v>2677000</v>
      </c>
      <c r="P418" s="842">
        <v>2665000</v>
      </c>
      <c r="Q418" s="842">
        <v>12000</v>
      </c>
      <c r="R418" s="842">
        <f>S418+T418</f>
        <v>0</v>
      </c>
      <c r="S418" s="842">
        <v>0</v>
      </c>
      <c r="T418" s="842">
        <v>0</v>
      </c>
      <c r="U418" s="842">
        <f>V418+W418</f>
        <v>0</v>
      </c>
      <c r="V418" s="842">
        <v>0</v>
      </c>
      <c r="W418" s="842">
        <v>0</v>
      </c>
    </row>
    <row r="419" spans="1:23" ht="13.5" customHeight="1" hidden="1">
      <c r="A419" s="844"/>
      <c r="B419" s="845"/>
      <c r="C419" s="846"/>
      <c r="D419" s="847"/>
      <c r="E419" s="844"/>
      <c r="F419" s="848"/>
      <c r="G419" s="848"/>
      <c r="H419" s="700" t="s">
        <v>76</v>
      </c>
      <c r="I419" s="700" t="s">
        <v>76</v>
      </c>
      <c r="J419" s="842"/>
      <c r="K419" s="842"/>
      <c r="L419" s="842"/>
      <c r="M419" s="842"/>
      <c r="N419" s="842"/>
      <c r="O419" s="842"/>
      <c r="P419" s="842"/>
      <c r="Q419" s="842"/>
      <c r="R419" s="842"/>
      <c r="S419" s="842"/>
      <c r="T419" s="842"/>
      <c r="U419" s="842"/>
      <c r="V419" s="842"/>
      <c r="W419" s="842"/>
    </row>
    <row r="420" spans="1:23" ht="13.5" customHeight="1" hidden="1">
      <c r="A420" s="844"/>
      <c r="B420" s="845"/>
      <c r="C420" s="846"/>
      <c r="D420" s="847"/>
      <c r="E420" s="844"/>
      <c r="F420" s="848"/>
      <c r="G420" s="848"/>
      <c r="H420" s="700" t="s">
        <v>76</v>
      </c>
      <c r="I420" s="700" t="s">
        <v>76</v>
      </c>
      <c r="J420" s="457">
        <f>K420+N420</f>
        <v>0</v>
      </c>
      <c r="K420" s="457">
        <f>L420+M420</f>
        <v>0</v>
      </c>
      <c r="L420" s="458">
        <v>0</v>
      </c>
      <c r="M420" s="458">
        <v>0</v>
      </c>
      <c r="N420" s="457">
        <f>O420+R420+U420</f>
        <v>0</v>
      </c>
      <c r="O420" s="457">
        <f>P420+Q420</f>
        <v>0</v>
      </c>
      <c r="P420" s="458">
        <v>0</v>
      </c>
      <c r="Q420" s="458">
        <v>0</v>
      </c>
      <c r="R420" s="457">
        <f>S420+T420</f>
        <v>0</v>
      </c>
      <c r="S420" s="458">
        <v>0</v>
      </c>
      <c r="T420" s="458">
        <v>0</v>
      </c>
      <c r="U420" s="457">
        <f>V420+W420</f>
        <v>0</v>
      </c>
      <c r="V420" s="458">
        <v>0</v>
      </c>
      <c r="W420" s="458">
        <v>0</v>
      </c>
    </row>
    <row r="421" spans="1:23" ht="13.5" customHeight="1" hidden="1">
      <c r="A421" s="844"/>
      <c r="B421" s="845"/>
      <c r="C421" s="846"/>
      <c r="D421" s="847"/>
      <c r="E421" s="844"/>
      <c r="F421" s="848"/>
      <c r="G421" s="848"/>
      <c r="H421" s="700" t="s">
        <v>76</v>
      </c>
      <c r="I421" s="700" t="s">
        <v>76</v>
      </c>
      <c r="J421" s="842">
        <f>J418+J420</f>
        <v>2677000</v>
      </c>
      <c r="K421" s="842">
        <f aca="true" t="shared" si="84" ref="K421:W421">K418+K420</f>
        <v>0</v>
      </c>
      <c r="L421" s="842">
        <f t="shared" si="84"/>
        <v>0</v>
      </c>
      <c r="M421" s="842">
        <f t="shared" si="84"/>
        <v>0</v>
      </c>
      <c r="N421" s="842">
        <f t="shared" si="84"/>
        <v>2677000</v>
      </c>
      <c r="O421" s="842">
        <f t="shared" si="84"/>
        <v>2677000</v>
      </c>
      <c r="P421" s="842">
        <f t="shared" si="84"/>
        <v>2665000</v>
      </c>
      <c r="Q421" s="842">
        <f t="shared" si="84"/>
        <v>12000</v>
      </c>
      <c r="R421" s="842">
        <f t="shared" si="84"/>
        <v>0</v>
      </c>
      <c r="S421" s="842">
        <f t="shared" si="84"/>
        <v>0</v>
      </c>
      <c r="T421" s="842">
        <f t="shared" si="84"/>
        <v>0</v>
      </c>
      <c r="U421" s="842">
        <f t="shared" si="84"/>
        <v>0</v>
      </c>
      <c r="V421" s="842">
        <f t="shared" si="84"/>
        <v>0</v>
      </c>
      <c r="W421" s="842">
        <f t="shared" si="84"/>
        <v>0</v>
      </c>
    </row>
    <row r="422" spans="1:23" ht="13.5" customHeight="1" hidden="1">
      <c r="A422" s="844"/>
      <c r="B422" s="845"/>
      <c r="C422" s="846"/>
      <c r="D422" s="847"/>
      <c r="E422" s="844"/>
      <c r="F422" s="848"/>
      <c r="G422" s="848"/>
      <c r="H422" s="700" t="s">
        <v>76</v>
      </c>
      <c r="I422" s="700" t="s">
        <v>76</v>
      </c>
      <c r="J422" s="842"/>
      <c r="K422" s="842"/>
      <c r="L422" s="842"/>
      <c r="M422" s="842"/>
      <c r="N422" s="842"/>
      <c r="O422" s="842"/>
      <c r="P422" s="842"/>
      <c r="Q422" s="842"/>
      <c r="R422" s="842"/>
      <c r="S422" s="842"/>
      <c r="T422" s="842"/>
      <c r="U422" s="842"/>
      <c r="V422" s="842"/>
      <c r="W422" s="842"/>
    </row>
    <row r="423" spans="1:23" ht="12.75" customHeight="1" hidden="1">
      <c r="A423" s="844">
        <v>9</v>
      </c>
      <c r="B423" s="845" t="s">
        <v>782</v>
      </c>
      <c r="C423" s="846" t="s">
        <v>1060</v>
      </c>
      <c r="D423" s="847" t="s">
        <v>783</v>
      </c>
      <c r="E423" s="844" t="s">
        <v>581</v>
      </c>
      <c r="F423" s="848" t="s">
        <v>1105</v>
      </c>
      <c r="G423" s="848" t="s">
        <v>1094</v>
      </c>
      <c r="H423" s="700" t="s">
        <v>76</v>
      </c>
      <c r="I423" s="700" t="s">
        <v>76</v>
      </c>
      <c r="J423" s="842">
        <f>K423+N423</f>
        <v>242000</v>
      </c>
      <c r="K423" s="842">
        <f>L423+M423</f>
        <v>0</v>
      </c>
      <c r="L423" s="842">
        <v>0</v>
      </c>
      <c r="M423" s="842">
        <v>0</v>
      </c>
      <c r="N423" s="842">
        <f>O423+R423+U423</f>
        <v>242000</v>
      </c>
      <c r="O423" s="842">
        <f>P423+Q423</f>
        <v>242000</v>
      </c>
      <c r="P423" s="842">
        <v>239000</v>
      </c>
      <c r="Q423" s="842">
        <v>3000</v>
      </c>
      <c r="R423" s="842">
        <f>S423+T423</f>
        <v>0</v>
      </c>
      <c r="S423" s="842">
        <v>0</v>
      </c>
      <c r="T423" s="842">
        <v>0</v>
      </c>
      <c r="U423" s="842">
        <f>V423+W423</f>
        <v>0</v>
      </c>
      <c r="V423" s="842">
        <v>0</v>
      </c>
      <c r="W423" s="842">
        <v>0</v>
      </c>
    </row>
    <row r="424" spans="1:23" ht="12.75" customHeight="1" hidden="1">
      <c r="A424" s="844"/>
      <c r="B424" s="845"/>
      <c r="C424" s="846"/>
      <c r="D424" s="847"/>
      <c r="E424" s="844"/>
      <c r="F424" s="848"/>
      <c r="G424" s="848"/>
      <c r="H424" s="700" t="s">
        <v>76</v>
      </c>
      <c r="I424" s="700" t="s">
        <v>76</v>
      </c>
      <c r="J424" s="842"/>
      <c r="K424" s="842"/>
      <c r="L424" s="842"/>
      <c r="M424" s="842"/>
      <c r="N424" s="842"/>
      <c r="O424" s="842"/>
      <c r="P424" s="842"/>
      <c r="Q424" s="842"/>
      <c r="R424" s="842"/>
      <c r="S424" s="842"/>
      <c r="T424" s="842"/>
      <c r="U424" s="842"/>
      <c r="V424" s="842"/>
      <c r="W424" s="842"/>
    </row>
    <row r="425" spans="1:23" ht="12.75" customHeight="1" hidden="1">
      <c r="A425" s="844"/>
      <c r="B425" s="845"/>
      <c r="C425" s="846"/>
      <c r="D425" s="847"/>
      <c r="E425" s="844"/>
      <c r="F425" s="848"/>
      <c r="G425" s="848"/>
      <c r="H425" s="700" t="s">
        <v>76</v>
      </c>
      <c r="I425" s="700" t="s">
        <v>76</v>
      </c>
      <c r="J425" s="457">
        <f>K425+N425</f>
        <v>0</v>
      </c>
      <c r="K425" s="457">
        <f>L425+M425</f>
        <v>0</v>
      </c>
      <c r="L425" s="458">
        <v>0</v>
      </c>
      <c r="M425" s="458">
        <v>0</v>
      </c>
      <c r="N425" s="457">
        <f>O425+R425+U425</f>
        <v>0</v>
      </c>
      <c r="O425" s="457">
        <f>P425+Q425</f>
        <v>0</v>
      </c>
      <c r="P425" s="458">
        <v>0</v>
      </c>
      <c r="Q425" s="458">
        <v>0</v>
      </c>
      <c r="R425" s="457">
        <f>S425+T425</f>
        <v>0</v>
      </c>
      <c r="S425" s="458">
        <v>0</v>
      </c>
      <c r="T425" s="458">
        <v>0</v>
      </c>
      <c r="U425" s="457">
        <f>V425+W425</f>
        <v>0</v>
      </c>
      <c r="V425" s="458">
        <v>0</v>
      </c>
      <c r="W425" s="458">
        <v>0</v>
      </c>
    </row>
    <row r="426" spans="1:23" ht="12.75" customHeight="1" hidden="1">
      <c r="A426" s="844"/>
      <c r="B426" s="845"/>
      <c r="C426" s="846"/>
      <c r="D426" s="847"/>
      <c r="E426" s="844"/>
      <c r="F426" s="848"/>
      <c r="G426" s="848"/>
      <c r="H426" s="700" t="s">
        <v>76</v>
      </c>
      <c r="I426" s="700" t="s">
        <v>76</v>
      </c>
      <c r="J426" s="842">
        <f>J423+J425</f>
        <v>242000</v>
      </c>
      <c r="K426" s="842">
        <f aca="true" t="shared" si="85" ref="K426:W426">K423+K425</f>
        <v>0</v>
      </c>
      <c r="L426" s="842">
        <f t="shared" si="85"/>
        <v>0</v>
      </c>
      <c r="M426" s="842">
        <f t="shared" si="85"/>
        <v>0</v>
      </c>
      <c r="N426" s="842">
        <f t="shared" si="85"/>
        <v>242000</v>
      </c>
      <c r="O426" s="842">
        <f t="shared" si="85"/>
        <v>242000</v>
      </c>
      <c r="P426" s="842">
        <f t="shared" si="85"/>
        <v>239000</v>
      </c>
      <c r="Q426" s="842">
        <f t="shared" si="85"/>
        <v>3000</v>
      </c>
      <c r="R426" s="842">
        <f t="shared" si="85"/>
        <v>0</v>
      </c>
      <c r="S426" s="842">
        <f t="shared" si="85"/>
        <v>0</v>
      </c>
      <c r="T426" s="842">
        <f t="shared" si="85"/>
        <v>0</v>
      </c>
      <c r="U426" s="842">
        <f t="shared" si="85"/>
        <v>0</v>
      </c>
      <c r="V426" s="842">
        <f t="shared" si="85"/>
        <v>0</v>
      </c>
      <c r="W426" s="842">
        <f t="shared" si="85"/>
        <v>0</v>
      </c>
    </row>
    <row r="427" spans="1:23" ht="12.75" customHeight="1" hidden="1">
      <c r="A427" s="844"/>
      <c r="B427" s="845"/>
      <c r="C427" s="846"/>
      <c r="D427" s="847"/>
      <c r="E427" s="844"/>
      <c r="F427" s="848"/>
      <c r="G427" s="848"/>
      <c r="H427" s="700" t="s">
        <v>76</v>
      </c>
      <c r="I427" s="700" t="s">
        <v>76</v>
      </c>
      <c r="J427" s="842"/>
      <c r="K427" s="842"/>
      <c r="L427" s="842"/>
      <c r="M427" s="842"/>
      <c r="N427" s="842"/>
      <c r="O427" s="842"/>
      <c r="P427" s="842"/>
      <c r="Q427" s="842"/>
      <c r="R427" s="842"/>
      <c r="S427" s="842"/>
      <c r="T427" s="842"/>
      <c r="U427" s="842"/>
      <c r="V427" s="842"/>
      <c r="W427" s="842"/>
    </row>
    <row r="428" spans="1:23" ht="14.25" customHeight="1" hidden="1">
      <c r="A428" s="844">
        <v>10</v>
      </c>
      <c r="B428" s="845" t="s">
        <v>776</v>
      </c>
      <c r="C428" s="846" t="s">
        <v>1060</v>
      </c>
      <c r="D428" s="847" t="s">
        <v>777</v>
      </c>
      <c r="E428" s="844" t="s">
        <v>581</v>
      </c>
      <c r="F428" s="848" t="s">
        <v>1102</v>
      </c>
      <c r="G428" s="848" t="s">
        <v>1094</v>
      </c>
      <c r="H428" s="700" t="s">
        <v>76</v>
      </c>
      <c r="I428" s="700" t="s">
        <v>76</v>
      </c>
      <c r="J428" s="842">
        <f>K428+N428</f>
        <v>1007000</v>
      </c>
      <c r="K428" s="842">
        <f>L428+M428</f>
        <v>0</v>
      </c>
      <c r="L428" s="842">
        <v>0</v>
      </c>
      <c r="M428" s="842">
        <v>0</v>
      </c>
      <c r="N428" s="842">
        <f>O428+R428+U428</f>
        <v>1007000</v>
      </c>
      <c r="O428" s="842">
        <f>P428+Q428</f>
        <v>1007000</v>
      </c>
      <c r="P428" s="842">
        <v>920000</v>
      </c>
      <c r="Q428" s="842">
        <v>87000</v>
      </c>
      <c r="R428" s="842">
        <f>S428+T428</f>
        <v>0</v>
      </c>
      <c r="S428" s="842">
        <v>0</v>
      </c>
      <c r="T428" s="842">
        <v>0</v>
      </c>
      <c r="U428" s="842">
        <f>V428+W428</f>
        <v>0</v>
      </c>
      <c r="V428" s="842">
        <v>0</v>
      </c>
      <c r="W428" s="842">
        <v>0</v>
      </c>
    </row>
    <row r="429" spans="1:23" ht="14.25" customHeight="1" hidden="1">
      <c r="A429" s="844"/>
      <c r="B429" s="845"/>
      <c r="C429" s="846"/>
      <c r="D429" s="847"/>
      <c r="E429" s="844"/>
      <c r="F429" s="848"/>
      <c r="G429" s="848"/>
      <c r="H429" s="700" t="s">
        <v>76</v>
      </c>
      <c r="I429" s="700" t="s">
        <v>76</v>
      </c>
      <c r="J429" s="842"/>
      <c r="K429" s="842"/>
      <c r="L429" s="842"/>
      <c r="M429" s="842"/>
      <c r="N429" s="842"/>
      <c r="O429" s="842"/>
      <c r="P429" s="842"/>
      <c r="Q429" s="842"/>
      <c r="R429" s="842"/>
      <c r="S429" s="842"/>
      <c r="T429" s="842"/>
      <c r="U429" s="842"/>
      <c r="V429" s="842"/>
      <c r="W429" s="842"/>
    </row>
    <row r="430" spans="1:23" ht="14.25" customHeight="1" hidden="1">
      <c r="A430" s="844"/>
      <c r="B430" s="845"/>
      <c r="C430" s="846"/>
      <c r="D430" s="847"/>
      <c r="E430" s="844"/>
      <c r="F430" s="848"/>
      <c r="G430" s="848"/>
      <c r="H430" s="700" t="s">
        <v>76</v>
      </c>
      <c r="I430" s="700" t="s">
        <v>76</v>
      </c>
      <c r="J430" s="457">
        <f>K430+N430</f>
        <v>0</v>
      </c>
      <c r="K430" s="457">
        <f>L430+M430</f>
        <v>0</v>
      </c>
      <c r="L430" s="458">
        <v>0</v>
      </c>
      <c r="M430" s="458">
        <v>0</v>
      </c>
      <c r="N430" s="457">
        <f>O430+R430+U430</f>
        <v>0</v>
      </c>
      <c r="O430" s="457">
        <f>P430+Q430</f>
        <v>0</v>
      </c>
      <c r="P430" s="458">
        <v>0</v>
      </c>
      <c r="Q430" s="458">
        <v>0</v>
      </c>
      <c r="R430" s="457">
        <f>S430+T430</f>
        <v>0</v>
      </c>
      <c r="S430" s="458">
        <v>0</v>
      </c>
      <c r="T430" s="458">
        <v>0</v>
      </c>
      <c r="U430" s="457">
        <f>V430+W430</f>
        <v>0</v>
      </c>
      <c r="V430" s="458">
        <v>0</v>
      </c>
      <c r="W430" s="458">
        <v>0</v>
      </c>
    </row>
    <row r="431" spans="1:23" ht="14.25" customHeight="1" hidden="1">
      <c r="A431" s="844"/>
      <c r="B431" s="845"/>
      <c r="C431" s="846"/>
      <c r="D431" s="847"/>
      <c r="E431" s="844"/>
      <c r="F431" s="848"/>
      <c r="G431" s="848"/>
      <c r="H431" s="700" t="s">
        <v>76</v>
      </c>
      <c r="I431" s="700" t="s">
        <v>76</v>
      </c>
      <c r="J431" s="842">
        <f>J428+J430</f>
        <v>1007000</v>
      </c>
      <c r="K431" s="842">
        <f aca="true" t="shared" si="86" ref="K431:W431">K428+K430</f>
        <v>0</v>
      </c>
      <c r="L431" s="842">
        <f t="shared" si="86"/>
        <v>0</v>
      </c>
      <c r="M431" s="842">
        <f t="shared" si="86"/>
        <v>0</v>
      </c>
      <c r="N431" s="842">
        <f t="shared" si="86"/>
        <v>1007000</v>
      </c>
      <c r="O431" s="842">
        <f t="shared" si="86"/>
        <v>1007000</v>
      </c>
      <c r="P431" s="842">
        <f t="shared" si="86"/>
        <v>920000</v>
      </c>
      <c r="Q431" s="842">
        <f t="shared" si="86"/>
        <v>87000</v>
      </c>
      <c r="R431" s="842">
        <f t="shared" si="86"/>
        <v>0</v>
      </c>
      <c r="S431" s="842">
        <f t="shared" si="86"/>
        <v>0</v>
      </c>
      <c r="T431" s="842">
        <f t="shared" si="86"/>
        <v>0</v>
      </c>
      <c r="U431" s="842">
        <f t="shared" si="86"/>
        <v>0</v>
      </c>
      <c r="V431" s="842">
        <f t="shared" si="86"/>
        <v>0</v>
      </c>
      <c r="W431" s="842">
        <f t="shared" si="86"/>
        <v>0</v>
      </c>
    </row>
    <row r="432" spans="1:23" ht="14.25" customHeight="1" hidden="1">
      <c r="A432" s="844"/>
      <c r="B432" s="845"/>
      <c r="C432" s="846"/>
      <c r="D432" s="847"/>
      <c r="E432" s="844"/>
      <c r="F432" s="848"/>
      <c r="G432" s="848"/>
      <c r="H432" s="700" t="s">
        <v>76</v>
      </c>
      <c r="I432" s="700" t="s">
        <v>76</v>
      </c>
      <c r="J432" s="842"/>
      <c r="K432" s="842"/>
      <c r="L432" s="842"/>
      <c r="M432" s="842"/>
      <c r="N432" s="842"/>
      <c r="O432" s="842"/>
      <c r="P432" s="842"/>
      <c r="Q432" s="842"/>
      <c r="R432" s="842"/>
      <c r="S432" s="842"/>
      <c r="T432" s="842"/>
      <c r="U432" s="842"/>
      <c r="V432" s="842"/>
      <c r="W432" s="842"/>
    </row>
    <row r="433" spans="1:23" ht="14.25" customHeight="1">
      <c r="A433" s="844">
        <v>4</v>
      </c>
      <c r="B433" s="845" t="s">
        <v>791</v>
      </c>
      <c r="C433" s="846" t="s">
        <v>1060</v>
      </c>
      <c r="D433" s="847" t="s">
        <v>792</v>
      </c>
      <c r="E433" s="844" t="s">
        <v>581</v>
      </c>
      <c r="F433" s="848" t="s">
        <v>1106</v>
      </c>
      <c r="G433" s="848" t="s">
        <v>1094</v>
      </c>
      <c r="H433" s="700" t="s">
        <v>76</v>
      </c>
      <c r="I433" s="700" t="s">
        <v>76</v>
      </c>
      <c r="J433" s="842">
        <f>K433+N433</f>
        <v>6355000</v>
      </c>
      <c r="K433" s="842">
        <f>L433+M433</f>
        <v>0</v>
      </c>
      <c r="L433" s="842">
        <v>0</v>
      </c>
      <c r="M433" s="842">
        <v>0</v>
      </c>
      <c r="N433" s="842">
        <f>O433+R433+U433</f>
        <v>6355000</v>
      </c>
      <c r="O433" s="842">
        <f>P433+Q433</f>
        <v>6355000</v>
      </c>
      <c r="P433" s="842">
        <v>6160000</v>
      </c>
      <c r="Q433" s="842">
        <v>195000</v>
      </c>
      <c r="R433" s="842">
        <f>S433+T433</f>
        <v>0</v>
      </c>
      <c r="S433" s="842">
        <v>0</v>
      </c>
      <c r="T433" s="842">
        <v>0</v>
      </c>
      <c r="U433" s="842">
        <f>V433+W433</f>
        <v>0</v>
      </c>
      <c r="V433" s="842">
        <v>0</v>
      </c>
      <c r="W433" s="842">
        <v>0</v>
      </c>
    </row>
    <row r="434" spans="1:23" ht="14.25" customHeight="1">
      <c r="A434" s="844"/>
      <c r="B434" s="845"/>
      <c r="C434" s="846"/>
      <c r="D434" s="847"/>
      <c r="E434" s="844"/>
      <c r="F434" s="848"/>
      <c r="G434" s="848"/>
      <c r="H434" s="700" t="s">
        <v>76</v>
      </c>
      <c r="I434" s="700" t="s">
        <v>76</v>
      </c>
      <c r="J434" s="842"/>
      <c r="K434" s="842"/>
      <c r="L434" s="842"/>
      <c r="M434" s="842"/>
      <c r="N434" s="842"/>
      <c r="O434" s="842"/>
      <c r="P434" s="842"/>
      <c r="Q434" s="842"/>
      <c r="R434" s="842"/>
      <c r="S434" s="842"/>
      <c r="T434" s="842"/>
      <c r="U434" s="842"/>
      <c r="V434" s="842"/>
      <c r="W434" s="842"/>
    </row>
    <row r="435" spans="1:23" ht="14.25" customHeight="1">
      <c r="A435" s="844"/>
      <c r="B435" s="845"/>
      <c r="C435" s="846"/>
      <c r="D435" s="847"/>
      <c r="E435" s="844"/>
      <c r="F435" s="848"/>
      <c r="G435" s="848"/>
      <c r="H435" s="700" t="s">
        <v>76</v>
      </c>
      <c r="I435" s="700" t="s">
        <v>76</v>
      </c>
      <c r="J435" s="457">
        <f>K435+N435</f>
        <v>-314959</v>
      </c>
      <c r="K435" s="457">
        <f>L435+M435</f>
        <v>0</v>
      </c>
      <c r="L435" s="458">
        <v>0</v>
      </c>
      <c r="M435" s="458">
        <v>0</v>
      </c>
      <c r="N435" s="457">
        <f>O435+R435+U435</f>
        <v>-314959</v>
      </c>
      <c r="O435" s="457">
        <f>P435+Q435</f>
        <v>-314959</v>
      </c>
      <c r="P435" s="458">
        <v>-314959</v>
      </c>
      <c r="Q435" s="458">
        <v>0</v>
      </c>
      <c r="R435" s="457">
        <f>S435+T435</f>
        <v>0</v>
      </c>
      <c r="S435" s="458">
        <v>0</v>
      </c>
      <c r="T435" s="458">
        <v>0</v>
      </c>
      <c r="U435" s="457">
        <f>V435+W435</f>
        <v>0</v>
      </c>
      <c r="V435" s="458">
        <v>0</v>
      </c>
      <c r="W435" s="458">
        <v>0</v>
      </c>
    </row>
    <row r="436" spans="1:23" ht="14.25" customHeight="1">
      <c r="A436" s="844"/>
      <c r="B436" s="845"/>
      <c r="C436" s="846"/>
      <c r="D436" s="847"/>
      <c r="E436" s="844"/>
      <c r="F436" s="848"/>
      <c r="G436" s="848"/>
      <c r="H436" s="700" t="s">
        <v>76</v>
      </c>
      <c r="I436" s="700" t="s">
        <v>76</v>
      </c>
      <c r="J436" s="842">
        <f>J433+J435</f>
        <v>6040041</v>
      </c>
      <c r="K436" s="842">
        <f aca="true" t="shared" si="87" ref="K436:W436">K433+K435</f>
        <v>0</v>
      </c>
      <c r="L436" s="842">
        <f t="shared" si="87"/>
        <v>0</v>
      </c>
      <c r="M436" s="842">
        <f t="shared" si="87"/>
        <v>0</v>
      </c>
      <c r="N436" s="842">
        <f t="shared" si="87"/>
        <v>6040041</v>
      </c>
      <c r="O436" s="842">
        <f t="shared" si="87"/>
        <v>6040041</v>
      </c>
      <c r="P436" s="842">
        <f t="shared" si="87"/>
        <v>5845041</v>
      </c>
      <c r="Q436" s="842">
        <f t="shared" si="87"/>
        <v>195000</v>
      </c>
      <c r="R436" s="842">
        <f t="shared" si="87"/>
        <v>0</v>
      </c>
      <c r="S436" s="842">
        <f t="shared" si="87"/>
        <v>0</v>
      </c>
      <c r="T436" s="842">
        <f t="shared" si="87"/>
        <v>0</v>
      </c>
      <c r="U436" s="842">
        <f t="shared" si="87"/>
        <v>0</v>
      </c>
      <c r="V436" s="842">
        <f t="shared" si="87"/>
        <v>0</v>
      </c>
      <c r="W436" s="842">
        <f t="shared" si="87"/>
        <v>0</v>
      </c>
    </row>
    <row r="437" spans="1:23" ht="14.25" customHeight="1">
      <c r="A437" s="844"/>
      <c r="B437" s="845"/>
      <c r="C437" s="846"/>
      <c r="D437" s="847"/>
      <c r="E437" s="844"/>
      <c r="F437" s="848"/>
      <c r="G437" s="848"/>
      <c r="H437" s="700" t="s">
        <v>76</v>
      </c>
      <c r="I437" s="700" t="s">
        <v>76</v>
      </c>
      <c r="J437" s="842"/>
      <c r="K437" s="842"/>
      <c r="L437" s="842"/>
      <c r="M437" s="842"/>
      <c r="N437" s="842"/>
      <c r="O437" s="842"/>
      <c r="P437" s="842"/>
      <c r="Q437" s="842"/>
      <c r="R437" s="842"/>
      <c r="S437" s="842"/>
      <c r="T437" s="842"/>
      <c r="U437" s="842"/>
      <c r="V437" s="842"/>
      <c r="W437" s="842"/>
    </row>
    <row r="438" spans="1:23" ht="15" customHeight="1" hidden="1">
      <c r="A438" s="844">
        <v>12</v>
      </c>
      <c r="B438" s="845" t="s">
        <v>779</v>
      </c>
      <c r="C438" s="846" t="s">
        <v>1063</v>
      </c>
      <c r="D438" s="847" t="s">
        <v>780</v>
      </c>
      <c r="E438" s="844" t="s">
        <v>581</v>
      </c>
      <c r="F438" s="848" t="s">
        <v>1107</v>
      </c>
      <c r="G438" s="848" t="s">
        <v>1094</v>
      </c>
      <c r="H438" s="700" t="s">
        <v>76</v>
      </c>
      <c r="I438" s="700" t="s">
        <v>76</v>
      </c>
      <c r="J438" s="842">
        <f>K438+N438</f>
        <v>2030000</v>
      </c>
      <c r="K438" s="842">
        <f>L438+M438</f>
        <v>0</v>
      </c>
      <c r="L438" s="842">
        <v>0</v>
      </c>
      <c r="M438" s="842">
        <v>0</v>
      </c>
      <c r="N438" s="842">
        <f>O438+R438+U438</f>
        <v>2030000</v>
      </c>
      <c r="O438" s="842">
        <f>P438+Q438</f>
        <v>2030000</v>
      </c>
      <c r="P438" s="842">
        <v>1950000</v>
      </c>
      <c r="Q438" s="842">
        <v>80000</v>
      </c>
      <c r="R438" s="842">
        <f>S438+T438</f>
        <v>0</v>
      </c>
      <c r="S438" s="842">
        <v>0</v>
      </c>
      <c r="T438" s="842">
        <v>0</v>
      </c>
      <c r="U438" s="842">
        <f>V438+W438</f>
        <v>0</v>
      </c>
      <c r="V438" s="842">
        <v>0</v>
      </c>
      <c r="W438" s="842">
        <v>0</v>
      </c>
    </row>
    <row r="439" spans="1:23" ht="15" customHeight="1" hidden="1">
      <c r="A439" s="844"/>
      <c r="B439" s="845"/>
      <c r="C439" s="846"/>
      <c r="D439" s="847"/>
      <c r="E439" s="844"/>
      <c r="F439" s="848"/>
      <c r="G439" s="848"/>
      <c r="H439" s="700" t="s">
        <v>76</v>
      </c>
      <c r="I439" s="700" t="s">
        <v>76</v>
      </c>
      <c r="J439" s="842"/>
      <c r="K439" s="842"/>
      <c r="L439" s="842"/>
      <c r="M439" s="842"/>
      <c r="N439" s="842"/>
      <c r="O439" s="842"/>
      <c r="P439" s="842"/>
      <c r="Q439" s="842"/>
      <c r="R439" s="842"/>
      <c r="S439" s="842"/>
      <c r="T439" s="842"/>
      <c r="U439" s="842"/>
      <c r="V439" s="842"/>
      <c r="W439" s="842"/>
    </row>
    <row r="440" spans="1:23" ht="15" customHeight="1" hidden="1">
      <c r="A440" s="844"/>
      <c r="B440" s="845"/>
      <c r="C440" s="846"/>
      <c r="D440" s="847"/>
      <c r="E440" s="844"/>
      <c r="F440" s="848"/>
      <c r="G440" s="848"/>
      <c r="H440" s="700" t="s">
        <v>76</v>
      </c>
      <c r="I440" s="700" t="s">
        <v>76</v>
      </c>
      <c r="J440" s="457">
        <f>K440+N440</f>
        <v>0</v>
      </c>
      <c r="K440" s="457">
        <f>L440+M440</f>
        <v>0</v>
      </c>
      <c r="L440" s="458">
        <v>0</v>
      </c>
      <c r="M440" s="458">
        <v>0</v>
      </c>
      <c r="N440" s="457">
        <f>O440+R440+U440</f>
        <v>0</v>
      </c>
      <c r="O440" s="457">
        <f>P440+Q440</f>
        <v>0</v>
      </c>
      <c r="P440" s="458">
        <v>0</v>
      </c>
      <c r="Q440" s="458">
        <v>0</v>
      </c>
      <c r="R440" s="457">
        <f>S440+T440</f>
        <v>0</v>
      </c>
      <c r="S440" s="458">
        <v>0</v>
      </c>
      <c r="T440" s="458">
        <v>0</v>
      </c>
      <c r="U440" s="457">
        <f>V440+W440</f>
        <v>0</v>
      </c>
      <c r="V440" s="458">
        <v>0</v>
      </c>
      <c r="W440" s="458">
        <v>0</v>
      </c>
    </row>
    <row r="441" spans="1:23" ht="15" customHeight="1" hidden="1">
      <c r="A441" s="844"/>
      <c r="B441" s="845"/>
      <c r="C441" s="846"/>
      <c r="D441" s="847"/>
      <c r="E441" s="844"/>
      <c r="F441" s="848"/>
      <c r="G441" s="848"/>
      <c r="H441" s="700" t="s">
        <v>76</v>
      </c>
      <c r="I441" s="700" t="s">
        <v>76</v>
      </c>
      <c r="J441" s="842">
        <f>J438+J440</f>
        <v>2030000</v>
      </c>
      <c r="K441" s="842">
        <f aca="true" t="shared" si="88" ref="K441:W441">K438+K440</f>
        <v>0</v>
      </c>
      <c r="L441" s="842">
        <f t="shared" si="88"/>
        <v>0</v>
      </c>
      <c r="M441" s="842">
        <f t="shared" si="88"/>
        <v>0</v>
      </c>
      <c r="N441" s="842">
        <f t="shared" si="88"/>
        <v>2030000</v>
      </c>
      <c r="O441" s="842">
        <f t="shared" si="88"/>
        <v>2030000</v>
      </c>
      <c r="P441" s="842">
        <f t="shared" si="88"/>
        <v>1950000</v>
      </c>
      <c r="Q441" s="842">
        <f t="shared" si="88"/>
        <v>80000</v>
      </c>
      <c r="R441" s="842">
        <f t="shared" si="88"/>
        <v>0</v>
      </c>
      <c r="S441" s="842">
        <f t="shared" si="88"/>
        <v>0</v>
      </c>
      <c r="T441" s="842">
        <f t="shared" si="88"/>
        <v>0</v>
      </c>
      <c r="U441" s="842">
        <f t="shared" si="88"/>
        <v>0</v>
      </c>
      <c r="V441" s="842">
        <f t="shared" si="88"/>
        <v>0</v>
      </c>
      <c r="W441" s="842">
        <f t="shared" si="88"/>
        <v>0</v>
      </c>
    </row>
    <row r="442" spans="1:23" ht="15" customHeight="1" hidden="1">
      <c r="A442" s="844"/>
      <c r="B442" s="845"/>
      <c r="C442" s="846"/>
      <c r="D442" s="847"/>
      <c r="E442" s="844"/>
      <c r="F442" s="848"/>
      <c r="G442" s="848"/>
      <c r="H442" s="700" t="s">
        <v>76</v>
      </c>
      <c r="I442" s="700" t="s">
        <v>76</v>
      </c>
      <c r="J442" s="842"/>
      <c r="K442" s="842"/>
      <c r="L442" s="842"/>
      <c r="M442" s="842"/>
      <c r="N442" s="842"/>
      <c r="O442" s="842"/>
      <c r="P442" s="842"/>
      <c r="Q442" s="842"/>
      <c r="R442" s="842"/>
      <c r="S442" s="842"/>
      <c r="T442" s="842"/>
      <c r="U442" s="842"/>
      <c r="V442" s="842"/>
      <c r="W442" s="842"/>
    </row>
    <row r="443" spans="1:23" ht="16.5" customHeight="1" hidden="1">
      <c r="A443" s="844">
        <v>13</v>
      </c>
      <c r="B443" s="845" t="s">
        <v>757</v>
      </c>
      <c r="C443" s="846" t="s">
        <v>1068</v>
      </c>
      <c r="D443" s="847" t="s">
        <v>758</v>
      </c>
      <c r="E443" s="844" t="s">
        <v>581</v>
      </c>
      <c r="F443" s="848" t="s">
        <v>1108</v>
      </c>
      <c r="G443" s="848" t="s">
        <v>1094</v>
      </c>
      <c r="H443" s="700" t="s">
        <v>76</v>
      </c>
      <c r="I443" s="700" t="s">
        <v>76</v>
      </c>
      <c r="J443" s="842">
        <f>K443+N443</f>
        <v>482386</v>
      </c>
      <c r="K443" s="842">
        <f>L443+M443</f>
        <v>0</v>
      </c>
      <c r="L443" s="842">
        <v>0</v>
      </c>
      <c r="M443" s="842">
        <v>0</v>
      </c>
      <c r="N443" s="842">
        <f>O443+R443+U443</f>
        <v>482386</v>
      </c>
      <c r="O443" s="842">
        <f>P443+Q443</f>
        <v>482386</v>
      </c>
      <c r="P443" s="842">
        <v>482386</v>
      </c>
      <c r="Q443" s="842">
        <v>0</v>
      </c>
      <c r="R443" s="842">
        <f>S443+T443</f>
        <v>0</v>
      </c>
      <c r="S443" s="842">
        <v>0</v>
      </c>
      <c r="T443" s="842">
        <v>0</v>
      </c>
      <c r="U443" s="842">
        <f>V443+W443</f>
        <v>0</v>
      </c>
      <c r="V443" s="842">
        <v>0</v>
      </c>
      <c r="W443" s="842">
        <v>0</v>
      </c>
    </row>
    <row r="444" spans="1:23" ht="16.5" customHeight="1" hidden="1">
      <c r="A444" s="844"/>
      <c r="B444" s="845"/>
      <c r="C444" s="846"/>
      <c r="D444" s="847"/>
      <c r="E444" s="844"/>
      <c r="F444" s="848"/>
      <c r="G444" s="848"/>
      <c r="H444" s="700" t="s">
        <v>76</v>
      </c>
      <c r="I444" s="700" t="s">
        <v>76</v>
      </c>
      <c r="J444" s="842"/>
      <c r="K444" s="842"/>
      <c r="L444" s="842"/>
      <c r="M444" s="842"/>
      <c r="N444" s="842"/>
      <c r="O444" s="842"/>
      <c r="P444" s="842"/>
      <c r="Q444" s="842"/>
      <c r="R444" s="842"/>
      <c r="S444" s="842"/>
      <c r="T444" s="842"/>
      <c r="U444" s="842"/>
      <c r="V444" s="842"/>
      <c r="W444" s="842"/>
    </row>
    <row r="445" spans="1:23" ht="16.5" customHeight="1" hidden="1">
      <c r="A445" s="844"/>
      <c r="B445" s="845"/>
      <c r="C445" s="846"/>
      <c r="D445" s="847"/>
      <c r="E445" s="844"/>
      <c r="F445" s="848"/>
      <c r="G445" s="848"/>
      <c r="H445" s="700" t="s">
        <v>76</v>
      </c>
      <c r="I445" s="700" t="s">
        <v>76</v>
      </c>
      <c r="J445" s="457">
        <f>K445+N445</f>
        <v>0</v>
      </c>
      <c r="K445" s="457">
        <f>L445+M445</f>
        <v>0</v>
      </c>
      <c r="L445" s="458">
        <v>0</v>
      </c>
      <c r="M445" s="458">
        <v>0</v>
      </c>
      <c r="N445" s="457">
        <f>O445+R445+U445</f>
        <v>0</v>
      </c>
      <c r="O445" s="457">
        <f>P445+Q445</f>
        <v>0</v>
      </c>
      <c r="P445" s="458">
        <v>0</v>
      </c>
      <c r="Q445" s="458">
        <v>0</v>
      </c>
      <c r="R445" s="457">
        <f>S445+T445</f>
        <v>0</v>
      </c>
      <c r="S445" s="458">
        <v>0</v>
      </c>
      <c r="T445" s="458">
        <v>0</v>
      </c>
      <c r="U445" s="457">
        <f>V445+W445</f>
        <v>0</v>
      </c>
      <c r="V445" s="458">
        <v>0</v>
      </c>
      <c r="W445" s="458">
        <v>0</v>
      </c>
    </row>
    <row r="446" spans="1:23" ht="16.5" customHeight="1" hidden="1">
      <c r="A446" s="844"/>
      <c r="B446" s="845"/>
      <c r="C446" s="846"/>
      <c r="D446" s="847"/>
      <c r="E446" s="844"/>
      <c r="F446" s="848"/>
      <c r="G446" s="848"/>
      <c r="H446" s="700" t="s">
        <v>76</v>
      </c>
      <c r="I446" s="700" t="s">
        <v>76</v>
      </c>
      <c r="J446" s="842">
        <f>J443+J445</f>
        <v>482386</v>
      </c>
      <c r="K446" s="842">
        <f aca="true" t="shared" si="89" ref="K446:W446">K443+K445</f>
        <v>0</v>
      </c>
      <c r="L446" s="842">
        <f t="shared" si="89"/>
        <v>0</v>
      </c>
      <c r="M446" s="842">
        <f t="shared" si="89"/>
        <v>0</v>
      </c>
      <c r="N446" s="842">
        <f t="shared" si="89"/>
        <v>482386</v>
      </c>
      <c r="O446" s="842">
        <f t="shared" si="89"/>
        <v>482386</v>
      </c>
      <c r="P446" s="842">
        <f t="shared" si="89"/>
        <v>482386</v>
      </c>
      <c r="Q446" s="842">
        <f t="shared" si="89"/>
        <v>0</v>
      </c>
      <c r="R446" s="842">
        <f t="shared" si="89"/>
        <v>0</v>
      </c>
      <c r="S446" s="842">
        <f t="shared" si="89"/>
        <v>0</v>
      </c>
      <c r="T446" s="842">
        <f t="shared" si="89"/>
        <v>0</v>
      </c>
      <c r="U446" s="842">
        <f t="shared" si="89"/>
        <v>0</v>
      </c>
      <c r="V446" s="842">
        <f t="shared" si="89"/>
        <v>0</v>
      </c>
      <c r="W446" s="842">
        <f t="shared" si="89"/>
        <v>0</v>
      </c>
    </row>
    <row r="447" spans="1:23" ht="16.5" customHeight="1" hidden="1">
      <c r="A447" s="844"/>
      <c r="B447" s="845"/>
      <c r="C447" s="846"/>
      <c r="D447" s="847"/>
      <c r="E447" s="844"/>
      <c r="F447" s="848"/>
      <c r="G447" s="848"/>
      <c r="H447" s="700" t="s">
        <v>76</v>
      </c>
      <c r="I447" s="700" t="s">
        <v>76</v>
      </c>
      <c r="J447" s="842"/>
      <c r="K447" s="842"/>
      <c r="L447" s="842"/>
      <c r="M447" s="842"/>
      <c r="N447" s="842"/>
      <c r="O447" s="842"/>
      <c r="P447" s="842"/>
      <c r="Q447" s="842"/>
      <c r="R447" s="842"/>
      <c r="S447" s="842"/>
      <c r="T447" s="842"/>
      <c r="U447" s="842"/>
      <c r="V447" s="842"/>
      <c r="W447" s="842"/>
    </row>
    <row r="448" spans="1:23" ht="16.5" customHeight="1" hidden="1">
      <c r="A448" s="844">
        <v>14</v>
      </c>
      <c r="B448" s="845" t="s">
        <v>759</v>
      </c>
      <c r="C448" s="846" t="s">
        <v>1071</v>
      </c>
      <c r="D448" s="847" t="s">
        <v>760</v>
      </c>
      <c r="E448" s="844" t="s">
        <v>581</v>
      </c>
      <c r="F448" s="848" t="s">
        <v>1108</v>
      </c>
      <c r="G448" s="848" t="s">
        <v>1094</v>
      </c>
      <c r="H448" s="700" t="s">
        <v>76</v>
      </c>
      <c r="I448" s="700" t="s">
        <v>76</v>
      </c>
      <c r="J448" s="842">
        <f>K448+N448</f>
        <v>495000</v>
      </c>
      <c r="K448" s="842">
        <f>L448+M448</f>
        <v>0</v>
      </c>
      <c r="L448" s="842">
        <v>0</v>
      </c>
      <c r="M448" s="842">
        <v>0</v>
      </c>
      <c r="N448" s="842">
        <f>O448+R448+U448</f>
        <v>495000</v>
      </c>
      <c r="O448" s="842">
        <f>P448+Q448</f>
        <v>495000</v>
      </c>
      <c r="P448" s="842">
        <v>495000</v>
      </c>
      <c r="Q448" s="842">
        <v>0</v>
      </c>
      <c r="R448" s="842">
        <f>S448+T448</f>
        <v>0</v>
      </c>
      <c r="S448" s="842">
        <v>0</v>
      </c>
      <c r="T448" s="842">
        <v>0</v>
      </c>
      <c r="U448" s="842">
        <f>V448+W448</f>
        <v>0</v>
      </c>
      <c r="V448" s="842">
        <v>0</v>
      </c>
      <c r="W448" s="842">
        <v>0</v>
      </c>
    </row>
    <row r="449" spans="1:23" ht="16.5" customHeight="1" hidden="1">
      <c r="A449" s="844"/>
      <c r="B449" s="845"/>
      <c r="C449" s="846"/>
      <c r="D449" s="847"/>
      <c r="E449" s="844"/>
      <c r="F449" s="848"/>
      <c r="G449" s="848"/>
      <c r="H449" s="700" t="s">
        <v>76</v>
      </c>
      <c r="I449" s="700" t="s">
        <v>76</v>
      </c>
      <c r="J449" s="842"/>
      <c r="K449" s="842"/>
      <c r="L449" s="842"/>
      <c r="M449" s="842"/>
      <c r="N449" s="842"/>
      <c r="O449" s="842"/>
      <c r="P449" s="842"/>
      <c r="Q449" s="842"/>
      <c r="R449" s="842"/>
      <c r="S449" s="842"/>
      <c r="T449" s="842"/>
      <c r="U449" s="842"/>
      <c r="V449" s="842"/>
      <c r="W449" s="842"/>
    </row>
    <row r="450" spans="1:23" ht="16.5" customHeight="1" hidden="1">
      <c r="A450" s="844"/>
      <c r="B450" s="845"/>
      <c r="C450" s="846"/>
      <c r="D450" s="847"/>
      <c r="E450" s="844"/>
      <c r="F450" s="848"/>
      <c r="G450" s="848"/>
      <c r="H450" s="700" t="s">
        <v>76</v>
      </c>
      <c r="I450" s="700" t="s">
        <v>76</v>
      </c>
      <c r="J450" s="457">
        <f>K450+N450</f>
        <v>0</v>
      </c>
      <c r="K450" s="457">
        <f>L450+M450</f>
        <v>0</v>
      </c>
      <c r="L450" s="458">
        <v>0</v>
      </c>
      <c r="M450" s="458">
        <v>0</v>
      </c>
      <c r="N450" s="457">
        <f>O450+R450+U450</f>
        <v>0</v>
      </c>
      <c r="O450" s="457">
        <f>P450+Q450</f>
        <v>0</v>
      </c>
      <c r="P450" s="458">
        <v>0</v>
      </c>
      <c r="Q450" s="458">
        <v>0</v>
      </c>
      <c r="R450" s="457">
        <f>S450+T450</f>
        <v>0</v>
      </c>
      <c r="S450" s="458">
        <v>0</v>
      </c>
      <c r="T450" s="458">
        <v>0</v>
      </c>
      <c r="U450" s="457">
        <f>V450+W450</f>
        <v>0</v>
      </c>
      <c r="V450" s="458">
        <v>0</v>
      </c>
      <c r="W450" s="458">
        <v>0</v>
      </c>
    </row>
    <row r="451" spans="1:23" ht="16.5" customHeight="1" hidden="1">
      <c r="A451" s="844"/>
      <c r="B451" s="845"/>
      <c r="C451" s="846"/>
      <c r="D451" s="847"/>
      <c r="E451" s="844"/>
      <c r="F451" s="848"/>
      <c r="G451" s="848"/>
      <c r="H451" s="700" t="s">
        <v>76</v>
      </c>
      <c r="I451" s="700" t="s">
        <v>76</v>
      </c>
      <c r="J451" s="842">
        <f>J448+J450</f>
        <v>495000</v>
      </c>
      <c r="K451" s="842">
        <f aca="true" t="shared" si="90" ref="K451:W451">K448+K450</f>
        <v>0</v>
      </c>
      <c r="L451" s="842">
        <f t="shared" si="90"/>
        <v>0</v>
      </c>
      <c r="M451" s="842">
        <f t="shared" si="90"/>
        <v>0</v>
      </c>
      <c r="N451" s="842">
        <f t="shared" si="90"/>
        <v>495000</v>
      </c>
      <c r="O451" s="842">
        <f t="shared" si="90"/>
        <v>495000</v>
      </c>
      <c r="P451" s="842">
        <f t="shared" si="90"/>
        <v>495000</v>
      </c>
      <c r="Q451" s="842">
        <f t="shared" si="90"/>
        <v>0</v>
      </c>
      <c r="R451" s="842">
        <f t="shared" si="90"/>
        <v>0</v>
      </c>
      <c r="S451" s="842">
        <f t="shared" si="90"/>
        <v>0</v>
      </c>
      <c r="T451" s="842">
        <f t="shared" si="90"/>
        <v>0</v>
      </c>
      <c r="U451" s="842">
        <f t="shared" si="90"/>
        <v>0</v>
      </c>
      <c r="V451" s="842">
        <f t="shared" si="90"/>
        <v>0</v>
      </c>
      <c r="W451" s="842">
        <f t="shared" si="90"/>
        <v>0</v>
      </c>
    </row>
    <row r="452" spans="1:23" ht="16.5" customHeight="1" hidden="1">
      <c r="A452" s="844"/>
      <c r="B452" s="845"/>
      <c r="C452" s="846"/>
      <c r="D452" s="847"/>
      <c r="E452" s="844"/>
      <c r="F452" s="848"/>
      <c r="G452" s="848"/>
      <c r="H452" s="700" t="s">
        <v>76</v>
      </c>
      <c r="I452" s="700" t="s">
        <v>76</v>
      </c>
      <c r="J452" s="842"/>
      <c r="K452" s="842"/>
      <c r="L452" s="842"/>
      <c r="M452" s="842"/>
      <c r="N452" s="842"/>
      <c r="O452" s="842"/>
      <c r="P452" s="842"/>
      <c r="Q452" s="842"/>
      <c r="R452" s="842"/>
      <c r="S452" s="842"/>
      <c r="T452" s="842"/>
      <c r="U452" s="842"/>
      <c r="V452" s="842"/>
      <c r="W452" s="842"/>
    </row>
    <row r="453" spans="1:23" ht="15" customHeight="1">
      <c r="A453" s="844">
        <v>5</v>
      </c>
      <c r="B453" s="845" t="s">
        <v>761</v>
      </c>
      <c r="C453" s="846" t="s">
        <v>1068</v>
      </c>
      <c r="D453" s="847" t="s">
        <v>763</v>
      </c>
      <c r="E453" s="844" t="s">
        <v>581</v>
      </c>
      <c r="F453" s="848" t="s">
        <v>1108</v>
      </c>
      <c r="G453" s="848" t="s">
        <v>1094</v>
      </c>
      <c r="H453" s="700" t="s">
        <v>76</v>
      </c>
      <c r="I453" s="700" t="s">
        <v>76</v>
      </c>
      <c r="J453" s="842">
        <f>K453+N453</f>
        <v>3845000</v>
      </c>
      <c r="K453" s="842">
        <f>L453+M453</f>
        <v>0</v>
      </c>
      <c r="L453" s="842">
        <v>0</v>
      </c>
      <c r="M453" s="842">
        <v>0</v>
      </c>
      <c r="N453" s="842">
        <f>O453+R453+U453</f>
        <v>3845000</v>
      </c>
      <c r="O453" s="842">
        <f>P453+Q453</f>
        <v>3845000</v>
      </c>
      <c r="P453" s="842">
        <v>3780000</v>
      </c>
      <c r="Q453" s="842">
        <v>65000</v>
      </c>
      <c r="R453" s="842">
        <f>S453+T453</f>
        <v>0</v>
      </c>
      <c r="S453" s="842">
        <v>0</v>
      </c>
      <c r="T453" s="842">
        <v>0</v>
      </c>
      <c r="U453" s="842">
        <f>V453+W453</f>
        <v>0</v>
      </c>
      <c r="V453" s="842">
        <v>0</v>
      </c>
      <c r="W453" s="842">
        <v>0</v>
      </c>
    </row>
    <row r="454" spans="1:23" ht="15" customHeight="1">
      <c r="A454" s="844"/>
      <c r="B454" s="845"/>
      <c r="C454" s="846"/>
      <c r="D454" s="847"/>
      <c r="E454" s="844"/>
      <c r="F454" s="848"/>
      <c r="G454" s="848"/>
      <c r="H454" s="700" t="s">
        <v>76</v>
      </c>
      <c r="I454" s="700" t="s">
        <v>76</v>
      </c>
      <c r="J454" s="842"/>
      <c r="K454" s="842"/>
      <c r="L454" s="842"/>
      <c r="M454" s="842"/>
      <c r="N454" s="842"/>
      <c r="O454" s="842"/>
      <c r="P454" s="842"/>
      <c r="Q454" s="842"/>
      <c r="R454" s="842"/>
      <c r="S454" s="842"/>
      <c r="T454" s="842"/>
      <c r="U454" s="842"/>
      <c r="V454" s="842"/>
      <c r="W454" s="842"/>
    </row>
    <row r="455" spans="1:23" ht="15" customHeight="1">
      <c r="A455" s="844"/>
      <c r="B455" s="845"/>
      <c r="C455" s="846"/>
      <c r="D455" s="847"/>
      <c r="E455" s="844"/>
      <c r="F455" s="848"/>
      <c r="G455" s="848"/>
      <c r="H455" s="700" t="s">
        <v>76</v>
      </c>
      <c r="I455" s="700" t="s">
        <v>76</v>
      </c>
      <c r="J455" s="457">
        <f>K455+N455</f>
        <v>-200000</v>
      </c>
      <c r="K455" s="457">
        <f>L455+M455</f>
        <v>0</v>
      </c>
      <c r="L455" s="458">
        <v>0</v>
      </c>
      <c r="M455" s="458">
        <v>0</v>
      </c>
      <c r="N455" s="457">
        <f>O455+R455+U455</f>
        <v>-200000</v>
      </c>
      <c r="O455" s="457">
        <f>P455+Q455</f>
        <v>-200000</v>
      </c>
      <c r="P455" s="458">
        <v>-200000</v>
      </c>
      <c r="Q455" s="458">
        <v>0</v>
      </c>
      <c r="R455" s="457">
        <f>S455+T455</f>
        <v>0</v>
      </c>
      <c r="S455" s="458">
        <v>0</v>
      </c>
      <c r="T455" s="458">
        <v>0</v>
      </c>
      <c r="U455" s="457">
        <f>V455+W455</f>
        <v>0</v>
      </c>
      <c r="V455" s="458">
        <v>0</v>
      </c>
      <c r="W455" s="458">
        <v>0</v>
      </c>
    </row>
    <row r="456" spans="1:23" ht="15" customHeight="1">
      <c r="A456" s="844"/>
      <c r="B456" s="845"/>
      <c r="C456" s="846"/>
      <c r="D456" s="847"/>
      <c r="E456" s="844"/>
      <c r="F456" s="848"/>
      <c r="G456" s="848"/>
      <c r="H456" s="700" t="s">
        <v>76</v>
      </c>
      <c r="I456" s="700" t="s">
        <v>76</v>
      </c>
      <c r="J456" s="842">
        <f>J453+J455</f>
        <v>3645000</v>
      </c>
      <c r="K456" s="842">
        <f aca="true" t="shared" si="91" ref="K456:W456">K453+K455</f>
        <v>0</v>
      </c>
      <c r="L456" s="842">
        <f t="shared" si="91"/>
        <v>0</v>
      </c>
      <c r="M456" s="842">
        <f t="shared" si="91"/>
        <v>0</v>
      </c>
      <c r="N456" s="842">
        <f t="shared" si="91"/>
        <v>3645000</v>
      </c>
      <c r="O456" s="842">
        <f t="shared" si="91"/>
        <v>3645000</v>
      </c>
      <c r="P456" s="842">
        <f t="shared" si="91"/>
        <v>3580000</v>
      </c>
      <c r="Q456" s="842">
        <f t="shared" si="91"/>
        <v>65000</v>
      </c>
      <c r="R456" s="842">
        <f t="shared" si="91"/>
        <v>0</v>
      </c>
      <c r="S456" s="842">
        <f t="shared" si="91"/>
        <v>0</v>
      </c>
      <c r="T456" s="842">
        <f t="shared" si="91"/>
        <v>0</v>
      </c>
      <c r="U456" s="842">
        <f t="shared" si="91"/>
        <v>0</v>
      </c>
      <c r="V456" s="842">
        <f t="shared" si="91"/>
        <v>0</v>
      </c>
      <c r="W456" s="842">
        <f t="shared" si="91"/>
        <v>0</v>
      </c>
    </row>
    <row r="457" spans="1:23" ht="15" customHeight="1">
      <c r="A457" s="844"/>
      <c r="B457" s="845"/>
      <c r="C457" s="846"/>
      <c r="D457" s="847"/>
      <c r="E457" s="844"/>
      <c r="F457" s="848"/>
      <c r="G457" s="848"/>
      <c r="H457" s="700" t="s">
        <v>76</v>
      </c>
      <c r="I457" s="700" t="s">
        <v>76</v>
      </c>
      <c r="J457" s="842"/>
      <c r="K457" s="842"/>
      <c r="L457" s="842"/>
      <c r="M457" s="842"/>
      <c r="N457" s="842"/>
      <c r="O457" s="842"/>
      <c r="P457" s="842"/>
      <c r="Q457" s="842"/>
      <c r="R457" s="842"/>
      <c r="S457" s="842"/>
      <c r="T457" s="842"/>
      <c r="U457" s="842"/>
      <c r="V457" s="842"/>
      <c r="W457" s="842"/>
    </row>
    <row r="458" spans="1:23" ht="15.75" customHeight="1" hidden="1">
      <c r="A458" s="844">
        <v>16</v>
      </c>
      <c r="B458" s="845" t="s">
        <v>765</v>
      </c>
      <c r="C458" s="846" t="s">
        <v>1071</v>
      </c>
      <c r="D458" s="847" t="s">
        <v>766</v>
      </c>
      <c r="E458" s="844" t="s">
        <v>581</v>
      </c>
      <c r="F458" s="848" t="s">
        <v>1108</v>
      </c>
      <c r="G458" s="848" t="s">
        <v>1094</v>
      </c>
      <c r="H458" s="700" t="s">
        <v>76</v>
      </c>
      <c r="I458" s="700" t="s">
        <v>76</v>
      </c>
      <c r="J458" s="842">
        <f>K458+N458</f>
        <v>630000</v>
      </c>
      <c r="K458" s="842">
        <f>L458+M458</f>
        <v>0</v>
      </c>
      <c r="L458" s="842">
        <v>0</v>
      </c>
      <c r="M458" s="842">
        <v>0</v>
      </c>
      <c r="N458" s="842">
        <f>O458+R458+U458</f>
        <v>630000</v>
      </c>
      <c r="O458" s="842">
        <f>P458+Q458</f>
        <v>630000</v>
      </c>
      <c r="P458" s="842">
        <v>630000</v>
      </c>
      <c r="Q458" s="842">
        <v>0</v>
      </c>
      <c r="R458" s="842">
        <f>S458+T458</f>
        <v>0</v>
      </c>
      <c r="S458" s="842">
        <v>0</v>
      </c>
      <c r="T458" s="842">
        <v>0</v>
      </c>
      <c r="U458" s="842">
        <f>V458+W458</f>
        <v>0</v>
      </c>
      <c r="V458" s="842">
        <v>0</v>
      </c>
      <c r="W458" s="842">
        <v>0</v>
      </c>
    </row>
    <row r="459" spans="1:23" ht="15.75" customHeight="1" hidden="1">
      <c r="A459" s="844"/>
      <c r="B459" s="845"/>
      <c r="C459" s="846"/>
      <c r="D459" s="847"/>
      <c r="E459" s="844"/>
      <c r="F459" s="848"/>
      <c r="G459" s="848"/>
      <c r="H459" s="700" t="s">
        <v>76</v>
      </c>
      <c r="I459" s="700" t="s">
        <v>76</v>
      </c>
      <c r="J459" s="842"/>
      <c r="K459" s="842"/>
      <c r="L459" s="842"/>
      <c r="M459" s="842"/>
      <c r="N459" s="842"/>
      <c r="O459" s="842"/>
      <c r="P459" s="842"/>
      <c r="Q459" s="842"/>
      <c r="R459" s="842"/>
      <c r="S459" s="842"/>
      <c r="T459" s="842"/>
      <c r="U459" s="842"/>
      <c r="V459" s="842"/>
      <c r="W459" s="842"/>
    </row>
    <row r="460" spans="1:23" ht="15.75" customHeight="1" hidden="1">
      <c r="A460" s="844"/>
      <c r="B460" s="845"/>
      <c r="C460" s="846"/>
      <c r="D460" s="847"/>
      <c r="E460" s="844"/>
      <c r="F460" s="848"/>
      <c r="G460" s="848"/>
      <c r="H460" s="700" t="s">
        <v>76</v>
      </c>
      <c r="I460" s="700" t="s">
        <v>76</v>
      </c>
      <c r="J460" s="457">
        <f>K460+N460</f>
        <v>0</v>
      </c>
      <c r="K460" s="457">
        <f>L460+M460</f>
        <v>0</v>
      </c>
      <c r="L460" s="458">
        <v>0</v>
      </c>
      <c r="M460" s="458">
        <v>0</v>
      </c>
      <c r="N460" s="457">
        <f>O460+R460+U460</f>
        <v>0</v>
      </c>
      <c r="O460" s="457">
        <f>P460+Q460</f>
        <v>0</v>
      </c>
      <c r="P460" s="458">
        <v>0</v>
      </c>
      <c r="Q460" s="458">
        <v>0</v>
      </c>
      <c r="R460" s="457">
        <f>S460+T460</f>
        <v>0</v>
      </c>
      <c r="S460" s="458">
        <v>0</v>
      </c>
      <c r="T460" s="458">
        <v>0</v>
      </c>
      <c r="U460" s="457">
        <f>V460+W460</f>
        <v>0</v>
      </c>
      <c r="V460" s="458">
        <v>0</v>
      </c>
      <c r="W460" s="458">
        <v>0</v>
      </c>
    </row>
    <row r="461" spans="1:23" ht="15.75" customHeight="1" hidden="1">
      <c r="A461" s="844"/>
      <c r="B461" s="845"/>
      <c r="C461" s="846"/>
      <c r="D461" s="847"/>
      <c r="E461" s="844"/>
      <c r="F461" s="848"/>
      <c r="G461" s="848"/>
      <c r="H461" s="700" t="s">
        <v>76</v>
      </c>
      <c r="I461" s="700" t="s">
        <v>76</v>
      </c>
      <c r="J461" s="842">
        <f>J458+J460</f>
        <v>630000</v>
      </c>
      <c r="K461" s="842">
        <f aca="true" t="shared" si="92" ref="K461:W461">K458+K460</f>
        <v>0</v>
      </c>
      <c r="L461" s="842">
        <f t="shared" si="92"/>
        <v>0</v>
      </c>
      <c r="M461" s="842">
        <f t="shared" si="92"/>
        <v>0</v>
      </c>
      <c r="N461" s="842">
        <f t="shared" si="92"/>
        <v>630000</v>
      </c>
      <c r="O461" s="842">
        <f t="shared" si="92"/>
        <v>630000</v>
      </c>
      <c r="P461" s="842">
        <f t="shared" si="92"/>
        <v>630000</v>
      </c>
      <c r="Q461" s="842">
        <f t="shared" si="92"/>
        <v>0</v>
      </c>
      <c r="R461" s="842">
        <f t="shared" si="92"/>
        <v>0</v>
      </c>
      <c r="S461" s="842">
        <f t="shared" si="92"/>
        <v>0</v>
      </c>
      <c r="T461" s="842">
        <f t="shared" si="92"/>
        <v>0</v>
      </c>
      <c r="U461" s="842">
        <f t="shared" si="92"/>
        <v>0</v>
      </c>
      <c r="V461" s="842">
        <f t="shared" si="92"/>
        <v>0</v>
      </c>
      <c r="W461" s="842">
        <f t="shared" si="92"/>
        <v>0</v>
      </c>
    </row>
    <row r="462" spans="1:23" ht="15.75" customHeight="1" hidden="1">
      <c r="A462" s="844"/>
      <c r="B462" s="845"/>
      <c r="C462" s="846"/>
      <c r="D462" s="847"/>
      <c r="E462" s="844"/>
      <c r="F462" s="848"/>
      <c r="G462" s="848"/>
      <c r="H462" s="700" t="s">
        <v>76</v>
      </c>
      <c r="I462" s="700" t="s">
        <v>76</v>
      </c>
      <c r="J462" s="842"/>
      <c r="K462" s="842"/>
      <c r="L462" s="842"/>
      <c r="M462" s="842"/>
      <c r="N462" s="842"/>
      <c r="O462" s="842"/>
      <c r="P462" s="842"/>
      <c r="Q462" s="842"/>
      <c r="R462" s="842"/>
      <c r="S462" s="842"/>
      <c r="T462" s="842"/>
      <c r="U462" s="842"/>
      <c r="V462" s="842"/>
      <c r="W462" s="842"/>
    </row>
    <row r="463" spans="1:23" ht="15.75" customHeight="1" hidden="1">
      <c r="A463" s="844">
        <v>5</v>
      </c>
      <c r="B463" s="845" t="s">
        <v>740</v>
      </c>
      <c r="C463" s="846" t="s">
        <v>1078</v>
      </c>
      <c r="D463" s="847" t="s">
        <v>741</v>
      </c>
      <c r="E463" s="848" t="s">
        <v>229</v>
      </c>
      <c r="F463" s="848" t="s">
        <v>1109</v>
      </c>
      <c r="G463" s="848" t="s">
        <v>1094</v>
      </c>
      <c r="H463" s="700" t="s">
        <v>76</v>
      </c>
      <c r="I463" s="700" t="s">
        <v>76</v>
      </c>
      <c r="J463" s="842">
        <f>K463+N463</f>
        <v>679503</v>
      </c>
      <c r="K463" s="842">
        <f>L463+M463</f>
        <v>0</v>
      </c>
      <c r="L463" s="842">
        <v>0</v>
      </c>
      <c r="M463" s="842">
        <v>0</v>
      </c>
      <c r="N463" s="842">
        <f>O463+R463+U463</f>
        <v>679503</v>
      </c>
      <c r="O463" s="842">
        <f>P463+Q463</f>
        <v>679503</v>
      </c>
      <c r="P463" s="842">
        <v>679503</v>
      </c>
      <c r="Q463" s="842">
        <v>0</v>
      </c>
      <c r="R463" s="842">
        <f>S463+T463</f>
        <v>0</v>
      </c>
      <c r="S463" s="842">
        <v>0</v>
      </c>
      <c r="T463" s="842">
        <v>0</v>
      </c>
      <c r="U463" s="842">
        <f>V463+W463</f>
        <v>0</v>
      </c>
      <c r="V463" s="842">
        <v>0</v>
      </c>
      <c r="W463" s="842">
        <v>0</v>
      </c>
    </row>
    <row r="464" spans="1:23" ht="15.75" customHeight="1" hidden="1">
      <c r="A464" s="844"/>
      <c r="B464" s="845"/>
      <c r="C464" s="846"/>
      <c r="D464" s="847"/>
      <c r="E464" s="848"/>
      <c r="F464" s="848"/>
      <c r="G464" s="848"/>
      <c r="H464" s="700" t="s">
        <v>76</v>
      </c>
      <c r="I464" s="700" t="s">
        <v>76</v>
      </c>
      <c r="J464" s="842"/>
      <c r="K464" s="842"/>
      <c r="L464" s="842"/>
      <c r="M464" s="842"/>
      <c r="N464" s="842"/>
      <c r="O464" s="842"/>
      <c r="P464" s="842"/>
      <c r="Q464" s="842"/>
      <c r="R464" s="842"/>
      <c r="S464" s="842"/>
      <c r="T464" s="842"/>
      <c r="U464" s="842"/>
      <c r="V464" s="842"/>
      <c r="W464" s="842"/>
    </row>
    <row r="465" spans="1:23" ht="15.75" customHeight="1" hidden="1">
      <c r="A465" s="844"/>
      <c r="B465" s="845"/>
      <c r="C465" s="846"/>
      <c r="D465" s="847"/>
      <c r="E465" s="848"/>
      <c r="F465" s="848"/>
      <c r="G465" s="848"/>
      <c r="H465" s="700" t="s">
        <v>76</v>
      </c>
      <c r="I465" s="700" t="s">
        <v>76</v>
      </c>
      <c r="J465" s="457">
        <f>K465+N465</f>
        <v>0</v>
      </c>
      <c r="K465" s="457">
        <f>L465+M465</f>
        <v>0</v>
      </c>
      <c r="L465" s="458">
        <v>0</v>
      </c>
      <c r="M465" s="458">
        <v>0</v>
      </c>
      <c r="N465" s="457">
        <f>O465+R465+U465</f>
        <v>0</v>
      </c>
      <c r="O465" s="457">
        <f>P465+Q465</f>
        <v>0</v>
      </c>
      <c r="P465" s="458">
        <v>0</v>
      </c>
      <c r="Q465" s="458">
        <v>0</v>
      </c>
      <c r="R465" s="457">
        <f>S465+T465</f>
        <v>0</v>
      </c>
      <c r="S465" s="458">
        <v>0</v>
      </c>
      <c r="T465" s="458">
        <v>0</v>
      </c>
      <c r="U465" s="457">
        <f>V465+W465</f>
        <v>0</v>
      </c>
      <c r="V465" s="458">
        <v>0</v>
      </c>
      <c r="W465" s="458">
        <v>0</v>
      </c>
    </row>
    <row r="466" spans="1:23" ht="15.75" customHeight="1" hidden="1">
      <c r="A466" s="844"/>
      <c r="B466" s="845"/>
      <c r="C466" s="846"/>
      <c r="D466" s="847"/>
      <c r="E466" s="848"/>
      <c r="F466" s="848"/>
      <c r="G466" s="848"/>
      <c r="H466" s="700" t="s">
        <v>76</v>
      </c>
      <c r="I466" s="700" t="s">
        <v>76</v>
      </c>
      <c r="J466" s="842">
        <f>J463+J465</f>
        <v>679503</v>
      </c>
      <c r="K466" s="842">
        <f aca="true" t="shared" si="93" ref="K466:W466">K463+K465</f>
        <v>0</v>
      </c>
      <c r="L466" s="842">
        <f t="shared" si="93"/>
        <v>0</v>
      </c>
      <c r="M466" s="842">
        <f t="shared" si="93"/>
        <v>0</v>
      </c>
      <c r="N466" s="842">
        <f t="shared" si="93"/>
        <v>679503</v>
      </c>
      <c r="O466" s="842">
        <f t="shared" si="93"/>
        <v>679503</v>
      </c>
      <c r="P466" s="842">
        <f t="shared" si="93"/>
        <v>679503</v>
      </c>
      <c r="Q466" s="842">
        <f t="shared" si="93"/>
        <v>0</v>
      </c>
      <c r="R466" s="842">
        <f t="shared" si="93"/>
        <v>0</v>
      </c>
      <c r="S466" s="842">
        <f t="shared" si="93"/>
        <v>0</v>
      </c>
      <c r="T466" s="842">
        <f t="shared" si="93"/>
        <v>0</v>
      </c>
      <c r="U466" s="842">
        <f t="shared" si="93"/>
        <v>0</v>
      </c>
      <c r="V466" s="842">
        <f t="shared" si="93"/>
        <v>0</v>
      </c>
      <c r="W466" s="842">
        <f t="shared" si="93"/>
        <v>0</v>
      </c>
    </row>
    <row r="467" spans="1:23" ht="15.75" customHeight="1" hidden="1">
      <c r="A467" s="844"/>
      <c r="B467" s="845"/>
      <c r="C467" s="846"/>
      <c r="D467" s="847"/>
      <c r="E467" s="848"/>
      <c r="F467" s="848"/>
      <c r="G467" s="848"/>
      <c r="H467" s="700" t="s">
        <v>76</v>
      </c>
      <c r="I467" s="700" t="s">
        <v>76</v>
      </c>
      <c r="J467" s="842"/>
      <c r="K467" s="842"/>
      <c r="L467" s="842"/>
      <c r="M467" s="842"/>
      <c r="N467" s="842"/>
      <c r="O467" s="842"/>
      <c r="P467" s="842"/>
      <c r="Q467" s="842"/>
      <c r="R467" s="842"/>
      <c r="S467" s="842"/>
      <c r="T467" s="842"/>
      <c r="U467" s="842"/>
      <c r="V467" s="842"/>
      <c r="W467" s="842"/>
    </row>
    <row r="468" spans="1:23" ht="15" customHeight="1" hidden="1">
      <c r="A468" s="844">
        <v>18</v>
      </c>
      <c r="B468" s="845" t="s">
        <v>743</v>
      </c>
      <c r="C468" s="846" t="s">
        <v>1071</v>
      </c>
      <c r="D468" s="847" t="s">
        <v>744</v>
      </c>
      <c r="E468" s="844" t="s">
        <v>581</v>
      </c>
      <c r="F468" s="848" t="s">
        <v>1109</v>
      </c>
      <c r="G468" s="848" t="s">
        <v>1094</v>
      </c>
      <c r="H468" s="700" t="s">
        <v>76</v>
      </c>
      <c r="I468" s="700" t="s">
        <v>76</v>
      </c>
      <c r="J468" s="842">
        <f>K468+N468</f>
        <v>670000</v>
      </c>
      <c r="K468" s="842">
        <f>L468+M468</f>
        <v>0</v>
      </c>
      <c r="L468" s="842">
        <v>0</v>
      </c>
      <c r="M468" s="842">
        <v>0</v>
      </c>
      <c r="N468" s="842">
        <f>O468+R468+U468</f>
        <v>670000</v>
      </c>
      <c r="O468" s="842">
        <f>P468+Q468</f>
        <v>670000</v>
      </c>
      <c r="P468" s="842">
        <v>670000</v>
      </c>
      <c r="Q468" s="842">
        <v>0</v>
      </c>
      <c r="R468" s="842">
        <f>S468+T468</f>
        <v>0</v>
      </c>
      <c r="S468" s="842">
        <v>0</v>
      </c>
      <c r="T468" s="842">
        <v>0</v>
      </c>
      <c r="U468" s="842">
        <f>V468+W468</f>
        <v>0</v>
      </c>
      <c r="V468" s="842">
        <v>0</v>
      </c>
      <c r="W468" s="842">
        <v>0</v>
      </c>
    </row>
    <row r="469" spans="1:23" ht="15" customHeight="1" hidden="1">
      <c r="A469" s="844"/>
      <c r="B469" s="845"/>
      <c r="C469" s="846"/>
      <c r="D469" s="847"/>
      <c r="E469" s="844"/>
      <c r="F469" s="848"/>
      <c r="G469" s="848"/>
      <c r="H469" s="700" t="s">
        <v>76</v>
      </c>
      <c r="I469" s="700" t="s">
        <v>76</v>
      </c>
      <c r="J469" s="842"/>
      <c r="K469" s="842"/>
      <c r="L469" s="842"/>
      <c r="M469" s="842"/>
      <c r="N469" s="842"/>
      <c r="O469" s="842"/>
      <c r="P469" s="842"/>
      <c r="Q469" s="842"/>
      <c r="R469" s="842"/>
      <c r="S469" s="842"/>
      <c r="T469" s="842"/>
      <c r="U469" s="842"/>
      <c r="V469" s="842"/>
      <c r="W469" s="842"/>
    </row>
    <row r="470" spans="1:23" ht="15" customHeight="1" hidden="1">
      <c r="A470" s="844"/>
      <c r="B470" s="845"/>
      <c r="C470" s="846"/>
      <c r="D470" s="847"/>
      <c r="E470" s="844"/>
      <c r="F470" s="848"/>
      <c r="G470" s="848"/>
      <c r="H470" s="700" t="s">
        <v>76</v>
      </c>
      <c r="I470" s="700" t="s">
        <v>76</v>
      </c>
      <c r="J470" s="457">
        <f>K470+N470</f>
        <v>0</v>
      </c>
      <c r="K470" s="457">
        <f>L470+M470</f>
        <v>0</v>
      </c>
      <c r="L470" s="458">
        <v>0</v>
      </c>
      <c r="M470" s="458">
        <v>0</v>
      </c>
      <c r="N470" s="457">
        <f>O470+R470+U470</f>
        <v>0</v>
      </c>
      <c r="O470" s="457">
        <f>P470+Q470</f>
        <v>0</v>
      </c>
      <c r="P470" s="458">
        <v>0</v>
      </c>
      <c r="Q470" s="458">
        <v>0</v>
      </c>
      <c r="R470" s="457">
        <f>S470+T470</f>
        <v>0</v>
      </c>
      <c r="S470" s="458">
        <v>0</v>
      </c>
      <c r="T470" s="458">
        <v>0</v>
      </c>
      <c r="U470" s="457">
        <f>V470+W470</f>
        <v>0</v>
      </c>
      <c r="V470" s="458">
        <v>0</v>
      </c>
      <c r="W470" s="458">
        <v>0</v>
      </c>
    </row>
    <row r="471" spans="1:23" ht="15" customHeight="1" hidden="1">
      <c r="A471" s="844"/>
      <c r="B471" s="845"/>
      <c r="C471" s="846"/>
      <c r="D471" s="847"/>
      <c r="E471" s="844"/>
      <c r="F471" s="848"/>
      <c r="G471" s="848"/>
      <c r="H471" s="700" t="s">
        <v>76</v>
      </c>
      <c r="I471" s="700" t="s">
        <v>76</v>
      </c>
      <c r="J471" s="842">
        <f>J468+J470</f>
        <v>670000</v>
      </c>
      <c r="K471" s="842">
        <f aca="true" t="shared" si="94" ref="K471:W471">K468+K470</f>
        <v>0</v>
      </c>
      <c r="L471" s="842">
        <f t="shared" si="94"/>
        <v>0</v>
      </c>
      <c r="M471" s="842">
        <f t="shared" si="94"/>
        <v>0</v>
      </c>
      <c r="N471" s="842">
        <f t="shared" si="94"/>
        <v>670000</v>
      </c>
      <c r="O471" s="842">
        <f t="shared" si="94"/>
        <v>670000</v>
      </c>
      <c r="P471" s="842">
        <f t="shared" si="94"/>
        <v>670000</v>
      </c>
      <c r="Q471" s="842">
        <f t="shared" si="94"/>
        <v>0</v>
      </c>
      <c r="R471" s="842">
        <f t="shared" si="94"/>
        <v>0</v>
      </c>
      <c r="S471" s="842">
        <f t="shared" si="94"/>
        <v>0</v>
      </c>
      <c r="T471" s="842">
        <f t="shared" si="94"/>
        <v>0</v>
      </c>
      <c r="U471" s="842">
        <f t="shared" si="94"/>
        <v>0</v>
      </c>
      <c r="V471" s="842">
        <f t="shared" si="94"/>
        <v>0</v>
      </c>
      <c r="W471" s="842">
        <f t="shared" si="94"/>
        <v>0</v>
      </c>
    </row>
    <row r="472" spans="1:23" ht="15" customHeight="1" hidden="1">
      <c r="A472" s="844"/>
      <c r="B472" s="845"/>
      <c r="C472" s="846"/>
      <c r="D472" s="847"/>
      <c r="E472" s="844"/>
      <c r="F472" s="848"/>
      <c r="G472" s="848"/>
      <c r="H472" s="700" t="s">
        <v>76</v>
      </c>
      <c r="I472" s="700" t="s">
        <v>76</v>
      </c>
      <c r="J472" s="842"/>
      <c r="K472" s="842"/>
      <c r="L472" s="842"/>
      <c r="M472" s="842"/>
      <c r="N472" s="842"/>
      <c r="O472" s="842"/>
      <c r="P472" s="842"/>
      <c r="Q472" s="842"/>
      <c r="R472" s="842"/>
      <c r="S472" s="842"/>
      <c r="T472" s="842"/>
      <c r="U472" s="842"/>
      <c r="V472" s="842"/>
      <c r="W472" s="842"/>
    </row>
    <row r="473" spans="1:23" s="710" customFormat="1" ht="14.25" customHeight="1">
      <c r="A473" s="843" t="s">
        <v>1110</v>
      </c>
      <c r="B473" s="843"/>
      <c r="C473" s="843"/>
      <c r="D473" s="843"/>
      <c r="E473" s="843"/>
      <c r="F473" s="843"/>
      <c r="G473" s="843"/>
      <c r="H473" s="700" t="s">
        <v>76</v>
      </c>
      <c r="I473" s="700" t="s">
        <v>76</v>
      </c>
      <c r="J473" s="840">
        <f>J378+J383+J388+J393+J403+J408+J413+J418+J423+J428+J433+J438+J443+J448+J453+J458+J463+J468+J398+J373</f>
        <v>30784205</v>
      </c>
      <c r="K473" s="840">
        <f aca="true" t="shared" si="95" ref="K473:W473">K378+K383+K388+K393+K403+K408+K413+K418+K423+K428+K433+K438+K443+K448+K453+K458+K463+K468+K398+K373</f>
        <v>0</v>
      </c>
      <c r="L473" s="840">
        <f t="shared" si="95"/>
        <v>0</v>
      </c>
      <c r="M473" s="840">
        <f t="shared" si="95"/>
        <v>0</v>
      </c>
      <c r="N473" s="840">
        <f t="shared" si="95"/>
        <v>30784205</v>
      </c>
      <c r="O473" s="840">
        <f t="shared" si="95"/>
        <v>30784205</v>
      </c>
      <c r="P473" s="840">
        <f t="shared" si="95"/>
        <v>21732114</v>
      </c>
      <c r="Q473" s="840">
        <f t="shared" si="95"/>
        <v>9052091</v>
      </c>
      <c r="R473" s="840">
        <f t="shared" si="95"/>
        <v>0</v>
      </c>
      <c r="S473" s="840">
        <f t="shared" si="95"/>
        <v>0</v>
      </c>
      <c r="T473" s="840">
        <f t="shared" si="95"/>
        <v>0</v>
      </c>
      <c r="U473" s="840">
        <f t="shared" si="95"/>
        <v>0</v>
      </c>
      <c r="V473" s="840">
        <f t="shared" si="95"/>
        <v>0</v>
      </c>
      <c r="W473" s="840">
        <f t="shared" si="95"/>
        <v>0</v>
      </c>
    </row>
    <row r="474" spans="1:23" s="711" customFormat="1" ht="14.25" customHeight="1">
      <c r="A474" s="843"/>
      <c r="B474" s="843"/>
      <c r="C474" s="843"/>
      <c r="D474" s="843"/>
      <c r="E474" s="843"/>
      <c r="F474" s="843"/>
      <c r="G474" s="843"/>
      <c r="H474" s="700" t="s">
        <v>76</v>
      </c>
      <c r="I474" s="700" t="s">
        <v>76</v>
      </c>
      <c r="J474" s="840"/>
      <c r="K474" s="840"/>
      <c r="L474" s="840"/>
      <c r="M474" s="840"/>
      <c r="N474" s="840"/>
      <c r="O474" s="840"/>
      <c r="P474" s="840"/>
      <c r="Q474" s="840"/>
      <c r="R474" s="840"/>
      <c r="S474" s="840"/>
      <c r="T474" s="840"/>
      <c r="U474" s="840"/>
      <c r="V474" s="840"/>
      <c r="W474" s="840"/>
    </row>
    <row r="475" spans="1:23" s="711" customFormat="1" ht="14.25" customHeight="1">
      <c r="A475" s="843"/>
      <c r="B475" s="843"/>
      <c r="C475" s="843"/>
      <c r="D475" s="843"/>
      <c r="E475" s="843"/>
      <c r="F475" s="843"/>
      <c r="G475" s="843"/>
      <c r="H475" s="700" t="s">
        <v>76</v>
      </c>
      <c r="I475" s="700" t="s">
        <v>76</v>
      </c>
      <c r="J475" s="705">
        <f>J380+J385+J390+J395+J405+J410+J415+J420+J425+J430+J435+J440+J445+J450+J455+J460+J465+J470+J400+J375</f>
        <v>-1276866</v>
      </c>
      <c r="K475" s="705">
        <f aca="true" t="shared" si="96" ref="K475:W475">K380+K385+K390+K395+K405+K410+K415+K420+K425+K430+K435+K440+K445+K450+K455+K460+K465+K470+K400+K375</f>
        <v>0</v>
      </c>
      <c r="L475" s="705">
        <f t="shared" si="96"/>
        <v>0</v>
      </c>
      <c r="M475" s="705">
        <f t="shared" si="96"/>
        <v>0</v>
      </c>
      <c r="N475" s="705">
        <f t="shared" si="96"/>
        <v>-1276866</v>
      </c>
      <c r="O475" s="705">
        <f t="shared" si="96"/>
        <v>-1276866</v>
      </c>
      <c r="P475" s="705">
        <f t="shared" si="96"/>
        <v>-514959</v>
      </c>
      <c r="Q475" s="705">
        <f t="shared" si="96"/>
        <v>-761907</v>
      </c>
      <c r="R475" s="705">
        <f t="shared" si="96"/>
        <v>0</v>
      </c>
      <c r="S475" s="705">
        <f t="shared" si="96"/>
        <v>0</v>
      </c>
      <c r="T475" s="705">
        <f t="shared" si="96"/>
        <v>0</v>
      </c>
      <c r="U475" s="705">
        <f t="shared" si="96"/>
        <v>0</v>
      </c>
      <c r="V475" s="705">
        <f t="shared" si="96"/>
        <v>0</v>
      </c>
      <c r="W475" s="705">
        <f t="shared" si="96"/>
        <v>0</v>
      </c>
    </row>
    <row r="476" spans="1:23" s="711" customFormat="1" ht="14.25" customHeight="1">
      <c r="A476" s="843"/>
      <c r="B476" s="843"/>
      <c r="C476" s="843"/>
      <c r="D476" s="843"/>
      <c r="E476" s="843"/>
      <c r="F476" s="843"/>
      <c r="G476" s="843"/>
      <c r="H476" s="700" t="s">
        <v>76</v>
      </c>
      <c r="I476" s="700" t="s">
        <v>76</v>
      </c>
      <c r="J476" s="840">
        <f>J473+J475</f>
        <v>29507339</v>
      </c>
      <c r="K476" s="840">
        <f aca="true" t="shared" si="97" ref="K476:W476">K473+K475</f>
        <v>0</v>
      </c>
      <c r="L476" s="840">
        <f t="shared" si="97"/>
        <v>0</v>
      </c>
      <c r="M476" s="840">
        <f t="shared" si="97"/>
        <v>0</v>
      </c>
      <c r="N476" s="840">
        <f t="shared" si="97"/>
        <v>29507339</v>
      </c>
      <c r="O476" s="840">
        <f t="shared" si="97"/>
        <v>29507339</v>
      </c>
      <c r="P476" s="840">
        <f t="shared" si="97"/>
        <v>21217155</v>
      </c>
      <c r="Q476" s="840">
        <f t="shared" si="97"/>
        <v>8290184</v>
      </c>
      <c r="R476" s="840">
        <f t="shared" si="97"/>
        <v>0</v>
      </c>
      <c r="S476" s="840">
        <f t="shared" si="97"/>
        <v>0</v>
      </c>
      <c r="T476" s="840">
        <f t="shared" si="97"/>
        <v>0</v>
      </c>
      <c r="U476" s="840">
        <f t="shared" si="97"/>
        <v>0</v>
      </c>
      <c r="V476" s="840">
        <f t="shared" si="97"/>
        <v>0</v>
      </c>
      <c r="W476" s="840">
        <f t="shared" si="97"/>
        <v>0</v>
      </c>
    </row>
    <row r="477" spans="1:23" s="711" customFormat="1" ht="14.25" customHeight="1">
      <c r="A477" s="843"/>
      <c r="B477" s="843"/>
      <c r="C477" s="843"/>
      <c r="D477" s="843"/>
      <c r="E477" s="843"/>
      <c r="F477" s="843"/>
      <c r="G477" s="843"/>
      <c r="H477" s="700" t="s">
        <v>76</v>
      </c>
      <c r="I477" s="700" t="s">
        <v>76</v>
      </c>
      <c r="J477" s="840"/>
      <c r="K477" s="840"/>
      <c r="L477" s="840"/>
      <c r="M477" s="840"/>
      <c r="N477" s="840"/>
      <c r="O477" s="840"/>
      <c r="P477" s="840"/>
      <c r="Q477" s="840"/>
      <c r="R477" s="840"/>
      <c r="S477" s="840"/>
      <c r="T477" s="840"/>
      <c r="U477" s="840"/>
      <c r="V477" s="840"/>
      <c r="W477" s="840"/>
    </row>
    <row r="478" spans="1:23" s="713" customFormat="1" ht="19.5" customHeight="1">
      <c r="A478" s="841" t="s">
        <v>561</v>
      </c>
      <c r="B478" s="841"/>
      <c r="C478" s="841"/>
      <c r="D478" s="841"/>
      <c r="E478" s="841"/>
      <c r="F478" s="841"/>
      <c r="G478" s="841"/>
      <c r="H478" s="712">
        <f aca="true" t="shared" si="98" ref="H478:I482">H365+H337</f>
        <v>1346743062</v>
      </c>
      <c r="I478" s="712">
        <f t="shared" si="98"/>
        <v>238688003</v>
      </c>
      <c r="J478" s="840">
        <f>J473+J365+J337</f>
        <v>485192950</v>
      </c>
      <c r="K478" s="840">
        <f aca="true" t="shared" si="99" ref="K478:W478">K473+K365+K337</f>
        <v>382080081</v>
      </c>
      <c r="L478" s="840">
        <f t="shared" si="99"/>
        <v>91425011</v>
      </c>
      <c r="M478" s="840">
        <f t="shared" si="99"/>
        <v>290655070</v>
      </c>
      <c r="N478" s="840">
        <f t="shared" si="99"/>
        <v>103112869</v>
      </c>
      <c r="O478" s="840">
        <f t="shared" si="99"/>
        <v>33559147</v>
      </c>
      <c r="P478" s="840">
        <f t="shared" si="99"/>
        <v>24507056</v>
      </c>
      <c r="Q478" s="840">
        <f t="shared" si="99"/>
        <v>9052091</v>
      </c>
      <c r="R478" s="840">
        <f t="shared" si="99"/>
        <v>52900523</v>
      </c>
      <c r="S478" s="840">
        <f t="shared" si="99"/>
        <v>9019180</v>
      </c>
      <c r="T478" s="840">
        <f t="shared" si="99"/>
        <v>43881343</v>
      </c>
      <c r="U478" s="840">
        <f t="shared" si="99"/>
        <v>16653199</v>
      </c>
      <c r="V478" s="840">
        <f t="shared" si="99"/>
        <v>1179397</v>
      </c>
      <c r="W478" s="840">
        <f t="shared" si="99"/>
        <v>15473802</v>
      </c>
    </row>
    <row r="479" spans="1:23" s="714" customFormat="1" ht="19.5" customHeight="1">
      <c r="A479" s="841"/>
      <c r="B479" s="841"/>
      <c r="C479" s="841"/>
      <c r="D479" s="841"/>
      <c r="E479" s="841"/>
      <c r="F479" s="841"/>
      <c r="G479" s="841"/>
      <c r="H479" s="712">
        <f t="shared" si="98"/>
        <v>1131141791</v>
      </c>
      <c r="I479" s="712">
        <f t="shared" si="98"/>
        <v>180938346</v>
      </c>
      <c r="J479" s="840"/>
      <c r="K479" s="840"/>
      <c r="L479" s="840"/>
      <c r="M479" s="840"/>
      <c r="N479" s="840"/>
      <c r="O479" s="840"/>
      <c r="P479" s="840"/>
      <c r="Q479" s="840"/>
      <c r="R479" s="840"/>
      <c r="S479" s="840"/>
      <c r="T479" s="840"/>
      <c r="U479" s="840"/>
      <c r="V479" s="840"/>
      <c r="W479" s="840"/>
    </row>
    <row r="480" spans="1:23" s="714" customFormat="1" ht="19.5" customHeight="1">
      <c r="A480" s="841"/>
      <c r="B480" s="841"/>
      <c r="C480" s="841"/>
      <c r="D480" s="841"/>
      <c r="E480" s="841"/>
      <c r="F480" s="841"/>
      <c r="G480" s="841"/>
      <c r="H480" s="712">
        <f t="shared" si="98"/>
        <v>10791520</v>
      </c>
      <c r="I480" s="712">
        <f t="shared" si="98"/>
        <v>2835795</v>
      </c>
      <c r="J480" s="705">
        <f>J475+J367+J339</f>
        <v>-43094430</v>
      </c>
      <c r="K480" s="705">
        <f aca="true" t="shared" si="100" ref="K480:W480">K475+K367+K339</f>
        <v>-50433854</v>
      </c>
      <c r="L480" s="705">
        <f t="shared" si="100"/>
        <v>7174357</v>
      </c>
      <c r="M480" s="705">
        <f t="shared" si="100"/>
        <v>-57608211</v>
      </c>
      <c r="N480" s="705">
        <f t="shared" si="100"/>
        <v>7339424</v>
      </c>
      <c r="O480" s="705">
        <f t="shared" si="100"/>
        <v>-732920</v>
      </c>
      <c r="P480" s="705">
        <f t="shared" si="100"/>
        <v>28987</v>
      </c>
      <c r="Q480" s="705">
        <f t="shared" si="100"/>
        <v>-761907</v>
      </c>
      <c r="R480" s="705">
        <f t="shared" si="100"/>
        <v>7038341</v>
      </c>
      <c r="S480" s="705">
        <f t="shared" si="100"/>
        <v>476698</v>
      </c>
      <c r="T480" s="705">
        <f t="shared" si="100"/>
        <v>6561643</v>
      </c>
      <c r="U480" s="705">
        <f t="shared" si="100"/>
        <v>1034003</v>
      </c>
      <c r="V480" s="705">
        <f t="shared" si="100"/>
        <v>2308</v>
      </c>
      <c r="W480" s="705">
        <f t="shared" si="100"/>
        <v>1031695</v>
      </c>
    </row>
    <row r="481" spans="1:23" s="714" customFormat="1" ht="19.5" customHeight="1">
      <c r="A481" s="841"/>
      <c r="B481" s="841"/>
      <c r="C481" s="841"/>
      <c r="D481" s="841"/>
      <c r="E481" s="841"/>
      <c r="F481" s="841"/>
      <c r="G481" s="841"/>
      <c r="H481" s="712">
        <f t="shared" si="98"/>
        <v>181135824</v>
      </c>
      <c r="I481" s="712">
        <f t="shared" si="98"/>
        <v>52458018</v>
      </c>
      <c r="J481" s="840">
        <f>J478+J480</f>
        <v>442098520</v>
      </c>
      <c r="K481" s="840">
        <f aca="true" t="shared" si="101" ref="K481:W481">K478+K480</f>
        <v>331646227</v>
      </c>
      <c r="L481" s="840">
        <f t="shared" si="101"/>
        <v>98599368</v>
      </c>
      <c r="M481" s="840">
        <f t="shared" si="101"/>
        <v>233046859</v>
      </c>
      <c r="N481" s="840">
        <f t="shared" si="101"/>
        <v>110452293</v>
      </c>
      <c r="O481" s="840">
        <f t="shared" si="101"/>
        <v>32826227</v>
      </c>
      <c r="P481" s="840">
        <f t="shared" si="101"/>
        <v>24536043</v>
      </c>
      <c r="Q481" s="840">
        <f t="shared" si="101"/>
        <v>8290184</v>
      </c>
      <c r="R481" s="840">
        <f t="shared" si="101"/>
        <v>59938864</v>
      </c>
      <c r="S481" s="840">
        <f t="shared" si="101"/>
        <v>9495878</v>
      </c>
      <c r="T481" s="840">
        <f t="shared" si="101"/>
        <v>50442986</v>
      </c>
      <c r="U481" s="840">
        <f t="shared" si="101"/>
        <v>17687202</v>
      </c>
      <c r="V481" s="840">
        <f t="shared" si="101"/>
        <v>1181705</v>
      </c>
      <c r="W481" s="840">
        <f t="shared" si="101"/>
        <v>16505497</v>
      </c>
    </row>
    <row r="482" spans="1:23" s="714" customFormat="1" ht="19.5" customHeight="1">
      <c r="A482" s="841"/>
      <c r="B482" s="841"/>
      <c r="C482" s="841"/>
      <c r="D482" s="841"/>
      <c r="E482" s="841"/>
      <c r="F482" s="841"/>
      <c r="G482" s="841"/>
      <c r="H482" s="712">
        <f t="shared" si="98"/>
        <v>23673927</v>
      </c>
      <c r="I482" s="712">
        <f t="shared" si="98"/>
        <v>2455844</v>
      </c>
      <c r="J482" s="840"/>
      <c r="K482" s="840"/>
      <c r="L482" s="840"/>
      <c r="M482" s="840"/>
      <c r="N482" s="840"/>
      <c r="O482" s="840"/>
      <c r="P482" s="840"/>
      <c r="Q482" s="840"/>
      <c r="R482" s="840"/>
      <c r="S482" s="840"/>
      <c r="T482" s="840"/>
      <c r="U482" s="840"/>
      <c r="V482" s="840"/>
      <c r="W482" s="840"/>
    </row>
  </sheetData>
  <sheetProtection password="C25B" sheet="1"/>
  <mergeCells count="3221">
    <mergeCell ref="A5:W5"/>
    <mergeCell ref="A7:A12"/>
    <mergeCell ref="B7:B12"/>
    <mergeCell ref="C7:C12"/>
    <mergeCell ref="D7:D12"/>
    <mergeCell ref="E7:E12"/>
    <mergeCell ref="K9:M10"/>
    <mergeCell ref="N9:N12"/>
    <mergeCell ref="O9:W9"/>
    <mergeCell ref="O10:Q10"/>
    <mergeCell ref="H7:H8"/>
    <mergeCell ref="I7:I8"/>
    <mergeCell ref="K11:K12"/>
    <mergeCell ref="L11:L12"/>
    <mergeCell ref="R10:T10"/>
    <mergeCell ref="U10:W10"/>
    <mergeCell ref="T11:T12"/>
    <mergeCell ref="U11:U12"/>
    <mergeCell ref="V11:V12"/>
    <mergeCell ref="W11:W12"/>
    <mergeCell ref="R11:R12"/>
    <mergeCell ref="S11:S12"/>
    <mergeCell ref="A14:W14"/>
    <mergeCell ref="A15:W15"/>
    <mergeCell ref="M11:M12"/>
    <mergeCell ref="O11:O12"/>
    <mergeCell ref="P11:P12"/>
    <mergeCell ref="Q11:Q12"/>
    <mergeCell ref="F7:F12"/>
    <mergeCell ref="G7:G12"/>
    <mergeCell ref="J7:W8"/>
    <mergeCell ref="J9:J12"/>
    <mergeCell ref="A16:W16"/>
    <mergeCell ref="A17:A21"/>
    <mergeCell ref="B17:B21"/>
    <mergeCell ref="C17:C21"/>
    <mergeCell ref="D17:D21"/>
    <mergeCell ref="E17:E21"/>
    <mergeCell ref="F17:F21"/>
    <mergeCell ref="G17:G21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A22:A26"/>
    <mergeCell ref="B22:B26"/>
    <mergeCell ref="C22:C26"/>
    <mergeCell ref="D22:D26"/>
    <mergeCell ref="E22:E26"/>
    <mergeCell ref="F22:F26"/>
    <mergeCell ref="G22:G26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27:A31"/>
    <mergeCell ref="B27:B31"/>
    <mergeCell ref="C27:C31"/>
    <mergeCell ref="D27:D31"/>
    <mergeCell ref="E27:E31"/>
    <mergeCell ref="F27:F31"/>
    <mergeCell ref="G27:G31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32:A36"/>
    <mergeCell ref="B32:B36"/>
    <mergeCell ref="C32:C36"/>
    <mergeCell ref="D32:D36"/>
    <mergeCell ref="E32:E36"/>
    <mergeCell ref="F32:F36"/>
    <mergeCell ref="G32:G36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A37:A41"/>
    <mergeCell ref="B37:B41"/>
    <mergeCell ref="C37:C41"/>
    <mergeCell ref="D37:D41"/>
    <mergeCell ref="E37:E41"/>
    <mergeCell ref="F37:F41"/>
    <mergeCell ref="G37:G41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A42:A46"/>
    <mergeCell ref="B42:B46"/>
    <mergeCell ref="C42:C46"/>
    <mergeCell ref="D42:D46"/>
    <mergeCell ref="E42:E46"/>
    <mergeCell ref="F42:F46"/>
    <mergeCell ref="G42:G46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A47:A51"/>
    <mergeCell ref="B47:B51"/>
    <mergeCell ref="C47:C51"/>
    <mergeCell ref="D47:D51"/>
    <mergeCell ref="E47:E51"/>
    <mergeCell ref="F47:F51"/>
    <mergeCell ref="G47:G51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A52:A56"/>
    <mergeCell ref="B52:B56"/>
    <mergeCell ref="C52:C56"/>
    <mergeCell ref="D52:D56"/>
    <mergeCell ref="E52:E56"/>
    <mergeCell ref="F52:F56"/>
    <mergeCell ref="G52:G56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A57:A61"/>
    <mergeCell ref="B57:B61"/>
    <mergeCell ref="C57:C61"/>
    <mergeCell ref="D57:D61"/>
    <mergeCell ref="E57:E61"/>
    <mergeCell ref="F57:F61"/>
    <mergeCell ref="G57:G61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A62:A66"/>
    <mergeCell ref="B62:B66"/>
    <mergeCell ref="C62:C66"/>
    <mergeCell ref="D62:D66"/>
    <mergeCell ref="E62:E66"/>
    <mergeCell ref="F62:F66"/>
    <mergeCell ref="G62:G66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A67:A71"/>
    <mergeCell ref="B67:B71"/>
    <mergeCell ref="C67:C71"/>
    <mergeCell ref="D67:D71"/>
    <mergeCell ref="E67:E71"/>
    <mergeCell ref="F67:F71"/>
    <mergeCell ref="G67:G71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A72:A76"/>
    <mergeCell ref="B72:B76"/>
    <mergeCell ref="C72:C76"/>
    <mergeCell ref="D72:D76"/>
    <mergeCell ref="E72:E76"/>
    <mergeCell ref="F72:F76"/>
    <mergeCell ref="G72:G76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A77:A81"/>
    <mergeCell ref="B77:B81"/>
    <mergeCell ref="C77:C81"/>
    <mergeCell ref="D77:D81"/>
    <mergeCell ref="E77:E81"/>
    <mergeCell ref="F77:F81"/>
    <mergeCell ref="G77:G81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A82:A86"/>
    <mergeCell ref="B82:B86"/>
    <mergeCell ref="C82:C86"/>
    <mergeCell ref="D82:D86"/>
    <mergeCell ref="E82:E86"/>
    <mergeCell ref="F82:F86"/>
    <mergeCell ref="G82:G86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A87:A91"/>
    <mergeCell ref="B87:B91"/>
    <mergeCell ref="C87:C91"/>
    <mergeCell ref="D87:D91"/>
    <mergeCell ref="E87:E91"/>
    <mergeCell ref="F87:F91"/>
    <mergeCell ref="G87:G91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W90:W91"/>
    <mergeCell ref="A92:A96"/>
    <mergeCell ref="B92:B96"/>
    <mergeCell ref="C92:C96"/>
    <mergeCell ref="D92:D96"/>
    <mergeCell ref="E92:E96"/>
    <mergeCell ref="F92:F96"/>
    <mergeCell ref="G92:G96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A97:A101"/>
    <mergeCell ref="B97:B101"/>
    <mergeCell ref="C97:C101"/>
    <mergeCell ref="D97:D101"/>
    <mergeCell ref="E97:E101"/>
    <mergeCell ref="F97:F101"/>
    <mergeCell ref="G97:G101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A102:A106"/>
    <mergeCell ref="B102:B106"/>
    <mergeCell ref="C102:C106"/>
    <mergeCell ref="D102:D106"/>
    <mergeCell ref="E102:E106"/>
    <mergeCell ref="F102:F106"/>
    <mergeCell ref="G102:G106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A107:A111"/>
    <mergeCell ref="B107:B111"/>
    <mergeCell ref="C107:C111"/>
    <mergeCell ref="D107:D111"/>
    <mergeCell ref="E107:E111"/>
    <mergeCell ref="F107:F111"/>
    <mergeCell ref="G107:G111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A112:A116"/>
    <mergeCell ref="B112:B116"/>
    <mergeCell ref="C112:C116"/>
    <mergeCell ref="D112:D116"/>
    <mergeCell ref="E112:E116"/>
    <mergeCell ref="F112:F116"/>
    <mergeCell ref="G112:G116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A117:A121"/>
    <mergeCell ref="B117:B121"/>
    <mergeCell ref="C117:C121"/>
    <mergeCell ref="D117:D121"/>
    <mergeCell ref="E117:E121"/>
    <mergeCell ref="F117:F121"/>
    <mergeCell ref="G117:G121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A122:A126"/>
    <mergeCell ref="B122:B126"/>
    <mergeCell ref="C122:C126"/>
    <mergeCell ref="D122:D126"/>
    <mergeCell ref="E122:E126"/>
    <mergeCell ref="F122:F126"/>
    <mergeCell ref="G122:G126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A127:A131"/>
    <mergeCell ref="B127:B131"/>
    <mergeCell ref="C127:C131"/>
    <mergeCell ref="D127:D131"/>
    <mergeCell ref="E127:E131"/>
    <mergeCell ref="F127:F131"/>
    <mergeCell ref="G127:G131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A132:A136"/>
    <mergeCell ref="B132:B136"/>
    <mergeCell ref="C132:C136"/>
    <mergeCell ref="D132:D136"/>
    <mergeCell ref="E132:E136"/>
    <mergeCell ref="F132:F136"/>
    <mergeCell ref="G132:G136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A137:A141"/>
    <mergeCell ref="B137:B141"/>
    <mergeCell ref="C137:C141"/>
    <mergeCell ref="D137:D141"/>
    <mergeCell ref="E137:E141"/>
    <mergeCell ref="F137:F141"/>
    <mergeCell ref="G137:G141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A142:A146"/>
    <mergeCell ref="B142:B146"/>
    <mergeCell ref="C142:C146"/>
    <mergeCell ref="D142:D146"/>
    <mergeCell ref="E142:E146"/>
    <mergeCell ref="F142:F146"/>
    <mergeCell ref="G142:G146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A147:A151"/>
    <mergeCell ref="B147:B151"/>
    <mergeCell ref="C147:C151"/>
    <mergeCell ref="D147:D151"/>
    <mergeCell ref="E147:E151"/>
    <mergeCell ref="F147:F151"/>
    <mergeCell ref="G147:G151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W150:W151"/>
    <mergeCell ref="A152:A156"/>
    <mergeCell ref="B152:B156"/>
    <mergeCell ref="C152:C156"/>
    <mergeCell ref="D152:D156"/>
    <mergeCell ref="E152:E156"/>
    <mergeCell ref="F152:F156"/>
    <mergeCell ref="G152:G156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A157:A161"/>
    <mergeCell ref="B157:B161"/>
    <mergeCell ref="C157:C161"/>
    <mergeCell ref="D157:D161"/>
    <mergeCell ref="E157:E161"/>
    <mergeCell ref="F157:F161"/>
    <mergeCell ref="G157:G161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A162:A166"/>
    <mergeCell ref="B162:B166"/>
    <mergeCell ref="C162:C166"/>
    <mergeCell ref="D162:D166"/>
    <mergeCell ref="E162:E166"/>
    <mergeCell ref="F162:F166"/>
    <mergeCell ref="G162:G166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A167:A171"/>
    <mergeCell ref="B167:B171"/>
    <mergeCell ref="C167:C171"/>
    <mergeCell ref="D167:D171"/>
    <mergeCell ref="E167:E171"/>
    <mergeCell ref="F167:F171"/>
    <mergeCell ref="G167:G171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A172:A176"/>
    <mergeCell ref="B172:B176"/>
    <mergeCell ref="C172:C176"/>
    <mergeCell ref="D172:D176"/>
    <mergeCell ref="E172:E176"/>
    <mergeCell ref="F172:F176"/>
    <mergeCell ref="G172:G176"/>
    <mergeCell ref="J172:J176"/>
    <mergeCell ref="K172:K176"/>
    <mergeCell ref="L172:L176"/>
    <mergeCell ref="M172:M176"/>
    <mergeCell ref="N172:N176"/>
    <mergeCell ref="O172:O176"/>
    <mergeCell ref="P172:P176"/>
    <mergeCell ref="Q172:Q176"/>
    <mergeCell ref="R172:R176"/>
    <mergeCell ref="S172:S176"/>
    <mergeCell ref="T172:T176"/>
    <mergeCell ref="U172:U176"/>
    <mergeCell ref="V172:V176"/>
    <mergeCell ref="W172:W176"/>
    <mergeCell ref="A177:A181"/>
    <mergeCell ref="B177:B181"/>
    <mergeCell ref="C177:C181"/>
    <mergeCell ref="D177:D181"/>
    <mergeCell ref="E177:E181"/>
    <mergeCell ref="F177:F181"/>
    <mergeCell ref="G177:G181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A182:A186"/>
    <mergeCell ref="B182:B186"/>
    <mergeCell ref="C182:C186"/>
    <mergeCell ref="D182:D186"/>
    <mergeCell ref="E182:E186"/>
    <mergeCell ref="F182:F186"/>
    <mergeCell ref="G182:G186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A187:A191"/>
    <mergeCell ref="B187:B191"/>
    <mergeCell ref="C187:C191"/>
    <mergeCell ref="D187:D191"/>
    <mergeCell ref="E187:E191"/>
    <mergeCell ref="F187:F191"/>
    <mergeCell ref="G187:G191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A192:A196"/>
    <mergeCell ref="B192:B196"/>
    <mergeCell ref="C192:C196"/>
    <mergeCell ref="D192:D196"/>
    <mergeCell ref="E192:E196"/>
    <mergeCell ref="F192:F196"/>
    <mergeCell ref="G192:G196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A197:A201"/>
    <mergeCell ref="B197:B201"/>
    <mergeCell ref="C197:C201"/>
    <mergeCell ref="D197:D201"/>
    <mergeCell ref="E197:E201"/>
    <mergeCell ref="F197:F201"/>
    <mergeCell ref="G197:G201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A202:A206"/>
    <mergeCell ref="B202:B206"/>
    <mergeCell ref="C202:C206"/>
    <mergeCell ref="D202:D206"/>
    <mergeCell ref="E202:E206"/>
    <mergeCell ref="F202:F206"/>
    <mergeCell ref="G202:G206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W202:W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A207:A211"/>
    <mergeCell ref="B207:B211"/>
    <mergeCell ref="C207:C211"/>
    <mergeCell ref="D207:D211"/>
    <mergeCell ref="E207:E211"/>
    <mergeCell ref="F207:F211"/>
    <mergeCell ref="G207:G211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A212:A216"/>
    <mergeCell ref="B212:B216"/>
    <mergeCell ref="C212:C216"/>
    <mergeCell ref="D212:D216"/>
    <mergeCell ref="E212:E216"/>
    <mergeCell ref="F212:F216"/>
    <mergeCell ref="G212:G216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A217:A221"/>
    <mergeCell ref="B217:B221"/>
    <mergeCell ref="C217:C221"/>
    <mergeCell ref="D217:D221"/>
    <mergeCell ref="E217:E221"/>
    <mergeCell ref="F217:F221"/>
    <mergeCell ref="G217:G221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A222:A226"/>
    <mergeCell ref="B222:B226"/>
    <mergeCell ref="C222:C226"/>
    <mergeCell ref="D222:D226"/>
    <mergeCell ref="E222:E226"/>
    <mergeCell ref="F222:F226"/>
    <mergeCell ref="G222:G226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A227:A231"/>
    <mergeCell ref="B227:B231"/>
    <mergeCell ref="C227:C231"/>
    <mergeCell ref="D227:D231"/>
    <mergeCell ref="E227:E231"/>
    <mergeCell ref="F227:F231"/>
    <mergeCell ref="G227:G231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A232:A236"/>
    <mergeCell ref="B232:B236"/>
    <mergeCell ref="C232:C236"/>
    <mergeCell ref="D232:D236"/>
    <mergeCell ref="E232:E236"/>
    <mergeCell ref="F232:F236"/>
    <mergeCell ref="G232:G236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S235:S236"/>
    <mergeCell ref="T235:T236"/>
    <mergeCell ref="U235:U236"/>
    <mergeCell ref="V235:V236"/>
    <mergeCell ref="W235:W236"/>
    <mergeCell ref="A237:A241"/>
    <mergeCell ref="B237:B241"/>
    <mergeCell ref="C237:C241"/>
    <mergeCell ref="D237:D241"/>
    <mergeCell ref="E237:E241"/>
    <mergeCell ref="F237:F241"/>
    <mergeCell ref="G237:G241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R237:R238"/>
    <mergeCell ref="S237:S238"/>
    <mergeCell ref="T237:T238"/>
    <mergeCell ref="U237:U238"/>
    <mergeCell ref="V237:V238"/>
    <mergeCell ref="W237:W238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A242:A246"/>
    <mergeCell ref="B242:B246"/>
    <mergeCell ref="C242:C246"/>
    <mergeCell ref="D242:D246"/>
    <mergeCell ref="E242:E246"/>
    <mergeCell ref="F242:F246"/>
    <mergeCell ref="G242:G246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T242:T243"/>
    <mergeCell ref="U242:U243"/>
    <mergeCell ref="V242:V243"/>
    <mergeCell ref="W242:W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A247:A251"/>
    <mergeCell ref="B247:B251"/>
    <mergeCell ref="C247:C251"/>
    <mergeCell ref="D247:D251"/>
    <mergeCell ref="E247:E251"/>
    <mergeCell ref="F247:F251"/>
    <mergeCell ref="G247:G251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S250:S251"/>
    <mergeCell ref="T250:T251"/>
    <mergeCell ref="U250:U251"/>
    <mergeCell ref="V250:V251"/>
    <mergeCell ref="W250:W251"/>
    <mergeCell ref="A252:A256"/>
    <mergeCell ref="B252:B256"/>
    <mergeCell ref="C252:C256"/>
    <mergeCell ref="D252:D256"/>
    <mergeCell ref="E252:E256"/>
    <mergeCell ref="F252:F256"/>
    <mergeCell ref="G252:G256"/>
    <mergeCell ref="J252:J253"/>
    <mergeCell ref="K252:K253"/>
    <mergeCell ref="L252:L253"/>
    <mergeCell ref="M252:M253"/>
    <mergeCell ref="N252:N253"/>
    <mergeCell ref="O252:O253"/>
    <mergeCell ref="P252:P253"/>
    <mergeCell ref="Q252:Q253"/>
    <mergeCell ref="R252:R253"/>
    <mergeCell ref="S252:S253"/>
    <mergeCell ref="T252:T253"/>
    <mergeCell ref="U252:U253"/>
    <mergeCell ref="V252:V253"/>
    <mergeCell ref="W252:W253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A257:A261"/>
    <mergeCell ref="B257:B261"/>
    <mergeCell ref="C257:C261"/>
    <mergeCell ref="D257:D261"/>
    <mergeCell ref="E257:E261"/>
    <mergeCell ref="F257:F261"/>
    <mergeCell ref="G257:G261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W260:W261"/>
    <mergeCell ref="A262:A266"/>
    <mergeCell ref="B262:B266"/>
    <mergeCell ref="C262:C266"/>
    <mergeCell ref="D262:D266"/>
    <mergeCell ref="E262:E266"/>
    <mergeCell ref="F262:F266"/>
    <mergeCell ref="G262:G266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S265:S266"/>
    <mergeCell ref="T265:T266"/>
    <mergeCell ref="U265:U266"/>
    <mergeCell ref="V265:V266"/>
    <mergeCell ref="W265:W266"/>
    <mergeCell ref="A267:A271"/>
    <mergeCell ref="B267:B271"/>
    <mergeCell ref="C267:C271"/>
    <mergeCell ref="D267:D271"/>
    <mergeCell ref="E267:E271"/>
    <mergeCell ref="F267:F271"/>
    <mergeCell ref="G267:G271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T267:T268"/>
    <mergeCell ref="U267:U268"/>
    <mergeCell ref="V267:V268"/>
    <mergeCell ref="W267:W268"/>
    <mergeCell ref="J270:J271"/>
    <mergeCell ref="K270:K271"/>
    <mergeCell ref="L270:L271"/>
    <mergeCell ref="M270:M271"/>
    <mergeCell ref="N270:N271"/>
    <mergeCell ref="O270:O271"/>
    <mergeCell ref="P270:P271"/>
    <mergeCell ref="Q270:Q271"/>
    <mergeCell ref="R270:R271"/>
    <mergeCell ref="S270:S271"/>
    <mergeCell ref="T270:T271"/>
    <mergeCell ref="U270:U271"/>
    <mergeCell ref="V270:V271"/>
    <mergeCell ref="W270:W271"/>
    <mergeCell ref="A272:A276"/>
    <mergeCell ref="B272:B276"/>
    <mergeCell ref="C272:C276"/>
    <mergeCell ref="D272:D276"/>
    <mergeCell ref="E272:E276"/>
    <mergeCell ref="F272:F276"/>
    <mergeCell ref="G272:G276"/>
    <mergeCell ref="J272:J273"/>
    <mergeCell ref="K272:K273"/>
    <mergeCell ref="L272:L273"/>
    <mergeCell ref="M272:M273"/>
    <mergeCell ref="N272:N273"/>
    <mergeCell ref="O272:O273"/>
    <mergeCell ref="P272:P273"/>
    <mergeCell ref="Q272:Q273"/>
    <mergeCell ref="R272:R273"/>
    <mergeCell ref="S272:S273"/>
    <mergeCell ref="T272:T273"/>
    <mergeCell ref="U272:U273"/>
    <mergeCell ref="V272:V273"/>
    <mergeCell ref="W272:W273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U275:U276"/>
    <mergeCell ref="V275:V276"/>
    <mergeCell ref="W275:W276"/>
    <mergeCell ref="A277:A281"/>
    <mergeCell ref="B277:B281"/>
    <mergeCell ref="C277:C281"/>
    <mergeCell ref="D277:D281"/>
    <mergeCell ref="E277:E281"/>
    <mergeCell ref="F277:F281"/>
    <mergeCell ref="G277:G281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U280:U281"/>
    <mergeCell ref="V280:V281"/>
    <mergeCell ref="W280:W281"/>
    <mergeCell ref="A282:A286"/>
    <mergeCell ref="B282:B286"/>
    <mergeCell ref="C282:C286"/>
    <mergeCell ref="D282:D286"/>
    <mergeCell ref="E282:E286"/>
    <mergeCell ref="F282:F286"/>
    <mergeCell ref="G282:G286"/>
    <mergeCell ref="J282:J283"/>
    <mergeCell ref="K282:K283"/>
    <mergeCell ref="L282:L283"/>
    <mergeCell ref="M282:M283"/>
    <mergeCell ref="N282:N283"/>
    <mergeCell ref="O282:O283"/>
    <mergeCell ref="P282:P283"/>
    <mergeCell ref="Q282:Q283"/>
    <mergeCell ref="R282:R283"/>
    <mergeCell ref="S282:S283"/>
    <mergeCell ref="T282:T283"/>
    <mergeCell ref="U282:U283"/>
    <mergeCell ref="V282:V283"/>
    <mergeCell ref="W282:W283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A287:A291"/>
    <mergeCell ref="B287:B291"/>
    <mergeCell ref="C287:C291"/>
    <mergeCell ref="D287:D291"/>
    <mergeCell ref="E287:E291"/>
    <mergeCell ref="F287:F291"/>
    <mergeCell ref="G287:G291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S290:S291"/>
    <mergeCell ref="T290:T291"/>
    <mergeCell ref="U290:U291"/>
    <mergeCell ref="V290:V291"/>
    <mergeCell ref="W290:W291"/>
    <mergeCell ref="A292:A296"/>
    <mergeCell ref="B292:B296"/>
    <mergeCell ref="C292:C296"/>
    <mergeCell ref="D292:D296"/>
    <mergeCell ref="E292:E296"/>
    <mergeCell ref="F292:F296"/>
    <mergeCell ref="G292:G296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J295:J296"/>
    <mergeCell ref="K295:K296"/>
    <mergeCell ref="L295:L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U295:U296"/>
    <mergeCell ref="V295:V296"/>
    <mergeCell ref="W295:W296"/>
    <mergeCell ref="A297:A301"/>
    <mergeCell ref="B297:B301"/>
    <mergeCell ref="C297:C301"/>
    <mergeCell ref="D297:D301"/>
    <mergeCell ref="E297:E301"/>
    <mergeCell ref="F297:F301"/>
    <mergeCell ref="G297:G301"/>
    <mergeCell ref="J297:J298"/>
    <mergeCell ref="K297:K298"/>
    <mergeCell ref="L297:L298"/>
    <mergeCell ref="M297:M298"/>
    <mergeCell ref="N297:N298"/>
    <mergeCell ref="O297:O298"/>
    <mergeCell ref="P297:P298"/>
    <mergeCell ref="Q297:Q298"/>
    <mergeCell ref="R297:R298"/>
    <mergeCell ref="S297:S298"/>
    <mergeCell ref="T297:T298"/>
    <mergeCell ref="U297:U298"/>
    <mergeCell ref="V297:V298"/>
    <mergeCell ref="W297:W298"/>
    <mergeCell ref="J300:J301"/>
    <mergeCell ref="K300:K301"/>
    <mergeCell ref="L300:L301"/>
    <mergeCell ref="M300:M301"/>
    <mergeCell ref="N300:N301"/>
    <mergeCell ref="O300:O301"/>
    <mergeCell ref="P300:P301"/>
    <mergeCell ref="Q300:Q301"/>
    <mergeCell ref="R300:R301"/>
    <mergeCell ref="S300:S301"/>
    <mergeCell ref="T300:T301"/>
    <mergeCell ref="U300:U301"/>
    <mergeCell ref="V300:V301"/>
    <mergeCell ref="W300:W301"/>
    <mergeCell ref="A302:A306"/>
    <mergeCell ref="B302:B306"/>
    <mergeCell ref="C302:C306"/>
    <mergeCell ref="D302:D306"/>
    <mergeCell ref="E302:E306"/>
    <mergeCell ref="F302:F306"/>
    <mergeCell ref="G302:G306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V302:V303"/>
    <mergeCell ref="W302:W303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A307:A311"/>
    <mergeCell ref="B307:B311"/>
    <mergeCell ref="C307:C311"/>
    <mergeCell ref="D307:D311"/>
    <mergeCell ref="E307:E311"/>
    <mergeCell ref="F307:F311"/>
    <mergeCell ref="G307:G311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J310:J311"/>
    <mergeCell ref="K310:K311"/>
    <mergeCell ref="L310:L311"/>
    <mergeCell ref="M310:M311"/>
    <mergeCell ref="N310:N311"/>
    <mergeCell ref="O310:O311"/>
    <mergeCell ref="P310:P311"/>
    <mergeCell ref="Q310:Q311"/>
    <mergeCell ref="R310:R311"/>
    <mergeCell ref="S310:S311"/>
    <mergeCell ref="T310:T311"/>
    <mergeCell ref="U310:U311"/>
    <mergeCell ref="V310:V311"/>
    <mergeCell ref="W310:W311"/>
    <mergeCell ref="A312:A316"/>
    <mergeCell ref="B312:B316"/>
    <mergeCell ref="C312:C316"/>
    <mergeCell ref="D312:D316"/>
    <mergeCell ref="E312:E316"/>
    <mergeCell ref="F312:F316"/>
    <mergeCell ref="G312:G316"/>
    <mergeCell ref="J312:J313"/>
    <mergeCell ref="K312:K313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T312:T313"/>
    <mergeCell ref="U312:U313"/>
    <mergeCell ref="V312:V313"/>
    <mergeCell ref="W312:W313"/>
    <mergeCell ref="J315:J316"/>
    <mergeCell ref="K315:K316"/>
    <mergeCell ref="L315:L316"/>
    <mergeCell ref="M315:M316"/>
    <mergeCell ref="N315:N316"/>
    <mergeCell ref="O315:O316"/>
    <mergeCell ref="P315:P316"/>
    <mergeCell ref="Q315:Q316"/>
    <mergeCell ref="R315:R316"/>
    <mergeCell ref="S315:S316"/>
    <mergeCell ref="T315:T316"/>
    <mergeCell ref="U315:U316"/>
    <mergeCell ref="V315:V316"/>
    <mergeCell ref="W315:W316"/>
    <mergeCell ref="A317:A321"/>
    <mergeCell ref="B317:B321"/>
    <mergeCell ref="C317:C321"/>
    <mergeCell ref="D317:D321"/>
    <mergeCell ref="E317:E321"/>
    <mergeCell ref="F317:F321"/>
    <mergeCell ref="G317:G321"/>
    <mergeCell ref="J317:J318"/>
    <mergeCell ref="K317:K318"/>
    <mergeCell ref="L317:L318"/>
    <mergeCell ref="M317:M318"/>
    <mergeCell ref="N317:N318"/>
    <mergeCell ref="O317:O318"/>
    <mergeCell ref="P317:P318"/>
    <mergeCell ref="Q317:Q318"/>
    <mergeCell ref="R317:R318"/>
    <mergeCell ref="S317:S318"/>
    <mergeCell ref="T317:T318"/>
    <mergeCell ref="U317:U318"/>
    <mergeCell ref="V317:V318"/>
    <mergeCell ref="W317:W318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R320:R321"/>
    <mergeCell ref="S320:S321"/>
    <mergeCell ref="T320:T321"/>
    <mergeCell ref="U320:U321"/>
    <mergeCell ref="V320:V321"/>
    <mergeCell ref="W320:W321"/>
    <mergeCell ref="A322:A326"/>
    <mergeCell ref="B322:B326"/>
    <mergeCell ref="C322:C326"/>
    <mergeCell ref="D322:D326"/>
    <mergeCell ref="E322:E326"/>
    <mergeCell ref="F322:F326"/>
    <mergeCell ref="G322:G326"/>
    <mergeCell ref="J322:J323"/>
    <mergeCell ref="K322:K323"/>
    <mergeCell ref="L322:L323"/>
    <mergeCell ref="M322:M323"/>
    <mergeCell ref="N322:N323"/>
    <mergeCell ref="O322:O323"/>
    <mergeCell ref="P322:P323"/>
    <mergeCell ref="Q322:Q323"/>
    <mergeCell ref="R322:R323"/>
    <mergeCell ref="S322:S323"/>
    <mergeCell ref="T322:T323"/>
    <mergeCell ref="U322:U323"/>
    <mergeCell ref="V322:V323"/>
    <mergeCell ref="W322:W323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S325:S326"/>
    <mergeCell ref="T325:T326"/>
    <mergeCell ref="U325:U326"/>
    <mergeCell ref="V325:V326"/>
    <mergeCell ref="W325:W326"/>
    <mergeCell ref="A327:A331"/>
    <mergeCell ref="B327:B331"/>
    <mergeCell ref="C327:C331"/>
    <mergeCell ref="D327:D331"/>
    <mergeCell ref="E327:E331"/>
    <mergeCell ref="F327:F331"/>
    <mergeCell ref="G327:G331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J330:J331"/>
    <mergeCell ref="K330:K331"/>
    <mergeCell ref="L330:L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A332:A336"/>
    <mergeCell ref="B332:B336"/>
    <mergeCell ref="C332:C336"/>
    <mergeCell ref="D332:D336"/>
    <mergeCell ref="E332:E336"/>
    <mergeCell ref="F332:F336"/>
    <mergeCell ref="G332:G336"/>
    <mergeCell ref="J332:J333"/>
    <mergeCell ref="K332:K333"/>
    <mergeCell ref="L332:L333"/>
    <mergeCell ref="M332:M333"/>
    <mergeCell ref="N332:N333"/>
    <mergeCell ref="O332:O333"/>
    <mergeCell ref="P332:P333"/>
    <mergeCell ref="Q332:Q333"/>
    <mergeCell ref="R332:R333"/>
    <mergeCell ref="S332:S333"/>
    <mergeCell ref="T332:T333"/>
    <mergeCell ref="U332:U333"/>
    <mergeCell ref="V332:V333"/>
    <mergeCell ref="W332:W333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A337:G341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T340:T341"/>
    <mergeCell ref="U340:U341"/>
    <mergeCell ref="V340:V341"/>
    <mergeCell ref="W340:W341"/>
    <mergeCell ref="A342:W342"/>
    <mergeCell ref="A343:W343"/>
    <mergeCell ref="A344:W344"/>
    <mergeCell ref="A345:A349"/>
    <mergeCell ref="B345:B349"/>
    <mergeCell ref="C345:C349"/>
    <mergeCell ref="D345:D349"/>
    <mergeCell ref="E345:E349"/>
    <mergeCell ref="F345:F349"/>
    <mergeCell ref="G345:G349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S345:S346"/>
    <mergeCell ref="T345:T346"/>
    <mergeCell ref="U345:U346"/>
    <mergeCell ref="V345:V346"/>
    <mergeCell ref="W345:W346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A350:A354"/>
    <mergeCell ref="B350:B354"/>
    <mergeCell ref="C350:C354"/>
    <mergeCell ref="D350:D354"/>
    <mergeCell ref="E350:E354"/>
    <mergeCell ref="F350:F354"/>
    <mergeCell ref="G350:G354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R353:R354"/>
    <mergeCell ref="S353:S354"/>
    <mergeCell ref="T353:T354"/>
    <mergeCell ref="U353:U354"/>
    <mergeCell ref="V353:V354"/>
    <mergeCell ref="W353:W354"/>
    <mergeCell ref="A355:A359"/>
    <mergeCell ref="B355:B359"/>
    <mergeCell ref="C355:C359"/>
    <mergeCell ref="D355:D359"/>
    <mergeCell ref="E355:E359"/>
    <mergeCell ref="F355:F359"/>
    <mergeCell ref="G355:G359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U355:U356"/>
    <mergeCell ref="V355:V356"/>
    <mergeCell ref="W355:W356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A360:A364"/>
    <mergeCell ref="B360:B364"/>
    <mergeCell ref="C360:C364"/>
    <mergeCell ref="D360:D364"/>
    <mergeCell ref="E360:E364"/>
    <mergeCell ref="F360:F364"/>
    <mergeCell ref="G360:G364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R363:R364"/>
    <mergeCell ref="S363:S364"/>
    <mergeCell ref="T363:T364"/>
    <mergeCell ref="U363:U364"/>
    <mergeCell ref="V363:V364"/>
    <mergeCell ref="W363:W364"/>
    <mergeCell ref="A365:G369"/>
    <mergeCell ref="J365:J366"/>
    <mergeCell ref="K365:K366"/>
    <mergeCell ref="L365:L366"/>
    <mergeCell ref="M365:M366"/>
    <mergeCell ref="N365:N366"/>
    <mergeCell ref="O365:O366"/>
    <mergeCell ref="P365:P366"/>
    <mergeCell ref="Q365:Q366"/>
    <mergeCell ref="R365:R366"/>
    <mergeCell ref="S365:S366"/>
    <mergeCell ref="T365:T366"/>
    <mergeCell ref="U365:U366"/>
    <mergeCell ref="V365:V366"/>
    <mergeCell ref="W365:W366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A370:W370"/>
    <mergeCell ref="A371:W371"/>
    <mergeCell ref="A372:W372"/>
    <mergeCell ref="A373:A377"/>
    <mergeCell ref="B373:B377"/>
    <mergeCell ref="C373:C377"/>
    <mergeCell ref="D373:D377"/>
    <mergeCell ref="E373:E377"/>
    <mergeCell ref="F373:F377"/>
    <mergeCell ref="G373:G377"/>
    <mergeCell ref="J373:J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S373:S374"/>
    <mergeCell ref="T373:T374"/>
    <mergeCell ref="U373:U374"/>
    <mergeCell ref="V373:V374"/>
    <mergeCell ref="W373:W374"/>
    <mergeCell ref="J376:J377"/>
    <mergeCell ref="K376:K377"/>
    <mergeCell ref="L376:L377"/>
    <mergeCell ref="M376:M377"/>
    <mergeCell ref="N376:N377"/>
    <mergeCell ref="O376:O377"/>
    <mergeCell ref="P376:P377"/>
    <mergeCell ref="Q376:Q377"/>
    <mergeCell ref="R376:R377"/>
    <mergeCell ref="S376:S377"/>
    <mergeCell ref="T376:T377"/>
    <mergeCell ref="U376:U377"/>
    <mergeCell ref="V376:V377"/>
    <mergeCell ref="W376:W377"/>
    <mergeCell ref="A378:A382"/>
    <mergeCell ref="B378:B382"/>
    <mergeCell ref="C378:C382"/>
    <mergeCell ref="D378:D382"/>
    <mergeCell ref="E378:E382"/>
    <mergeCell ref="F378:F382"/>
    <mergeCell ref="G378:G382"/>
    <mergeCell ref="J378:J379"/>
    <mergeCell ref="K378:K379"/>
    <mergeCell ref="L378:L379"/>
    <mergeCell ref="M378:M379"/>
    <mergeCell ref="N378:N379"/>
    <mergeCell ref="O378:O379"/>
    <mergeCell ref="P378:P379"/>
    <mergeCell ref="Q378:Q379"/>
    <mergeCell ref="R378:R379"/>
    <mergeCell ref="S378:S379"/>
    <mergeCell ref="T378:T379"/>
    <mergeCell ref="U378:U379"/>
    <mergeCell ref="V378:V379"/>
    <mergeCell ref="W378:W379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A383:A387"/>
    <mergeCell ref="B383:B387"/>
    <mergeCell ref="C383:C387"/>
    <mergeCell ref="D383:D387"/>
    <mergeCell ref="E383:E387"/>
    <mergeCell ref="F383:F387"/>
    <mergeCell ref="G383:G387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J386:J387"/>
    <mergeCell ref="K386:K387"/>
    <mergeCell ref="L386:L387"/>
    <mergeCell ref="M386:M387"/>
    <mergeCell ref="N386:N387"/>
    <mergeCell ref="O386:O387"/>
    <mergeCell ref="P386:P387"/>
    <mergeCell ref="Q386:Q387"/>
    <mergeCell ref="R386:R387"/>
    <mergeCell ref="S386:S387"/>
    <mergeCell ref="T386:T387"/>
    <mergeCell ref="U386:U387"/>
    <mergeCell ref="V386:V387"/>
    <mergeCell ref="W386:W387"/>
    <mergeCell ref="A388:A392"/>
    <mergeCell ref="B388:B392"/>
    <mergeCell ref="C388:C392"/>
    <mergeCell ref="D388:D392"/>
    <mergeCell ref="E388:E392"/>
    <mergeCell ref="F388:F392"/>
    <mergeCell ref="G388:G392"/>
    <mergeCell ref="J388:J389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U388:U389"/>
    <mergeCell ref="V388:V389"/>
    <mergeCell ref="W388:W389"/>
    <mergeCell ref="J391:J392"/>
    <mergeCell ref="K391:K392"/>
    <mergeCell ref="L391:L392"/>
    <mergeCell ref="M391:M392"/>
    <mergeCell ref="N391:N392"/>
    <mergeCell ref="O391:O392"/>
    <mergeCell ref="P391:P392"/>
    <mergeCell ref="Q391:Q392"/>
    <mergeCell ref="R391:R392"/>
    <mergeCell ref="S391:S392"/>
    <mergeCell ref="T391:T392"/>
    <mergeCell ref="U391:U392"/>
    <mergeCell ref="V391:V392"/>
    <mergeCell ref="W391:W392"/>
    <mergeCell ref="A393:A397"/>
    <mergeCell ref="B393:B397"/>
    <mergeCell ref="C393:C397"/>
    <mergeCell ref="D393:D397"/>
    <mergeCell ref="E393:E397"/>
    <mergeCell ref="F393:F397"/>
    <mergeCell ref="G393:G397"/>
    <mergeCell ref="J393:J394"/>
    <mergeCell ref="K393:K394"/>
    <mergeCell ref="L393:L394"/>
    <mergeCell ref="M393:M394"/>
    <mergeCell ref="N393:N394"/>
    <mergeCell ref="O393:O394"/>
    <mergeCell ref="P393:P394"/>
    <mergeCell ref="Q393:Q394"/>
    <mergeCell ref="R393:R394"/>
    <mergeCell ref="S393:S394"/>
    <mergeCell ref="T393:T394"/>
    <mergeCell ref="U393:U394"/>
    <mergeCell ref="V393:V394"/>
    <mergeCell ref="W393:W394"/>
    <mergeCell ref="J396:J397"/>
    <mergeCell ref="K396:K397"/>
    <mergeCell ref="L396:L397"/>
    <mergeCell ref="M396:M397"/>
    <mergeCell ref="N396:N397"/>
    <mergeCell ref="O396:O397"/>
    <mergeCell ref="P396:P397"/>
    <mergeCell ref="Q396:Q397"/>
    <mergeCell ref="R396:R397"/>
    <mergeCell ref="S396:S397"/>
    <mergeCell ref="T396:T397"/>
    <mergeCell ref="U396:U397"/>
    <mergeCell ref="V396:V397"/>
    <mergeCell ref="W396:W397"/>
    <mergeCell ref="A398:A402"/>
    <mergeCell ref="B398:B402"/>
    <mergeCell ref="C398:C402"/>
    <mergeCell ref="D398:D402"/>
    <mergeCell ref="E398:E402"/>
    <mergeCell ref="F398:F402"/>
    <mergeCell ref="G398:G402"/>
    <mergeCell ref="J398:J399"/>
    <mergeCell ref="K398:K399"/>
    <mergeCell ref="L398:L399"/>
    <mergeCell ref="M398:M399"/>
    <mergeCell ref="N398:N399"/>
    <mergeCell ref="O398:O399"/>
    <mergeCell ref="P398:P399"/>
    <mergeCell ref="Q398:Q399"/>
    <mergeCell ref="R398:R399"/>
    <mergeCell ref="S398:S399"/>
    <mergeCell ref="T398:T399"/>
    <mergeCell ref="U398:U399"/>
    <mergeCell ref="V398:V399"/>
    <mergeCell ref="W398:W399"/>
    <mergeCell ref="J401:J402"/>
    <mergeCell ref="K401:K402"/>
    <mergeCell ref="L401:L402"/>
    <mergeCell ref="M401:M402"/>
    <mergeCell ref="N401:N402"/>
    <mergeCell ref="O401:O402"/>
    <mergeCell ref="P401:P402"/>
    <mergeCell ref="Q401:Q402"/>
    <mergeCell ref="R401:R402"/>
    <mergeCell ref="S401:S402"/>
    <mergeCell ref="T401:T402"/>
    <mergeCell ref="U401:U402"/>
    <mergeCell ref="V401:V402"/>
    <mergeCell ref="W401:W402"/>
    <mergeCell ref="A403:A407"/>
    <mergeCell ref="B403:B407"/>
    <mergeCell ref="C403:C407"/>
    <mergeCell ref="D403:D407"/>
    <mergeCell ref="E403:E407"/>
    <mergeCell ref="F403:F407"/>
    <mergeCell ref="G403:G407"/>
    <mergeCell ref="J403:J404"/>
    <mergeCell ref="K403:K404"/>
    <mergeCell ref="L403:L404"/>
    <mergeCell ref="M403:M404"/>
    <mergeCell ref="N403:N404"/>
    <mergeCell ref="O403:O404"/>
    <mergeCell ref="P403:P404"/>
    <mergeCell ref="Q403:Q404"/>
    <mergeCell ref="R403:R404"/>
    <mergeCell ref="S403:S404"/>
    <mergeCell ref="T403:T404"/>
    <mergeCell ref="U403:U404"/>
    <mergeCell ref="V403:V404"/>
    <mergeCell ref="W403:W404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A408:A412"/>
    <mergeCell ref="B408:B412"/>
    <mergeCell ref="C408:C412"/>
    <mergeCell ref="D408:D412"/>
    <mergeCell ref="E408:E412"/>
    <mergeCell ref="F408:F412"/>
    <mergeCell ref="G408:G412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U411:U412"/>
    <mergeCell ref="V411:V412"/>
    <mergeCell ref="W411:W412"/>
    <mergeCell ref="A413:A417"/>
    <mergeCell ref="B413:B417"/>
    <mergeCell ref="C413:C417"/>
    <mergeCell ref="D413:D417"/>
    <mergeCell ref="E413:E417"/>
    <mergeCell ref="F413:F417"/>
    <mergeCell ref="G413:G417"/>
    <mergeCell ref="J413:J414"/>
    <mergeCell ref="K413:K414"/>
    <mergeCell ref="L413:L414"/>
    <mergeCell ref="M413:M414"/>
    <mergeCell ref="N413:N414"/>
    <mergeCell ref="O413:O414"/>
    <mergeCell ref="P413:P414"/>
    <mergeCell ref="Q413:Q414"/>
    <mergeCell ref="R413:R414"/>
    <mergeCell ref="S413:S414"/>
    <mergeCell ref="T413:T414"/>
    <mergeCell ref="U413:U414"/>
    <mergeCell ref="V413:V414"/>
    <mergeCell ref="W413:W414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A418:A422"/>
    <mergeCell ref="B418:B422"/>
    <mergeCell ref="C418:C422"/>
    <mergeCell ref="D418:D422"/>
    <mergeCell ref="E418:E422"/>
    <mergeCell ref="F418:F422"/>
    <mergeCell ref="G418:G422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J421:J422"/>
    <mergeCell ref="K421:K422"/>
    <mergeCell ref="L421:L422"/>
    <mergeCell ref="M421:M422"/>
    <mergeCell ref="N421:N422"/>
    <mergeCell ref="O421:O422"/>
    <mergeCell ref="P421:P422"/>
    <mergeCell ref="Q421:Q422"/>
    <mergeCell ref="R421:R422"/>
    <mergeCell ref="S421:S422"/>
    <mergeCell ref="T421:T422"/>
    <mergeCell ref="U421:U422"/>
    <mergeCell ref="V421:V422"/>
    <mergeCell ref="W421:W422"/>
    <mergeCell ref="A423:A427"/>
    <mergeCell ref="B423:B427"/>
    <mergeCell ref="C423:C427"/>
    <mergeCell ref="D423:D427"/>
    <mergeCell ref="E423:E427"/>
    <mergeCell ref="F423:F427"/>
    <mergeCell ref="G423:G427"/>
    <mergeCell ref="J423:J424"/>
    <mergeCell ref="K423:K424"/>
    <mergeCell ref="L423:L424"/>
    <mergeCell ref="M423:M424"/>
    <mergeCell ref="N423:N424"/>
    <mergeCell ref="O423:O424"/>
    <mergeCell ref="P423:P424"/>
    <mergeCell ref="Q423:Q424"/>
    <mergeCell ref="R423:R424"/>
    <mergeCell ref="S423:S424"/>
    <mergeCell ref="T423:T424"/>
    <mergeCell ref="U423:U424"/>
    <mergeCell ref="V423:V424"/>
    <mergeCell ref="W423:W424"/>
    <mergeCell ref="J426:J427"/>
    <mergeCell ref="K426:K427"/>
    <mergeCell ref="L426:L427"/>
    <mergeCell ref="M426:M427"/>
    <mergeCell ref="N426:N427"/>
    <mergeCell ref="O426:O427"/>
    <mergeCell ref="P426:P427"/>
    <mergeCell ref="Q426:Q427"/>
    <mergeCell ref="R426:R427"/>
    <mergeCell ref="S426:S427"/>
    <mergeCell ref="T426:T427"/>
    <mergeCell ref="U426:U427"/>
    <mergeCell ref="V426:V427"/>
    <mergeCell ref="W426:W427"/>
    <mergeCell ref="A428:A432"/>
    <mergeCell ref="B428:B432"/>
    <mergeCell ref="C428:C432"/>
    <mergeCell ref="D428:D432"/>
    <mergeCell ref="E428:E432"/>
    <mergeCell ref="F428:F432"/>
    <mergeCell ref="G428:G432"/>
    <mergeCell ref="J428:J429"/>
    <mergeCell ref="K428:K429"/>
    <mergeCell ref="L428:L429"/>
    <mergeCell ref="M428:M429"/>
    <mergeCell ref="N428:N429"/>
    <mergeCell ref="O428:O429"/>
    <mergeCell ref="P428:P429"/>
    <mergeCell ref="Q428:Q429"/>
    <mergeCell ref="R428:R429"/>
    <mergeCell ref="S428:S429"/>
    <mergeCell ref="T428:T429"/>
    <mergeCell ref="U428:U429"/>
    <mergeCell ref="V428:V429"/>
    <mergeCell ref="W428:W429"/>
    <mergeCell ref="J431:J432"/>
    <mergeCell ref="K431:K432"/>
    <mergeCell ref="L431:L432"/>
    <mergeCell ref="M431:M432"/>
    <mergeCell ref="N431:N432"/>
    <mergeCell ref="O431:O432"/>
    <mergeCell ref="P431:P432"/>
    <mergeCell ref="Q431:Q432"/>
    <mergeCell ref="R431:R432"/>
    <mergeCell ref="S431:S432"/>
    <mergeCell ref="T431:T432"/>
    <mergeCell ref="U431:U432"/>
    <mergeCell ref="V431:V432"/>
    <mergeCell ref="W431:W432"/>
    <mergeCell ref="A433:A437"/>
    <mergeCell ref="B433:B437"/>
    <mergeCell ref="C433:C437"/>
    <mergeCell ref="D433:D437"/>
    <mergeCell ref="E433:E437"/>
    <mergeCell ref="F433:F437"/>
    <mergeCell ref="G433:G437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T433:T434"/>
    <mergeCell ref="U433:U434"/>
    <mergeCell ref="V433:V434"/>
    <mergeCell ref="W433:W434"/>
    <mergeCell ref="J436:J437"/>
    <mergeCell ref="K436:K437"/>
    <mergeCell ref="L436:L437"/>
    <mergeCell ref="M436:M437"/>
    <mergeCell ref="N436:N437"/>
    <mergeCell ref="O436:O437"/>
    <mergeCell ref="P436:P437"/>
    <mergeCell ref="Q436:Q437"/>
    <mergeCell ref="R436:R437"/>
    <mergeCell ref="S436:S437"/>
    <mergeCell ref="T436:T437"/>
    <mergeCell ref="U436:U437"/>
    <mergeCell ref="V436:V437"/>
    <mergeCell ref="W436:W437"/>
    <mergeCell ref="A438:A442"/>
    <mergeCell ref="B438:B442"/>
    <mergeCell ref="C438:C442"/>
    <mergeCell ref="D438:D442"/>
    <mergeCell ref="E438:E442"/>
    <mergeCell ref="F438:F442"/>
    <mergeCell ref="G438:G442"/>
    <mergeCell ref="J438:J439"/>
    <mergeCell ref="K438:K439"/>
    <mergeCell ref="L438:L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V438:V439"/>
    <mergeCell ref="W438:W439"/>
    <mergeCell ref="J441:J442"/>
    <mergeCell ref="K441:K442"/>
    <mergeCell ref="L441:L442"/>
    <mergeCell ref="M441:M442"/>
    <mergeCell ref="N441:N442"/>
    <mergeCell ref="O441:O442"/>
    <mergeCell ref="P441:P442"/>
    <mergeCell ref="Q441:Q442"/>
    <mergeCell ref="R441:R442"/>
    <mergeCell ref="S441:S442"/>
    <mergeCell ref="T441:T442"/>
    <mergeCell ref="U441:U442"/>
    <mergeCell ref="V441:V442"/>
    <mergeCell ref="W441:W442"/>
    <mergeCell ref="A443:A447"/>
    <mergeCell ref="B443:B447"/>
    <mergeCell ref="C443:C447"/>
    <mergeCell ref="D443:D447"/>
    <mergeCell ref="E443:E447"/>
    <mergeCell ref="F443:F447"/>
    <mergeCell ref="G443:G447"/>
    <mergeCell ref="J443:J444"/>
    <mergeCell ref="K443:K444"/>
    <mergeCell ref="L443:L444"/>
    <mergeCell ref="M443:M444"/>
    <mergeCell ref="N443:N444"/>
    <mergeCell ref="O443:O444"/>
    <mergeCell ref="P443:P444"/>
    <mergeCell ref="Q443:Q444"/>
    <mergeCell ref="R443:R444"/>
    <mergeCell ref="S443:S444"/>
    <mergeCell ref="T443:T444"/>
    <mergeCell ref="U443:U444"/>
    <mergeCell ref="V443:V444"/>
    <mergeCell ref="W443:W444"/>
    <mergeCell ref="J446:J447"/>
    <mergeCell ref="K446:K447"/>
    <mergeCell ref="L446:L447"/>
    <mergeCell ref="M446:M447"/>
    <mergeCell ref="N446:N447"/>
    <mergeCell ref="O446:O447"/>
    <mergeCell ref="P446:P447"/>
    <mergeCell ref="Q446:Q447"/>
    <mergeCell ref="R446:R447"/>
    <mergeCell ref="S446:S447"/>
    <mergeCell ref="T446:T447"/>
    <mergeCell ref="U446:U447"/>
    <mergeCell ref="V446:V447"/>
    <mergeCell ref="W446:W447"/>
    <mergeCell ref="A448:A452"/>
    <mergeCell ref="B448:B452"/>
    <mergeCell ref="C448:C452"/>
    <mergeCell ref="D448:D452"/>
    <mergeCell ref="E448:E452"/>
    <mergeCell ref="F448:F452"/>
    <mergeCell ref="G448:G452"/>
    <mergeCell ref="J448:J449"/>
    <mergeCell ref="K448:K449"/>
    <mergeCell ref="L448:L449"/>
    <mergeCell ref="M448:M449"/>
    <mergeCell ref="N448:N449"/>
    <mergeCell ref="O448:O449"/>
    <mergeCell ref="P448:P449"/>
    <mergeCell ref="Q448:Q449"/>
    <mergeCell ref="R448:R449"/>
    <mergeCell ref="S448:S449"/>
    <mergeCell ref="T448:T449"/>
    <mergeCell ref="U448:U449"/>
    <mergeCell ref="V448:V449"/>
    <mergeCell ref="W448:W449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S451:S452"/>
    <mergeCell ref="T451:T452"/>
    <mergeCell ref="U451:U452"/>
    <mergeCell ref="V451:V452"/>
    <mergeCell ref="W451:W452"/>
    <mergeCell ref="A453:A457"/>
    <mergeCell ref="B453:B457"/>
    <mergeCell ref="C453:C457"/>
    <mergeCell ref="D453:D457"/>
    <mergeCell ref="E453:E457"/>
    <mergeCell ref="F453:F457"/>
    <mergeCell ref="G453:G457"/>
    <mergeCell ref="J453:J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U453:U454"/>
    <mergeCell ref="V453:V454"/>
    <mergeCell ref="W453:W454"/>
    <mergeCell ref="J456:J457"/>
    <mergeCell ref="K456:K457"/>
    <mergeCell ref="L456:L457"/>
    <mergeCell ref="M456:M457"/>
    <mergeCell ref="N456:N457"/>
    <mergeCell ref="O456:O457"/>
    <mergeCell ref="P456:P457"/>
    <mergeCell ref="Q456:Q457"/>
    <mergeCell ref="R456:R457"/>
    <mergeCell ref="S456:S457"/>
    <mergeCell ref="T456:T457"/>
    <mergeCell ref="U456:U457"/>
    <mergeCell ref="V456:V457"/>
    <mergeCell ref="W456:W457"/>
    <mergeCell ref="A458:A462"/>
    <mergeCell ref="B458:B462"/>
    <mergeCell ref="C458:C462"/>
    <mergeCell ref="D458:D462"/>
    <mergeCell ref="E458:E462"/>
    <mergeCell ref="F458:F462"/>
    <mergeCell ref="G458:G462"/>
    <mergeCell ref="J458:J459"/>
    <mergeCell ref="K458:K459"/>
    <mergeCell ref="L458:L459"/>
    <mergeCell ref="M458:M459"/>
    <mergeCell ref="N458:N459"/>
    <mergeCell ref="O458:O459"/>
    <mergeCell ref="P458:P459"/>
    <mergeCell ref="Q458:Q459"/>
    <mergeCell ref="R458:R459"/>
    <mergeCell ref="S458:S459"/>
    <mergeCell ref="T458:T459"/>
    <mergeCell ref="U458:U459"/>
    <mergeCell ref="V458:V459"/>
    <mergeCell ref="W458:W459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S461:S462"/>
    <mergeCell ref="T461:T462"/>
    <mergeCell ref="U461:U462"/>
    <mergeCell ref="V461:V462"/>
    <mergeCell ref="W461:W462"/>
    <mergeCell ref="A463:A467"/>
    <mergeCell ref="B463:B467"/>
    <mergeCell ref="C463:C467"/>
    <mergeCell ref="D463:D467"/>
    <mergeCell ref="E463:E467"/>
    <mergeCell ref="F463:F467"/>
    <mergeCell ref="G463:G467"/>
    <mergeCell ref="J463:J464"/>
    <mergeCell ref="K463:K464"/>
    <mergeCell ref="L463:L464"/>
    <mergeCell ref="M463:M464"/>
    <mergeCell ref="N463:N464"/>
    <mergeCell ref="O463:O464"/>
    <mergeCell ref="P463:P464"/>
    <mergeCell ref="Q463:Q464"/>
    <mergeCell ref="R463:R464"/>
    <mergeCell ref="S463:S464"/>
    <mergeCell ref="T463:T464"/>
    <mergeCell ref="U463:U464"/>
    <mergeCell ref="V463:V464"/>
    <mergeCell ref="W463:W464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A468:A472"/>
    <mergeCell ref="B468:B472"/>
    <mergeCell ref="C468:C472"/>
    <mergeCell ref="D468:D472"/>
    <mergeCell ref="E468:E472"/>
    <mergeCell ref="F468:F472"/>
    <mergeCell ref="G468:G472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J471:J472"/>
    <mergeCell ref="K471:K472"/>
    <mergeCell ref="L471:L472"/>
    <mergeCell ref="M471:M472"/>
    <mergeCell ref="N471:N472"/>
    <mergeCell ref="O471:O472"/>
    <mergeCell ref="P471:P472"/>
    <mergeCell ref="Q471:Q472"/>
    <mergeCell ref="R471:R472"/>
    <mergeCell ref="S471:S472"/>
    <mergeCell ref="T471:T472"/>
    <mergeCell ref="U471:U472"/>
    <mergeCell ref="V471:V472"/>
    <mergeCell ref="W471:W472"/>
    <mergeCell ref="A473:G477"/>
    <mergeCell ref="J473:J474"/>
    <mergeCell ref="K473:K474"/>
    <mergeCell ref="L473:L474"/>
    <mergeCell ref="M473:M474"/>
    <mergeCell ref="N473:N474"/>
    <mergeCell ref="O473:O474"/>
    <mergeCell ref="P473:P474"/>
    <mergeCell ref="Q473:Q474"/>
    <mergeCell ref="R473:R474"/>
    <mergeCell ref="S473:S474"/>
    <mergeCell ref="T473:T474"/>
    <mergeCell ref="U473:U474"/>
    <mergeCell ref="V473:V474"/>
    <mergeCell ref="W473:W474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A478:G482"/>
    <mergeCell ref="J478:J479"/>
    <mergeCell ref="K478:K479"/>
    <mergeCell ref="L478:L479"/>
    <mergeCell ref="M478:M479"/>
    <mergeCell ref="N478:N479"/>
    <mergeCell ref="O478:O479"/>
    <mergeCell ref="P478:P479"/>
    <mergeCell ref="P481:P482"/>
    <mergeCell ref="Q481:Q482"/>
    <mergeCell ref="R481:R482"/>
    <mergeCell ref="Q478:Q479"/>
    <mergeCell ref="R478:R479"/>
    <mergeCell ref="S478:S479"/>
    <mergeCell ref="S481:S482"/>
    <mergeCell ref="J481:J482"/>
    <mergeCell ref="K481:K482"/>
    <mergeCell ref="L481:L482"/>
    <mergeCell ref="M481:M482"/>
    <mergeCell ref="N481:N482"/>
    <mergeCell ref="O481:O482"/>
    <mergeCell ref="T481:T482"/>
    <mergeCell ref="U481:U482"/>
    <mergeCell ref="V481:V482"/>
    <mergeCell ref="W481:W482"/>
    <mergeCell ref="W478:W479"/>
    <mergeCell ref="T478:T479"/>
    <mergeCell ref="U478:U479"/>
    <mergeCell ref="V478:V479"/>
  </mergeCells>
  <printOptions horizontalCentered="1"/>
  <pageMargins left="0.31496062992125984" right="0.2755905511811024" top="0.984251968503937" bottom="0.7480314960629921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7"/>
  <sheetViews>
    <sheetView view="pageBreakPreview" zoomScaleSheetLayoutView="100" zoomScalePageLayoutView="0" workbookViewId="0" topLeftCell="A1">
      <selection activeCell="C38" sqref="C38:C42"/>
    </sheetView>
  </sheetViews>
  <sheetFormatPr defaultColWidth="8.796875" defaultRowHeight="14.25"/>
  <cols>
    <col min="1" max="1" width="5.3984375" style="462" customWidth="1"/>
    <col min="2" max="2" width="13.09765625" style="462" customWidth="1"/>
    <col min="3" max="3" width="43.8984375" style="462" customWidth="1"/>
    <col min="4" max="4" width="10.69921875" style="462" customWidth="1"/>
    <col min="5" max="5" width="10.3984375" style="462" customWidth="1"/>
    <col min="6" max="6" width="11" style="462" customWidth="1"/>
    <col min="7" max="8" width="12.09765625" style="462" customWidth="1"/>
    <col min="9" max="9" width="12.8984375" style="462" customWidth="1"/>
    <col min="10" max="11" width="12.09765625" style="462" customWidth="1"/>
    <col min="12" max="12" width="11.3984375" style="462" customWidth="1"/>
    <col min="13" max="14" width="11.8984375" style="462" customWidth="1"/>
    <col min="15" max="15" width="11.69921875" style="462" customWidth="1"/>
    <col min="16" max="16" width="11.3984375" style="462" customWidth="1"/>
    <col min="17" max="17" width="11.8984375" style="462" customWidth="1"/>
    <col min="18" max="18" width="11.3984375" style="462" customWidth="1"/>
    <col min="19" max="19" width="10.3984375" style="462" customWidth="1"/>
    <col min="20" max="20" width="12.8984375" style="462" customWidth="1"/>
    <col min="21" max="21" width="11.69921875" style="462" customWidth="1"/>
    <col min="22" max="22" width="11" style="462" customWidth="1"/>
    <col min="23" max="16384" width="9" style="462" customWidth="1"/>
  </cols>
  <sheetData>
    <row r="1" spans="1:22" s="447" customFormat="1" ht="15.75">
      <c r="A1" s="446" t="s">
        <v>365</v>
      </c>
      <c r="T1" s="899" t="s">
        <v>655</v>
      </c>
      <c r="U1" s="899"/>
      <c r="V1" s="899"/>
    </row>
    <row r="2" spans="1:22" s="447" customFormat="1" ht="15.75">
      <c r="A2" s="446"/>
      <c r="T2" s="899" t="s">
        <v>653</v>
      </c>
      <c r="U2" s="899"/>
      <c r="V2" s="899"/>
    </row>
    <row r="3" spans="1:22" s="447" customFormat="1" ht="15.75">
      <c r="A3" s="446"/>
      <c r="T3" s="899" t="s">
        <v>654</v>
      </c>
      <c r="U3" s="899"/>
      <c r="V3" s="899"/>
    </row>
    <row r="4" s="447" customFormat="1" ht="10.5" customHeight="1">
      <c r="A4" s="446"/>
    </row>
    <row r="5" s="447" customFormat="1" ht="10.5" customHeight="1">
      <c r="A5" s="446"/>
    </row>
    <row r="6" spans="1:24" s="447" customFormat="1" ht="39" customHeight="1">
      <c r="A6" s="900" t="s">
        <v>549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448"/>
      <c r="X6" s="448"/>
    </row>
    <row r="7" spans="1:21" s="464" customFormat="1" ht="15.75" customHeight="1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5" t="s">
        <v>0</v>
      </c>
    </row>
    <row r="8" spans="1:22" s="447" customFormat="1" ht="24" customHeight="1">
      <c r="A8" s="896" t="s">
        <v>550</v>
      </c>
      <c r="B8" s="886" t="s">
        <v>551</v>
      </c>
      <c r="C8" s="889" t="s">
        <v>552</v>
      </c>
      <c r="D8" s="889" t="s">
        <v>553</v>
      </c>
      <c r="E8" s="886" t="s">
        <v>554</v>
      </c>
      <c r="F8" s="889" t="s">
        <v>217</v>
      </c>
      <c r="G8" s="893" t="s">
        <v>555</v>
      </c>
      <c r="H8" s="893" t="s">
        <v>556</v>
      </c>
      <c r="I8" s="843" t="s">
        <v>557</v>
      </c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</row>
    <row r="9" spans="1:22" s="449" customFormat="1" ht="25.5" customHeight="1">
      <c r="A9" s="897"/>
      <c r="B9" s="887"/>
      <c r="C9" s="890"/>
      <c r="D9" s="890"/>
      <c r="E9" s="887"/>
      <c r="F9" s="890"/>
      <c r="G9" s="893"/>
      <c r="H9" s="89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</row>
    <row r="10" spans="1:22" s="449" customFormat="1" ht="15.75" customHeight="1">
      <c r="A10" s="897"/>
      <c r="B10" s="887"/>
      <c r="C10" s="890"/>
      <c r="D10" s="890"/>
      <c r="E10" s="887"/>
      <c r="F10" s="890"/>
      <c r="G10" s="450" t="s">
        <v>558</v>
      </c>
      <c r="H10" s="450" t="s">
        <v>558</v>
      </c>
      <c r="I10" s="843" t="s">
        <v>559</v>
      </c>
      <c r="J10" s="892" t="s">
        <v>560</v>
      </c>
      <c r="K10" s="892"/>
      <c r="L10" s="892"/>
      <c r="M10" s="884" t="s">
        <v>561</v>
      </c>
      <c r="N10" s="892" t="s">
        <v>562</v>
      </c>
      <c r="O10" s="892"/>
      <c r="P10" s="892"/>
      <c r="Q10" s="892"/>
      <c r="R10" s="892"/>
      <c r="S10" s="892"/>
      <c r="T10" s="892"/>
      <c r="U10" s="892"/>
      <c r="V10" s="892"/>
    </row>
    <row r="11" spans="1:22" s="449" customFormat="1" ht="12.75" customHeight="1">
      <c r="A11" s="897"/>
      <c r="B11" s="887"/>
      <c r="C11" s="890"/>
      <c r="D11" s="890"/>
      <c r="E11" s="887"/>
      <c r="F11" s="890"/>
      <c r="G11" s="450" t="s">
        <v>563</v>
      </c>
      <c r="H11" s="450" t="s">
        <v>563</v>
      </c>
      <c r="I11" s="843"/>
      <c r="J11" s="892"/>
      <c r="K11" s="892"/>
      <c r="L11" s="892"/>
      <c r="M11" s="884"/>
      <c r="N11" s="882" t="s">
        <v>564</v>
      </c>
      <c r="O11" s="882"/>
      <c r="P11" s="882"/>
      <c r="Q11" s="882" t="s">
        <v>565</v>
      </c>
      <c r="R11" s="882"/>
      <c r="S11" s="882"/>
      <c r="T11" s="884" t="s">
        <v>566</v>
      </c>
      <c r="U11" s="884"/>
      <c r="V11" s="884"/>
    </row>
    <row r="12" spans="1:22" s="449" customFormat="1" ht="14.25" customHeight="1">
      <c r="A12" s="897"/>
      <c r="B12" s="887"/>
      <c r="C12" s="890"/>
      <c r="D12" s="890"/>
      <c r="E12" s="887"/>
      <c r="F12" s="890"/>
      <c r="G12" s="450" t="s">
        <v>567</v>
      </c>
      <c r="H12" s="450" t="s">
        <v>567</v>
      </c>
      <c r="I12" s="843"/>
      <c r="J12" s="882" t="s">
        <v>90</v>
      </c>
      <c r="K12" s="882" t="s">
        <v>568</v>
      </c>
      <c r="L12" s="882" t="s">
        <v>569</v>
      </c>
      <c r="M12" s="884"/>
      <c r="N12" s="882" t="s">
        <v>90</v>
      </c>
      <c r="O12" s="882" t="s">
        <v>570</v>
      </c>
      <c r="P12" s="883" t="s">
        <v>569</v>
      </c>
      <c r="Q12" s="882" t="s">
        <v>90</v>
      </c>
      <c r="R12" s="882" t="s">
        <v>570</v>
      </c>
      <c r="S12" s="885" t="s">
        <v>569</v>
      </c>
      <c r="T12" s="884" t="s">
        <v>571</v>
      </c>
      <c r="U12" s="882" t="s">
        <v>570</v>
      </c>
      <c r="V12" s="885" t="s">
        <v>569</v>
      </c>
    </row>
    <row r="13" spans="1:22" s="449" customFormat="1" ht="16.5" customHeight="1">
      <c r="A13" s="898"/>
      <c r="B13" s="888"/>
      <c r="C13" s="891"/>
      <c r="D13" s="891"/>
      <c r="E13" s="888"/>
      <c r="F13" s="891"/>
      <c r="G13" s="450" t="s">
        <v>566</v>
      </c>
      <c r="H13" s="450" t="s">
        <v>566</v>
      </c>
      <c r="I13" s="843"/>
      <c r="J13" s="882"/>
      <c r="K13" s="882"/>
      <c r="L13" s="882"/>
      <c r="M13" s="884"/>
      <c r="N13" s="882"/>
      <c r="O13" s="882"/>
      <c r="P13" s="883"/>
      <c r="Q13" s="882"/>
      <c r="R13" s="882"/>
      <c r="S13" s="885"/>
      <c r="T13" s="884"/>
      <c r="U13" s="882"/>
      <c r="V13" s="885"/>
    </row>
    <row r="14" spans="1:22" s="452" customFormat="1" ht="12.75" customHeight="1">
      <c r="A14" s="451">
        <v>1</v>
      </c>
      <c r="B14" s="451">
        <v>2</v>
      </c>
      <c r="C14" s="451">
        <v>3</v>
      </c>
      <c r="D14" s="451">
        <v>4</v>
      </c>
      <c r="E14" s="451">
        <v>5</v>
      </c>
      <c r="F14" s="451">
        <v>6</v>
      </c>
      <c r="G14" s="451">
        <v>7</v>
      </c>
      <c r="H14" s="451">
        <v>8</v>
      </c>
      <c r="I14" s="451" t="s">
        <v>572</v>
      </c>
      <c r="J14" s="451" t="s">
        <v>573</v>
      </c>
      <c r="K14" s="451">
        <v>11</v>
      </c>
      <c r="L14" s="451">
        <v>12</v>
      </c>
      <c r="M14" s="451" t="s">
        <v>574</v>
      </c>
      <c r="N14" s="451" t="s">
        <v>575</v>
      </c>
      <c r="O14" s="451">
        <v>15</v>
      </c>
      <c r="P14" s="451">
        <v>16</v>
      </c>
      <c r="Q14" s="451" t="s">
        <v>576</v>
      </c>
      <c r="R14" s="451">
        <v>18</v>
      </c>
      <c r="S14" s="451">
        <v>19</v>
      </c>
      <c r="T14" s="451" t="s">
        <v>577</v>
      </c>
      <c r="U14" s="451">
        <v>21</v>
      </c>
      <c r="V14" s="451">
        <v>22</v>
      </c>
    </row>
    <row r="15" spans="1:22" s="452" customFormat="1" ht="3.75" customHeight="1">
      <c r="A15" s="880"/>
      <c r="B15" s="880"/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</row>
    <row r="16" spans="1:23" s="452" customFormat="1" ht="21.75" customHeight="1">
      <c r="A16" s="881" t="s">
        <v>578</v>
      </c>
      <c r="B16" s="881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1"/>
      <c r="R16" s="881"/>
      <c r="S16" s="881"/>
      <c r="T16" s="881"/>
      <c r="U16" s="881"/>
      <c r="V16" s="881"/>
      <c r="W16" s="453"/>
    </row>
    <row r="17" spans="1:23" s="452" customFormat="1" ht="4.5" customHeight="1">
      <c r="A17" s="879"/>
      <c r="B17" s="879"/>
      <c r="C17" s="879"/>
      <c r="D17" s="879"/>
      <c r="E17" s="879"/>
      <c r="F17" s="879"/>
      <c r="G17" s="879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879"/>
      <c r="W17" s="454"/>
    </row>
    <row r="18" spans="1:22" s="456" customFormat="1" ht="15" customHeight="1" hidden="1">
      <c r="A18" s="844">
        <v>1</v>
      </c>
      <c r="B18" s="844" t="s">
        <v>579</v>
      </c>
      <c r="C18" s="901" t="s">
        <v>580</v>
      </c>
      <c r="D18" s="848" t="s">
        <v>581</v>
      </c>
      <c r="E18" s="904" t="s">
        <v>582</v>
      </c>
      <c r="F18" s="844" t="s">
        <v>583</v>
      </c>
      <c r="G18" s="455">
        <f>G19+G20+G21+G22</f>
        <v>8857109</v>
      </c>
      <c r="H18" s="455">
        <f>H19+H20+H21+H22</f>
        <v>5957109</v>
      </c>
      <c r="I18" s="842">
        <f>J18+M18</f>
        <v>1500000</v>
      </c>
      <c r="J18" s="842">
        <f>K18+L18</f>
        <v>1275000</v>
      </c>
      <c r="K18" s="842">
        <v>1275000</v>
      </c>
      <c r="L18" s="842">
        <v>0</v>
      </c>
      <c r="M18" s="842">
        <f>N18+Q18+T18</f>
        <v>225000</v>
      </c>
      <c r="N18" s="842">
        <f>O18+P18</f>
        <v>225000</v>
      </c>
      <c r="O18" s="842">
        <v>225000</v>
      </c>
      <c r="P18" s="842">
        <v>0</v>
      </c>
      <c r="Q18" s="842">
        <f>R18+S18</f>
        <v>0</v>
      </c>
      <c r="R18" s="842">
        <v>0</v>
      </c>
      <c r="S18" s="842">
        <v>0</v>
      </c>
      <c r="T18" s="842">
        <f>U18+V18</f>
        <v>0</v>
      </c>
      <c r="U18" s="842">
        <v>0</v>
      </c>
      <c r="V18" s="842">
        <v>0</v>
      </c>
    </row>
    <row r="19" spans="1:22" s="456" customFormat="1" ht="14.25" customHeight="1" hidden="1">
      <c r="A19" s="844"/>
      <c r="B19" s="844"/>
      <c r="C19" s="902"/>
      <c r="D19" s="848"/>
      <c r="E19" s="904"/>
      <c r="F19" s="844"/>
      <c r="G19" s="455">
        <v>7528510</v>
      </c>
      <c r="H19" s="455">
        <v>5063510</v>
      </c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</row>
    <row r="20" spans="1:22" s="456" customFormat="1" ht="14.25" customHeight="1" hidden="1">
      <c r="A20" s="844"/>
      <c r="B20" s="844"/>
      <c r="C20" s="902"/>
      <c r="D20" s="848"/>
      <c r="E20" s="904"/>
      <c r="F20" s="844"/>
      <c r="G20" s="455">
        <v>1328560</v>
      </c>
      <c r="H20" s="455">
        <v>893560</v>
      </c>
      <c r="I20" s="457">
        <f>J20+M20</f>
        <v>0</v>
      </c>
      <c r="J20" s="457">
        <f>K20+L20</f>
        <v>0</v>
      </c>
      <c r="K20" s="458">
        <v>0</v>
      </c>
      <c r="L20" s="458">
        <v>0</v>
      </c>
      <c r="M20" s="457">
        <f>N20+Q20+T20</f>
        <v>0</v>
      </c>
      <c r="N20" s="457">
        <f>O20+P20</f>
        <v>0</v>
      </c>
      <c r="O20" s="458">
        <v>0</v>
      </c>
      <c r="P20" s="458">
        <v>0</v>
      </c>
      <c r="Q20" s="457">
        <f>R20+S20</f>
        <v>0</v>
      </c>
      <c r="R20" s="458">
        <v>0</v>
      </c>
      <c r="S20" s="458">
        <v>0</v>
      </c>
      <c r="T20" s="457">
        <f>U20+V20</f>
        <v>0</v>
      </c>
      <c r="U20" s="458">
        <v>0</v>
      </c>
      <c r="V20" s="458">
        <v>0</v>
      </c>
    </row>
    <row r="21" spans="1:22" s="456" customFormat="1" ht="14.25" customHeight="1" hidden="1">
      <c r="A21" s="844"/>
      <c r="B21" s="844"/>
      <c r="C21" s="902"/>
      <c r="D21" s="848"/>
      <c r="E21" s="904"/>
      <c r="F21" s="844"/>
      <c r="G21" s="455">
        <v>39</v>
      </c>
      <c r="H21" s="455">
        <v>39</v>
      </c>
      <c r="I21" s="842">
        <f>I18+I20</f>
        <v>1500000</v>
      </c>
      <c r="J21" s="842">
        <f aca="true" t="shared" si="0" ref="J21:V21">J18+J20</f>
        <v>1275000</v>
      </c>
      <c r="K21" s="842">
        <f t="shared" si="0"/>
        <v>1275000</v>
      </c>
      <c r="L21" s="842">
        <f t="shared" si="0"/>
        <v>0</v>
      </c>
      <c r="M21" s="842">
        <f t="shared" si="0"/>
        <v>225000</v>
      </c>
      <c r="N21" s="842">
        <f t="shared" si="0"/>
        <v>225000</v>
      </c>
      <c r="O21" s="842">
        <f t="shared" si="0"/>
        <v>225000</v>
      </c>
      <c r="P21" s="842">
        <f t="shared" si="0"/>
        <v>0</v>
      </c>
      <c r="Q21" s="842">
        <f t="shared" si="0"/>
        <v>0</v>
      </c>
      <c r="R21" s="842">
        <f t="shared" si="0"/>
        <v>0</v>
      </c>
      <c r="S21" s="842">
        <f t="shared" si="0"/>
        <v>0</v>
      </c>
      <c r="T21" s="842">
        <f t="shared" si="0"/>
        <v>0</v>
      </c>
      <c r="U21" s="842">
        <f t="shared" si="0"/>
        <v>0</v>
      </c>
      <c r="V21" s="842">
        <f t="shared" si="0"/>
        <v>0</v>
      </c>
    </row>
    <row r="22" spans="1:22" s="456" customFormat="1" ht="14.25" customHeight="1" hidden="1">
      <c r="A22" s="844"/>
      <c r="B22" s="844"/>
      <c r="C22" s="903"/>
      <c r="D22" s="848"/>
      <c r="E22" s="904"/>
      <c r="F22" s="844"/>
      <c r="G22" s="455">
        <v>0</v>
      </c>
      <c r="H22" s="455">
        <v>0</v>
      </c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2"/>
      <c r="T22" s="842"/>
      <c r="U22" s="842"/>
      <c r="V22" s="842"/>
    </row>
    <row r="23" spans="1:22" s="456" customFormat="1" ht="15" customHeight="1" hidden="1">
      <c r="A23" s="844">
        <v>2</v>
      </c>
      <c r="B23" s="849" t="s">
        <v>584</v>
      </c>
      <c r="C23" s="905" t="s">
        <v>585</v>
      </c>
      <c r="D23" s="848" t="s">
        <v>586</v>
      </c>
      <c r="E23" s="904" t="s">
        <v>587</v>
      </c>
      <c r="F23" s="844" t="s">
        <v>588</v>
      </c>
      <c r="G23" s="455">
        <f>G24+G25+G26+G27</f>
        <v>814907</v>
      </c>
      <c r="H23" s="455">
        <f>H24+H25+H26+H27</f>
        <v>292462</v>
      </c>
      <c r="I23" s="842">
        <f>J23+M23</f>
        <v>350942</v>
      </c>
      <c r="J23" s="842">
        <f>K23+L23</f>
        <v>288116</v>
      </c>
      <c r="K23" s="842">
        <v>288116</v>
      </c>
      <c r="L23" s="842">
        <v>0</v>
      </c>
      <c r="M23" s="842">
        <f>N23+Q23+T23</f>
        <v>62826</v>
      </c>
      <c r="N23" s="842">
        <f>O23+P23</f>
        <v>35319</v>
      </c>
      <c r="O23" s="842">
        <v>35319</v>
      </c>
      <c r="P23" s="842">
        <v>0</v>
      </c>
      <c r="Q23" s="842">
        <f>R23+S23</f>
        <v>27507</v>
      </c>
      <c r="R23" s="842">
        <v>27507</v>
      </c>
      <c r="S23" s="842">
        <v>0</v>
      </c>
      <c r="T23" s="842">
        <f>U23+V23</f>
        <v>0</v>
      </c>
      <c r="U23" s="842">
        <v>0</v>
      </c>
      <c r="V23" s="842">
        <v>0</v>
      </c>
    </row>
    <row r="24" spans="1:22" s="456" customFormat="1" ht="14.25" customHeight="1" hidden="1">
      <c r="A24" s="844"/>
      <c r="B24" s="850"/>
      <c r="C24" s="905"/>
      <c r="D24" s="848"/>
      <c r="E24" s="904"/>
      <c r="F24" s="844"/>
      <c r="G24" s="455">
        <v>677895</v>
      </c>
      <c r="H24" s="455">
        <v>249472</v>
      </c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</row>
    <row r="25" spans="1:22" s="456" customFormat="1" ht="14.25" customHeight="1" hidden="1">
      <c r="A25" s="844"/>
      <c r="B25" s="850"/>
      <c r="C25" s="905"/>
      <c r="D25" s="848"/>
      <c r="E25" s="904"/>
      <c r="F25" s="844"/>
      <c r="G25" s="455">
        <v>83065</v>
      </c>
      <c r="H25" s="455">
        <v>30570</v>
      </c>
      <c r="I25" s="457">
        <f>J25+M25</f>
        <v>0</v>
      </c>
      <c r="J25" s="457">
        <f>K25+L25</f>
        <v>0</v>
      </c>
      <c r="K25" s="458">
        <v>0</v>
      </c>
      <c r="L25" s="458">
        <v>0</v>
      </c>
      <c r="M25" s="457">
        <f>N25+Q25+T25</f>
        <v>0</v>
      </c>
      <c r="N25" s="457">
        <f>O25+P25</f>
        <v>0</v>
      </c>
      <c r="O25" s="458">
        <v>0</v>
      </c>
      <c r="P25" s="458">
        <v>0</v>
      </c>
      <c r="Q25" s="457">
        <f>R25+S25</f>
        <v>0</v>
      </c>
      <c r="R25" s="458">
        <v>0</v>
      </c>
      <c r="S25" s="458">
        <v>0</v>
      </c>
      <c r="T25" s="457">
        <f>U25+V25</f>
        <v>0</v>
      </c>
      <c r="U25" s="458">
        <v>0</v>
      </c>
      <c r="V25" s="458">
        <v>0</v>
      </c>
    </row>
    <row r="26" spans="1:22" s="456" customFormat="1" ht="14.25" customHeight="1" hidden="1">
      <c r="A26" s="844"/>
      <c r="B26" s="850"/>
      <c r="C26" s="905"/>
      <c r="D26" s="848"/>
      <c r="E26" s="904"/>
      <c r="F26" s="844"/>
      <c r="G26" s="455">
        <v>53947</v>
      </c>
      <c r="H26" s="455">
        <v>12420</v>
      </c>
      <c r="I26" s="842">
        <f aca="true" t="shared" si="1" ref="I26:V26">I23+I25</f>
        <v>350942</v>
      </c>
      <c r="J26" s="842">
        <f t="shared" si="1"/>
        <v>288116</v>
      </c>
      <c r="K26" s="842">
        <f t="shared" si="1"/>
        <v>288116</v>
      </c>
      <c r="L26" s="842">
        <f t="shared" si="1"/>
        <v>0</v>
      </c>
      <c r="M26" s="842">
        <f t="shared" si="1"/>
        <v>62826</v>
      </c>
      <c r="N26" s="842">
        <f t="shared" si="1"/>
        <v>35319</v>
      </c>
      <c r="O26" s="842">
        <f t="shared" si="1"/>
        <v>35319</v>
      </c>
      <c r="P26" s="842">
        <f t="shared" si="1"/>
        <v>0</v>
      </c>
      <c r="Q26" s="842">
        <f t="shared" si="1"/>
        <v>27507</v>
      </c>
      <c r="R26" s="842">
        <f t="shared" si="1"/>
        <v>27507</v>
      </c>
      <c r="S26" s="842">
        <f t="shared" si="1"/>
        <v>0</v>
      </c>
      <c r="T26" s="842">
        <f t="shared" si="1"/>
        <v>0</v>
      </c>
      <c r="U26" s="842">
        <f t="shared" si="1"/>
        <v>0</v>
      </c>
      <c r="V26" s="842">
        <f t="shared" si="1"/>
        <v>0</v>
      </c>
    </row>
    <row r="27" spans="1:22" s="456" customFormat="1" ht="14.25" customHeight="1" hidden="1">
      <c r="A27" s="844"/>
      <c r="B27" s="851"/>
      <c r="C27" s="905"/>
      <c r="D27" s="848"/>
      <c r="E27" s="904"/>
      <c r="F27" s="844"/>
      <c r="G27" s="455">
        <v>0</v>
      </c>
      <c r="H27" s="455">
        <v>0</v>
      </c>
      <c r="I27" s="842"/>
      <c r="J27" s="842"/>
      <c r="K27" s="842"/>
      <c r="L27" s="842"/>
      <c r="M27" s="842"/>
      <c r="N27" s="842"/>
      <c r="O27" s="842"/>
      <c r="P27" s="842"/>
      <c r="Q27" s="842"/>
      <c r="R27" s="842"/>
      <c r="S27" s="842"/>
      <c r="T27" s="842"/>
      <c r="U27" s="842"/>
      <c r="V27" s="842"/>
    </row>
    <row r="28" spans="1:22" s="456" customFormat="1" ht="15" customHeight="1" hidden="1">
      <c r="A28" s="844">
        <v>3</v>
      </c>
      <c r="B28" s="849" t="s">
        <v>589</v>
      </c>
      <c r="C28" s="901" t="s">
        <v>590</v>
      </c>
      <c r="D28" s="848" t="s">
        <v>591</v>
      </c>
      <c r="E28" s="904" t="s">
        <v>592</v>
      </c>
      <c r="F28" s="844" t="s">
        <v>593</v>
      </c>
      <c r="G28" s="455">
        <f>G29+G30+G31+G32</f>
        <v>5390507</v>
      </c>
      <c r="H28" s="455">
        <f>H29+H30+H31+H32</f>
        <v>637197</v>
      </c>
      <c r="I28" s="842">
        <f>J28+M28</f>
        <v>1876000</v>
      </c>
      <c r="J28" s="842">
        <f>K28+L28</f>
        <v>0</v>
      </c>
      <c r="K28" s="842">
        <v>0</v>
      </c>
      <c r="L28" s="842">
        <v>0</v>
      </c>
      <c r="M28" s="842">
        <f>N28+Q28+T28</f>
        <v>1876000</v>
      </c>
      <c r="N28" s="842">
        <f>O28+P28</f>
        <v>1876000</v>
      </c>
      <c r="O28" s="842">
        <v>1876000</v>
      </c>
      <c r="P28" s="842">
        <v>0</v>
      </c>
      <c r="Q28" s="842">
        <f>R28+S28</f>
        <v>0</v>
      </c>
      <c r="R28" s="842">
        <v>0</v>
      </c>
      <c r="S28" s="842">
        <v>0</v>
      </c>
      <c r="T28" s="842">
        <f>U28+V28</f>
        <v>0</v>
      </c>
      <c r="U28" s="842">
        <v>0</v>
      </c>
      <c r="V28" s="842">
        <v>0</v>
      </c>
    </row>
    <row r="29" spans="1:22" s="456" customFormat="1" ht="14.25" customHeight="1" hidden="1">
      <c r="A29" s="844"/>
      <c r="B29" s="850"/>
      <c r="C29" s="902"/>
      <c r="D29" s="848"/>
      <c r="E29" s="904"/>
      <c r="F29" s="844"/>
      <c r="G29" s="455">
        <v>0</v>
      </c>
      <c r="H29" s="455">
        <v>0</v>
      </c>
      <c r="I29" s="842"/>
      <c r="J29" s="842"/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</row>
    <row r="30" spans="1:22" s="456" customFormat="1" ht="14.25" customHeight="1" hidden="1">
      <c r="A30" s="844"/>
      <c r="B30" s="850"/>
      <c r="C30" s="902"/>
      <c r="D30" s="848"/>
      <c r="E30" s="904"/>
      <c r="F30" s="844"/>
      <c r="G30" s="455">
        <v>5390507</v>
      </c>
      <c r="H30" s="455">
        <v>637197</v>
      </c>
      <c r="I30" s="457">
        <f>J30+M30</f>
        <v>0</v>
      </c>
      <c r="J30" s="457">
        <f>K30+L30</f>
        <v>0</v>
      </c>
      <c r="K30" s="458">
        <v>0</v>
      </c>
      <c r="L30" s="458">
        <v>0</v>
      </c>
      <c r="M30" s="457">
        <f>N30+Q30+T30</f>
        <v>0</v>
      </c>
      <c r="N30" s="457">
        <f>O30+P30</f>
        <v>0</v>
      </c>
      <c r="O30" s="458">
        <v>0</v>
      </c>
      <c r="P30" s="458">
        <v>0</v>
      </c>
      <c r="Q30" s="457">
        <f>R30+S30</f>
        <v>0</v>
      </c>
      <c r="R30" s="458">
        <v>0</v>
      </c>
      <c r="S30" s="458">
        <v>0</v>
      </c>
      <c r="T30" s="457">
        <f>U30+V30</f>
        <v>0</v>
      </c>
      <c r="U30" s="458">
        <v>0</v>
      </c>
      <c r="V30" s="458">
        <v>0</v>
      </c>
    </row>
    <row r="31" spans="1:22" s="456" customFormat="1" ht="14.25" customHeight="1" hidden="1">
      <c r="A31" s="844"/>
      <c r="B31" s="850"/>
      <c r="C31" s="902"/>
      <c r="D31" s="848"/>
      <c r="E31" s="904"/>
      <c r="F31" s="844"/>
      <c r="G31" s="455">
        <v>0</v>
      </c>
      <c r="H31" s="455">
        <v>0</v>
      </c>
      <c r="I31" s="842">
        <f aca="true" t="shared" si="2" ref="I31:V31">I28+I30</f>
        <v>1876000</v>
      </c>
      <c r="J31" s="842">
        <f t="shared" si="2"/>
        <v>0</v>
      </c>
      <c r="K31" s="842">
        <f t="shared" si="2"/>
        <v>0</v>
      </c>
      <c r="L31" s="842">
        <f t="shared" si="2"/>
        <v>0</v>
      </c>
      <c r="M31" s="842">
        <f t="shared" si="2"/>
        <v>1876000</v>
      </c>
      <c r="N31" s="842">
        <f t="shared" si="2"/>
        <v>1876000</v>
      </c>
      <c r="O31" s="842">
        <f t="shared" si="2"/>
        <v>1876000</v>
      </c>
      <c r="P31" s="842">
        <f t="shared" si="2"/>
        <v>0</v>
      </c>
      <c r="Q31" s="842">
        <f t="shared" si="2"/>
        <v>0</v>
      </c>
      <c r="R31" s="842">
        <f t="shared" si="2"/>
        <v>0</v>
      </c>
      <c r="S31" s="842">
        <f t="shared" si="2"/>
        <v>0</v>
      </c>
      <c r="T31" s="842">
        <f t="shared" si="2"/>
        <v>0</v>
      </c>
      <c r="U31" s="842">
        <f t="shared" si="2"/>
        <v>0</v>
      </c>
      <c r="V31" s="842">
        <f t="shared" si="2"/>
        <v>0</v>
      </c>
    </row>
    <row r="32" spans="1:22" s="456" customFormat="1" ht="14.25" customHeight="1" hidden="1">
      <c r="A32" s="844"/>
      <c r="B32" s="851"/>
      <c r="C32" s="903"/>
      <c r="D32" s="848"/>
      <c r="E32" s="904"/>
      <c r="F32" s="844"/>
      <c r="G32" s="455">
        <v>0</v>
      </c>
      <c r="H32" s="455">
        <v>0</v>
      </c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</row>
    <row r="33" spans="1:22" s="456" customFormat="1" ht="13.5" customHeight="1" hidden="1">
      <c r="A33" s="844">
        <v>4</v>
      </c>
      <c r="B33" s="849" t="s">
        <v>594</v>
      </c>
      <c r="C33" s="901" t="s">
        <v>595</v>
      </c>
      <c r="D33" s="848" t="s">
        <v>596</v>
      </c>
      <c r="E33" s="904" t="s">
        <v>597</v>
      </c>
      <c r="F33" s="844" t="s">
        <v>598</v>
      </c>
      <c r="G33" s="455">
        <f>G35+G34+G36+G37</f>
        <v>11977480</v>
      </c>
      <c r="H33" s="455">
        <f>H35+H34+H36+H37</f>
        <v>3531554</v>
      </c>
      <c r="I33" s="842">
        <f>J33+M33</f>
        <v>4205092</v>
      </c>
      <c r="J33" s="842">
        <f>K33+L33</f>
        <v>3544050</v>
      </c>
      <c r="K33" s="842">
        <v>3544050</v>
      </c>
      <c r="L33" s="842">
        <v>0</v>
      </c>
      <c r="M33" s="842">
        <f>N33+Q33+T33</f>
        <v>661042</v>
      </c>
      <c r="N33" s="842">
        <f>O33+P33</f>
        <v>661042</v>
      </c>
      <c r="O33" s="842">
        <v>661042</v>
      </c>
      <c r="P33" s="842">
        <v>0</v>
      </c>
      <c r="Q33" s="842">
        <f>R33+S33</f>
        <v>0</v>
      </c>
      <c r="R33" s="842">
        <v>0</v>
      </c>
      <c r="S33" s="842">
        <v>0</v>
      </c>
      <c r="T33" s="842">
        <f>U33+V33</f>
        <v>0</v>
      </c>
      <c r="U33" s="842">
        <v>0</v>
      </c>
      <c r="V33" s="842">
        <v>0</v>
      </c>
    </row>
    <row r="34" spans="1:22" s="456" customFormat="1" ht="13.5" customHeight="1" hidden="1">
      <c r="A34" s="844"/>
      <c r="B34" s="850"/>
      <c r="C34" s="902"/>
      <c r="D34" s="848"/>
      <c r="E34" s="904"/>
      <c r="F34" s="844"/>
      <c r="G34" s="455">
        <v>10094620</v>
      </c>
      <c r="H34" s="455">
        <v>2976392</v>
      </c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</row>
    <row r="35" spans="1:22" s="456" customFormat="1" ht="13.5" customHeight="1" hidden="1">
      <c r="A35" s="844"/>
      <c r="B35" s="850"/>
      <c r="C35" s="902"/>
      <c r="D35" s="848"/>
      <c r="E35" s="904"/>
      <c r="F35" s="844"/>
      <c r="G35" s="455">
        <v>1882860</v>
      </c>
      <c r="H35" s="455">
        <v>555162</v>
      </c>
      <c r="I35" s="457">
        <f>J35+M35</f>
        <v>0</v>
      </c>
      <c r="J35" s="457">
        <f>K35+L35</f>
        <v>0</v>
      </c>
      <c r="K35" s="458">
        <v>0</v>
      </c>
      <c r="L35" s="458">
        <v>0</v>
      </c>
      <c r="M35" s="457">
        <f>N35+Q35+T35</f>
        <v>0</v>
      </c>
      <c r="N35" s="457">
        <f>O35+P35</f>
        <v>0</v>
      </c>
      <c r="O35" s="458">
        <v>0</v>
      </c>
      <c r="P35" s="458">
        <v>0</v>
      </c>
      <c r="Q35" s="457">
        <f>R35+S35</f>
        <v>0</v>
      </c>
      <c r="R35" s="458">
        <v>0</v>
      </c>
      <c r="S35" s="458">
        <v>0</v>
      </c>
      <c r="T35" s="457">
        <f>U35+V35</f>
        <v>0</v>
      </c>
      <c r="U35" s="458">
        <v>0</v>
      </c>
      <c r="V35" s="458">
        <v>0</v>
      </c>
    </row>
    <row r="36" spans="1:22" s="456" customFormat="1" ht="13.5" customHeight="1" hidden="1">
      <c r="A36" s="844"/>
      <c r="B36" s="850"/>
      <c r="C36" s="902"/>
      <c r="D36" s="848"/>
      <c r="E36" s="904"/>
      <c r="F36" s="844"/>
      <c r="G36" s="455">
        <v>0</v>
      </c>
      <c r="H36" s="455">
        <v>0</v>
      </c>
      <c r="I36" s="842">
        <f aca="true" t="shared" si="3" ref="I36:V36">I33+I35</f>
        <v>4205092</v>
      </c>
      <c r="J36" s="842">
        <f t="shared" si="3"/>
        <v>3544050</v>
      </c>
      <c r="K36" s="842">
        <f t="shared" si="3"/>
        <v>3544050</v>
      </c>
      <c r="L36" s="842">
        <f t="shared" si="3"/>
        <v>0</v>
      </c>
      <c r="M36" s="842">
        <f t="shared" si="3"/>
        <v>661042</v>
      </c>
      <c r="N36" s="842">
        <f t="shared" si="3"/>
        <v>661042</v>
      </c>
      <c r="O36" s="842">
        <f t="shared" si="3"/>
        <v>661042</v>
      </c>
      <c r="P36" s="842">
        <f t="shared" si="3"/>
        <v>0</v>
      </c>
      <c r="Q36" s="842">
        <f t="shared" si="3"/>
        <v>0</v>
      </c>
      <c r="R36" s="842">
        <f t="shared" si="3"/>
        <v>0</v>
      </c>
      <c r="S36" s="842">
        <f t="shared" si="3"/>
        <v>0</v>
      </c>
      <c r="T36" s="842">
        <f t="shared" si="3"/>
        <v>0</v>
      </c>
      <c r="U36" s="842">
        <f t="shared" si="3"/>
        <v>0</v>
      </c>
      <c r="V36" s="842">
        <f t="shared" si="3"/>
        <v>0</v>
      </c>
    </row>
    <row r="37" spans="1:22" s="456" customFormat="1" ht="13.5" customHeight="1" hidden="1">
      <c r="A37" s="844"/>
      <c r="B37" s="851"/>
      <c r="C37" s="903"/>
      <c r="D37" s="848"/>
      <c r="E37" s="904"/>
      <c r="F37" s="844"/>
      <c r="G37" s="455">
        <v>0</v>
      </c>
      <c r="H37" s="455">
        <v>0</v>
      </c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</row>
    <row r="38" spans="1:22" s="456" customFormat="1" ht="15" customHeight="1">
      <c r="A38" s="844">
        <v>1</v>
      </c>
      <c r="B38" s="849" t="s">
        <v>599</v>
      </c>
      <c r="C38" s="901" t="s">
        <v>600</v>
      </c>
      <c r="D38" s="848" t="s">
        <v>601</v>
      </c>
      <c r="E38" s="904" t="s">
        <v>587</v>
      </c>
      <c r="F38" s="844" t="s">
        <v>602</v>
      </c>
      <c r="G38" s="455">
        <f>G40+G39+G41+G42</f>
        <v>51143</v>
      </c>
      <c r="H38" s="455">
        <f>H40+H39+H41+H42</f>
        <v>0</v>
      </c>
      <c r="I38" s="842">
        <f>J38+M38</f>
        <v>0</v>
      </c>
      <c r="J38" s="842">
        <f>K38+L38</f>
        <v>0</v>
      </c>
      <c r="K38" s="842">
        <v>0</v>
      </c>
      <c r="L38" s="842">
        <v>0</v>
      </c>
      <c r="M38" s="842">
        <f>N38+Q38+T38</f>
        <v>0</v>
      </c>
      <c r="N38" s="842">
        <f>O38+P38</f>
        <v>0</v>
      </c>
      <c r="O38" s="842">
        <v>0</v>
      </c>
      <c r="P38" s="842">
        <v>0</v>
      </c>
      <c r="Q38" s="842">
        <f>R38+S38</f>
        <v>0</v>
      </c>
      <c r="R38" s="842">
        <v>0</v>
      </c>
      <c r="S38" s="842">
        <v>0</v>
      </c>
      <c r="T38" s="842">
        <f>U38+V38</f>
        <v>0</v>
      </c>
      <c r="U38" s="842">
        <v>0</v>
      </c>
      <c r="V38" s="842">
        <v>0</v>
      </c>
    </row>
    <row r="39" spans="1:22" s="456" customFormat="1" ht="14.25" customHeight="1">
      <c r="A39" s="844"/>
      <c r="B39" s="850"/>
      <c r="C39" s="902"/>
      <c r="D39" s="848"/>
      <c r="E39" s="904"/>
      <c r="F39" s="844"/>
      <c r="G39" s="455">
        <v>43103</v>
      </c>
      <c r="H39" s="455">
        <v>0</v>
      </c>
      <c r="I39" s="842"/>
      <c r="J39" s="842"/>
      <c r="K39" s="842"/>
      <c r="L39" s="842"/>
      <c r="M39" s="842"/>
      <c r="N39" s="842"/>
      <c r="O39" s="842"/>
      <c r="P39" s="842"/>
      <c r="Q39" s="842"/>
      <c r="R39" s="842"/>
      <c r="S39" s="842"/>
      <c r="T39" s="842"/>
      <c r="U39" s="842"/>
      <c r="V39" s="842"/>
    </row>
    <row r="40" spans="1:22" s="456" customFormat="1" ht="14.25" customHeight="1">
      <c r="A40" s="844"/>
      <c r="B40" s="850"/>
      <c r="C40" s="902"/>
      <c r="D40" s="848"/>
      <c r="E40" s="904"/>
      <c r="F40" s="844"/>
      <c r="G40" s="455">
        <v>8040</v>
      </c>
      <c r="H40" s="455">
        <v>0</v>
      </c>
      <c r="I40" s="457">
        <f>J40+M40</f>
        <v>36404</v>
      </c>
      <c r="J40" s="457">
        <f>K40+L40</f>
        <v>30681</v>
      </c>
      <c r="K40" s="458">
        <v>30681</v>
      </c>
      <c r="L40" s="458">
        <v>0</v>
      </c>
      <c r="M40" s="457">
        <f>N40+Q40+T40</f>
        <v>5723</v>
      </c>
      <c r="N40" s="457">
        <f>O40+P40</f>
        <v>5723</v>
      </c>
      <c r="O40" s="458">
        <v>5723</v>
      </c>
      <c r="P40" s="458">
        <v>0</v>
      </c>
      <c r="Q40" s="457">
        <f>R40+S40</f>
        <v>0</v>
      </c>
      <c r="R40" s="458">
        <v>0</v>
      </c>
      <c r="S40" s="458">
        <v>0</v>
      </c>
      <c r="T40" s="457">
        <f>U40+V40</f>
        <v>0</v>
      </c>
      <c r="U40" s="458">
        <v>0</v>
      </c>
      <c r="V40" s="458">
        <v>0</v>
      </c>
    </row>
    <row r="41" spans="1:22" s="456" customFormat="1" ht="14.25" customHeight="1">
      <c r="A41" s="844"/>
      <c r="B41" s="850"/>
      <c r="C41" s="902"/>
      <c r="D41" s="848"/>
      <c r="E41" s="904"/>
      <c r="F41" s="844"/>
      <c r="G41" s="455">
        <v>0</v>
      </c>
      <c r="H41" s="455">
        <v>0</v>
      </c>
      <c r="I41" s="842">
        <f aca="true" t="shared" si="4" ref="I41:V41">I38+I40</f>
        <v>36404</v>
      </c>
      <c r="J41" s="842">
        <f t="shared" si="4"/>
        <v>30681</v>
      </c>
      <c r="K41" s="842">
        <f t="shared" si="4"/>
        <v>30681</v>
      </c>
      <c r="L41" s="842">
        <f t="shared" si="4"/>
        <v>0</v>
      </c>
      <c r="M41" s="842">
        <f t="shared" si="4"/>
        <v>5723</v>
      </c>
      <c r="N41" s="842">
        <f t="shared" si="4"/>
        <v>5723</v>
      </c>
      <c r="O41" s="842">
        <f t="shared" si="4"/>
        <v>5723</v>
      </c>
      <c r="P41" s="842">
        <f t="shared" si="4"/>
        <v>0</v>
      </c>
      <c r="Q41" s="842">
        <f t="shared" si="4"/>
        <v>0</v>
      </c>
      <c r="R41" s="842">
        <f t="shared" si="4"/>
        <v>0</v>
      </c>
      <c r="S41" s="842">
        <f t="shared" si="4"/>
        <v>0</v>
      </c>
      <c r="T41" s="842">
        <f t="shared" si="4"/>
        <v>0</v>
      </c>
      <c r="U41" s="842">
        <f t="shared" si="4"/>
        <v>0</v>
      </c>
      <c r="V41" s="842">
        <f t="shared" si="4"/>
        <v>0</v>
      </c>
    </row>
    <row r="42" spans="1:22" s="456" customFormat="1" ht="14.25" customHeight="1">
      <c r="A42" s="844"/>
      <c r="B42" s="851"/>
      <c r="C42" s="903"/>
      <c r="D42" s="848"/>
      <c r="E42" s="904"/>
      <c r="F42" s="844"/>
      <c r="G42" s="455">
        <v>0</v>
      </c>
      <c r="H42" s="455">
        <v>0</v>
      </c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</row>
    <row r="43" spans="1:22" s="456" customFormat="1" ht="15" customHeight="1">
      <c r="A43" s="844">
        <v>2</v>
      </c>
      <c r="B43" s="849" t="s">
        <v>603</v>
      </c>
      <c r="C43" s="901" t="s">
        <v>604</v>
      </c>
      <c r="D43" s="848" t="s">
        <v>596</v>
      </c>
      <c r="E43" s="904" t="s">
        <v>605</v>
      </c>
      <c r="F43" s="844" t="s">
        <v>606</v>
      </c>
      <c r="G43" s="455">
        <f>G45+G44+G46+G47</f>
        <v>92552</v>
      </c>
      <c r="H43" s="455">
        <f>H45+H44+H46+H47</f>
        <v>50882</v>
      </c>
      <c r="I43" s="842">
        <f>J43+M43</f>
        <v>36002</v>
      </c>
      <c r="J43" s="842">
        <f>K43+L43</f>
        <v>33416</v>
      </c>
      <c r="K43" s="842">
        <v>33416</v>
      </c>
      <c r="L43" s="842">
        <v>0</v>
      </c>
      <c r="M43" s="842">
        <f>N43+Q43+T43</f>
        <v>2586</v>
      </c>
      <c r="N43" s="842">
        <f>O43+P43</f>
        <v>2586</v>
      </c>
      <c r="O43" s="842">
        <v>2586</v>
      </c>
      <c r="P43" s="842">
        <v>0</v>
      </c>
      <c r="Q43" s="842">
        <f>R43+S43</f>
        <v>0</v>
      </c>
      <c r="R43" s="842">
        <v>0</v>
      </c>
      <c r="S43" s="842">
        <v>0</v>
      </c>
      <c r="T43" s="842">
        <f>U43+V43</f>
        <v>0</v>
      </c>
      <c r="U43" s="842">
        <v>0</v>
      </c>
      <c r="V43" s="842">
        <v>0</v>
      </c>
    </row>
    <row r="44" spans="1:22" s="456" customFormat="1" ht="14.25" customHeight="1">
      <c r="A44" s="844"/>
      <c r="B44" s="850"/>
      <c r="C44" s="902"/>
      <c r="D44" s="848"/>
      <c r="E44" s="904"/>
      <c r="F44" s="844"/>
      <c r="G44" s="455">
        <v>90216</v>
      </c>
      <c r="H44" s="455">
        <v>50882</v>
      </c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</row>
    <row r="45" spans="1:22" s="456" customFormat="1" ht="14.25" customHeight="1">
      <c r="A45" s="844"/>
      <c r="B45" s="850"/>
      <c r="C45" s="902"/>
      <c r="D45" s="848"/>
      <c r="E45" s="904"/>
      <c r="F45" s="844"/>
      <c r="G45" s="455">
        <v>2336</v>
      </c>
      <c r="H45" s="455">
        <v>0</v>
      </c>
      <c r="I45" s="457">
        <f>J45+M45</f>
        <v>5668</v>
      </c>
      <c r="J45" s="457">
        <f>K45+L45</f>
        <v>5918</v>
      </c>
      <c r="K45" s="458">
        <v>5918</v>
      </c>
      <c r="L45" s="458">
        <v>0</v>
      </c>
      <c r="M45" s="457">
        <f>N45+Q45+T45</f>
        <v>-250</v>
      </c>
      <c r="N45" s="457">
        <f>O45+P45</f>
        <v>-250</v>
      </c>
      <c r="O45" s="458">
        <v>-250</v>
      </c>
      <c r="P45" s="458">
        <v>0</v>
      </c>
      <c r="Q45" s="457">
        <f>R45+S45</f>
        <v>0</v>
      </c>
      <c r="R45" s="458">
        <v>0</v>
      </c>
      <c r="S45" s="458">
        <v>0</v>
      </c>
      <c r="T45" s="457">
        <f>U45+V45</f>
        <v>0</v>
      </c>
      <c r="U45" s="458">
        <v>0</v>
      </c>
      <c r="V45" s="458">
        <v>0</v>
      </c>
    </row>
    <row r="46" spans="1:22" s="456" customFormat="1" ht="14.25" customHeight="1">
      <c r="A46" s="844"/>
      <c r="B46" s="850"/>
      <c r="C46" s="902"/>
      <c r="D46" s="848"/>
      <c r="E46" s="904"/>
      <c r="F46" s="844"/>
      <c r="G46" s="455">
        <v>0</v>
      </c>
      <c r="H46" s="455">
        <v>0</v>
      </c>
      <c r="I46" s="842">
        <f aca="true" t="shared" si="5" ref="I46:V46">I43+I45</f>
        <v>41670</v>
      </c>
      <c r="J46" s="842">
        <f t="shared" si="5"/>
        <v>39334</v>
      </c>
      <c r="K46" s="842">
        <f t="shared" si="5"/>
        <v>39334</v>
      </c>
      <c r="L46" s="842">
        <f t="shared" si="5"/>
        <v>0</v>
      </c>
      <c r="M46" s="842">
        <f t="shared" si="5"/>
        <v>2336</v>
      </c>
      <c r="N46" s="842">
        <f t="shared" si="5"/>
        <v>2336</v>
      </c>
      <c r="O46" s="842">
        <f t="shared" si="5"/>
        <v>2336</v>
      </c>
      <c r="P46" s="842">
        <f t="shared" si="5"/>
        <v>0</v>
      </c>
      <c r="Q46" s="842">
        <f t="shared" si="5"/>
        <v>0</v>
      </c>
      <c r="R46" s="842">
        <f t="shared" si="5"/>
        <v>0</v>
      </c>
      <c r="S46" s="842">
        <f t="shared" si="5"/>
        <v>0</v>
      </c>
      <c r="T46" s="842">
        <f t="shared" si="5"/>
        <v>0</v>
      </c>
      <c r="U46" s="842">
        <f t="shared" si="5"/>
        <v>0</v>
      </c>
      <c r="V46" s="842">
        <f t="shared" si="5"/>
        <v>0</v>
      </c>
    </row>
    <row r="47" spans="1:22" s="456" customFormat="1" ht="14.25" customHeight="1">
      <c r="A47" s="844"/>
      <c r="B47" s="851"/>
      <c r="C47" s="903"/>
      <c r="D47" s="848"/>
      <c r="E47" s="904"/>
      <c r="F47" s="844"/>
      <c r="G47" s="455">
        <v>0</v>
      </c>
      <c r="H47" s="455">
        <v>0</v>
      </c>
      <c r="I47" s="842"/>
      <c r="J47" s="842"/>
      <c r="K47" s="842"/>
      <c r="L47" s="842"/>
      <c r="M47" s="842"/>
      <c r="N47" s="842"/>
      <c r="O47" s="842"/>
      <c r="P47" s="842"/>
      <c r="Q47" s="842"/>
      <c r="R47" s="842"/>
      <c r="S47" s="842"/>
      <c r="T47" s="842"/>
      <c r="U47" s="842"/>
      <c r="V47" s="842"/>
    </row>
    <row r="48" spans="1:22" s="456" customFormat="1" ht="15" customHeight="1" hidden="1">
      <c r="A48" s="844">
        <v>6</v>
      </c>
      <c r="B48" s="848" t="s">
        <v>607</v>
      </c>
      <c r="C48" s="901" t="s">
        <v>608</v>
      </c>
      <c r="D48" s="848" t="s">
        <v>591</v>
      </c>
      <c r="E48" s="904" t="s">
        <v>592</v>
      </c>
      <c r="F48" s="844" t="s">
        <v>609</v>
      </c>
      <c r="G48" s="455">
        <f>G49+G50+G51+G52</f>
        <v>14389829</v>
      </c>
      <c r="H48" s="455">
        <f>H49+H50+H51+H52</f>
        <v>8424669</v>
      </c>
      <c r="I48" s="842">
        <f>J48+M48</f>
        <v>2960132</v>
      </c>
      <c r="J48" s="842">
        <f>K48+L48</f>
        <v>2494801</v>
      </c>
      <c r="K48" s="842">
        <v>2474801</v>
      </c>
      <c r="L48" s="842">
        <v>20000</v>
      </c>
      <c r="M48" s="842">
        <f>N48+Q48+T48</f>
        <v>465331</v>
      </c>
      <c r="N48" s="842">
        <f>O48+P48</f>
        <v>0</v>
      </c>
      <c r="O48" s="842">
        <v>0</v>
      </c>
      <c r="P48" s="842">
        <v>0</v>
      </c>
      <c r="Q48" s="842">
        <f>R48+S48</f>
        <v>465331</v>
      </c>
      <c r="R48" s="842">
        <v>461601</v>
      </c>
      <c r="S48" s="842">
        <v>3730</v>
      </c>
      <c r="T48" s="842">
        <f>U48+V48</f>
        <v>0</v>
      </c>
      <c r="U48" s="842">
        <v>0</v>
      </c>
      <c r="V48" s="842">
        <v>0</v>
      </c>
    </row>
    <row r="49" spans="1:22" s="456" customFormat="1" ht="14.25" customHeight="1" hidden="1">
      <c r="A49" s="844"/>
      <c r="B49" s="848"/>
      <c r="C49" s="902"/>
      <c r="D49" s="848"/>
      <c r="E49" s="904"/>
      <c r="F49" s="844"/>
      <c r="G49" s="455">
        <v>12127748</v>
      </c>
      <c r="H49" s="455">
        <v>7100310</v>
      </c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</row>
    <row r="50" spans="1:22" s="456" customFormat="1" ht="14.25" customHeight="1" hidden="1">
      <c r="A50" s="844"/>
      <c r="B50" s="848"/>
      <c r="C50" s="902"/>
      <c r="D50" s="848"/>
      <c r="E50" s="904"/>
      <c r="F50" s="844"/>
      <c r="G50" s="455">
        <v>0</v>
      </c>
      <c r="H50" s="455">
        <v>0</v>
      </c>
      <c r="I50" s="457">
        <f>J50+M50</f>
        <v>0</v>
      </c>
      <c r="J50" s="457">
        <f>K50+L50</f>
        <v>0</v>
      </c>
      <c r="K50" s="458">
        <v>0</v>
      </c>
      <c r="L50" s="458">
        <v>0</v>
      </c>
      <c r="M50" s="457">
        <f>N50+Q50+T50</f>
        <v>0</v>
      </c>
      <c r="N50" s="457">
        <f>O50+P50</f>
        <v>0</v>
      </c>
      <c r="O50" s="458">
        <v>0</v>
      </c>
      <c r="P50" s="458">
        <v>0</v>
      </c>
      <c r="Q50" s="457">
        <f>R50+S50</f>
        <v>0</v>
      </c>
      <c r="R50" s="458">
        <v>0</v>
      </c>
      <c r="S50" s="458">
        <v>0</v>
      </c>
      <c r="T50" s="457">
        <f>U50+V50</f>
        <v>0</v>
      </c>
      <c r="U50" s="458">
        <v>0</v>
      </c>
      <c r="V50" s="458">
        <v>0</v>
      </c>
    </row>
    <row r="51" spans="1:22" s="456" customFormat="1" ht="14.25" customHeight="1" hidden="1">
      <c r="A51" s="844"/>
      <c r="B51" s="848"/>
      <c r="C51" s="902"/>
      <c r="D51" s="848"/>
      <c r="E51" s="904"/>
      <c r="F51" s="844"/>
      <c r="G51" s="455">
        <v>2262081</v>
      </c>
      <c r="H51" s="455">
        <v>1324359</v>
      </c>
      <c r="I51" s="842">
        <f aca="true" t="shared" si="6" ref="I51:V51">I48+I50</f>
        <v>2960132</v>
      </c>
      <c r="J51" s="842">
        <f t="shared" si="6"/>
        <v>2494801</v>
      </c>
      <c r="K51" s="842">
        <f t="shared" si="6"/>
        <v>2474801</v>
      </c>
      <c r="L51" s="842">
        <f t="shared" si="6"/>
        <v>20000</v>
      </c>
      <c r="M51" s="842">
        <f t="shared" si="6"/>
        <v>465331</v>
      </c>
      <c r="N51" s="842">
        <f t="shared" si="6"/>
        <v>0</v>
      </c>
      <c r="O51" s="842">
        <f t="shared" si="6"/>
        <v>0</v>
      </c>
      <c r="P51" s="842">
        <f t="shared" si="6"/>
        <v>0</v>
      </c>
      <c r="Q51" s="842">
        <f t="shared" si="6"/>
        <v>465331</v>
      </c>
      <c r="R51" s="842">
        <f t="shared" si="6"/>
        <v>461601</v>
      </c>
      <c r="S51" s="842">
        <f t="shared" si="6"/>
        <v>3730</v>
      </c>
      <c r="T51" s="842">
        <f t="shared" si="6"/>
        <v>0</v>
      </c>
      <c r="U51" s="842">
        <f t="shared" si="6"/>
        <v>0</v>
      </c>
      <c r="V51" s="842">
        <f t="shared" si="6"/>
        <v>0</v>
      </c>
    </row>
    <row r="52" spans="1:22" s="456" customFormat="1" ht="14.25" customHeight="1" hidden="1">
      <c r="A52" s="844"/>
      <c r="B52" s="848"/>
      <c r="C52" s="903"/>
      <c r="D52" s="848"/>
      <c r="E52" s="904"/>
      <c r="F52" s="844"/>
      <c r="G52" s="455">
        <v>0</v>
      </c>
      <c r="H52" s="455">
        <v>0</v>
      </c>
      <c r="I52" s="842"/>
      <c r="J52" s="842"/>
      <c r="K52" s="842"/>
      <c r="L52" s="842"/>
      <c r="M52" s="842"/>
      <c r="N52" s="842"/>
      <c r="O52" s="842"/>
      <c r="P52" s="842"/>
      <c r="Q52" s="842"/>
      <c r="R52" s="842"/>
      <c r="S52" s="842"/>
      <c r="T52" s="842"/>
      <c r="U52" s="842"/>
      <c r="V52" s="842"/>
    </row>
    <row r="53" spans="1:22" s="456" customFormat="1" ht="14.25" customHeight="1" hidden="1">
      <c r="A53" s="844">
        <v>7</v>
      </c>
      <c r="B53" s="849" t="s">
        <v>610</v>
      </c>
      <c r="C53" s="905" t="s">
        <v>611</v>
      </c>
      <c r="D53" s="848" t="s">
        <v>581</v>
      </c>
      <c r="E53" s="904" t="s">
        <v>612</v>
      </c>
      <c r="F53" s="844" t="s">
        <v>613</v>
      </c>
      <c r="G53" s="455">
        <f>G54+G55+G56+G57</f>
        <v>32825085</v>
      </c>
      <c r="H53" s="455">
        <f>H54+H55+H56+H57</f>
        <v>12395085</v>
      </c>
      <c r="I53" s="842">
        <f>J53+M53</f>
        <v>4200000</v>
      </c>
      <c r="J53" s="842">
        <f>K53+L53</f>
        <v>2672000</v>
      </c>
      <c r="K53" s="842">
        <v>2672000</v>
      </c>
      <c r="L53" s="842">
        <v>0</v>
      </c>
      <c r="M53" s="842">
        <f>N53+Q53+T53</f>
        <v>1528000</v>
      </c>
      <c r="N53" s="842">
        <f>O53+P53</f>
        <v>1528000</v>
      </c>
      <c r="O53" s="842">
        <v>1528000</v>
      </c>
      <c r="P53" s="842">
        <v>0</v>
      </c>
      <c r="Q53" s="842">
        <f>R53+S53</f>
        <v>0</v>
      </c>
      <c r="R53" s="842">
        <v>0</v>
      </c>
      <c r="S53" s="842">
        <v>0</v>
      </c>
      <c r="T53" s="842">
        <f>U53+V53</f>
        <v>0</v>
      </c>
      <c r="U53" s="842">
        <v>0</v>
      </c>
      <c r="V53" s="842">
        <v>0</v>
      </c>
    </row>
    <row r="54" spans="1:22" s="456" customFormat="1" ht="14.25" customHeight="1" hidden="1">
      <c r="A54" s="844"/>
      <c r="B54" s="850"/>
      <c r="C54" s="905"/>
      <c r="D54" s="848"/>
      <c r="E54" s="904"/>
      <c r="F54" s="844"/>
      <c r="G54" s="455">
        <v>20883805</v>
      </c>
      <c r="H54" s="455">
        <v>7886805</v>
      </c>
      <c r="I54" s="842"/>
      <c r="J54" s="842"/>
      <c r="K54" s="842"/>
      <c r="L54" s="842"/>
      <c r="M54" s="842"/>
      <c r="N54" s="842"/>
      <c r="O54" s="842"/>
      <c r="P54" s="842"/>
      <c r="Q54" s="842"/>
      <c r="R54" s="842"/>
      <c r="S54" s="842"/>
      <c r="T54" s="842"/>
      <c r="U54" s="842"/>
      <c r="V54" s="842"/>
    </row>
    <row r="55" spans="1:22" s="456" customFormat="1" ht="14.25" customHeight="1" hidden="1">
      <c r="A55" s="844"/>
      <c r="B55" s="850"/>
      <c r="C55" s="905"/>
      <c r="D55" s="848"/>
      <c r="E55" s="904"/>
      <c r="F55" s="844"/>
      <c r="G55" s="455">
        <v>11941280</v>
      </c>
      <c r="H55" s="455">
        <v>4508280</v>
      </c>
      <c r="I55" s="457">
        <f>J55+M55</f>
        <v>0</v>
      </c>
      <c r="J55" s="457">
        <f>K55+L55</f>
        <v>0</v>
      </c>
      <c r="K55" s="458">
        <v>0</v>
      </c>
      <c r="L55" s="458">
        <v>0</v>
      </c>
      <c r="M55" s="457">
        <f>N55+Q55+T55</f>
        <v>0</v>
      </c>
      <c r="N55" s="457">
        <f>O55+P55</f>
        <v>0</v>
      </c>
      <c r="O55" s="458">
        <v>0</v>
      </c>
      <c r="P55" s="458">
        <v>0</v>
      </c>
      <c r="Q55" s="457">
        <f>R55+S55</f>
        <v>0</v>
      </c>
      <c r="R55" s="458">
        <v>0</v>
      </c>
      <c r="S55" s="458">
        <v>0</v>
      </c>
      <c r="T55" s="457">
        <f>U55+V55</f>
        <v>0</v>
      </c>
      <c r="U55" s="458">
        <v>0</v>
      </c>
      <c r="V55" s="458">
        <v>0</v>
      </c>
    </row>
    <row r="56" spans="1:22" s="456" customFormat="1" ht="14.25" customHeight="1" hidden="1">
      <c r="A56" s="844"/>
      <c r="B56" s="850"/>
      <c r="C56" s="905"/>
      <c r="D56" s="848"/>
      <c r="E56" s="904"/>
      <c r="F56" s="844"/>
      <c r="G56" s="455">
        <v>0</v>
      </c>
      <c r="H56" s="455">
        <v>0</v>
      </c>
      <c r="I56" s="842">
        <f aca="true" t="shared" si="7" ref="I56:V56">I53+I55</f>
        <v>4200000</v>
      </c>
      <c r="J56" s="842">
        <f t="shared" si="7"/>
        <v>2672000</v>
      </c>
      <c r="K56" s="842">
        <f t="shared" si="7"/>
        <v>2672000</v>
      </c>
      <c r="L56" s="842">
        <f t="shared" si="7"/>
        <v>0</v>
      </c>
      <c r="M56" s="842">
        <f t="shared" si="7"/>
        <v>1528000</v>
      </c>
      <c r="N56" s="842">
        <f t="shared" si="7"/>
        <v>1528000</v>
      </c>
      <c r="O56" s="842">
        <f t="shared" si="7"/>
        <v>1528000</v>
      </c>
      <c r="P56" s="842">
        <f t="shared" si="7"/>
        <v>0</v>
      </c>
      <c r="Q56" s="842">
        <f t="shared" si="7"/>
        <v>0</v>
      </c>
      <c r="R56" s="842">
        <f t="shared" si="7"/>
        <v>0</v>
      </c>
      <c r="S56" s="842">
        <f t="shared" si="7"/>
        <v>0</v>
      </c>
      <c r="T56" s="842">
        <f t="shared" si="7"/>
        <v>0</v>
      </c>
      <c r="U56" s="842">
        <f t="shared" si="7"/>
        <v>0</v>
      </c>
      <c r="V56" s="842">
        <f t="shared" si="7"/>
        <v>0</v>
      </c>
    </row>
    <row r="57" spans="1:22" s="456" customFormat="1" ht="14.25" customHeight="1" hidden="1">
      <c r="A57" s="844"/>
      <c r="B57" s="851"/>
      <c r="C57" s="905"/>
      <c r="D57" s="848"/>
      <c r="E57" s="904"/>
      <c r="F57" s="844"/>
      <c r="G57" s="455">
        <v>0</v>
      </c>
      <c r="H57" s="455">
        <v>0</v>
      </c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</row>
    <row r="58" spans="1:22" s="456" customFormat="1" ht="13.5" customHeight="1" hidden="1">
      <c r="A58" s="844">
        <v>8</v>
      </c>
      <c r="B58" s="849" t="s">
        <v>610</v>
      </c>
      <c r="C58" s="905" t="s">
        <v>614</v>
      </c>
      <c r="D58" s="848" t="s">
        <v>581</v>
      </c>
      <c r="E58" s="904" t="s">
        <v>612</v>
      </c>
      <c r="F58" s="844" t="s">
        <v>613</v>
      </c>
      <c r="G58" s="455">
        <f>G59+G60+G61+G62</f>
        <v>900135</v>
      </c>
      <c r="H58" s="455">
        <f>H59+H60+H61+H62</f>
        <v>450135</v>
      </c>
      <c r="I58" s="842">
        <f>J58+M58</f>
        <v>100000</v>
      </c>
      <c r="J58" s="842">
        <f>K58+L58</f>
        <v>64000</v>
      </c>
      <c r="K58" s="842">
        <v>64000</v>
      </c>
      <c r="L58" s="842">
        <v>0</v>
      </c>
      <c r="M58" s="842">
        <f>N58+Q58+T58</f>
        <v>36000</v>
      </c>
      <c r="N58" s="842">
        <f>O58+P58</f>
        <v>36000</v>
      </c>
      <c r="O58" s="842">
        <v>36000</v>
      </c>
      <c r="P58" s="842">
        <v>0</v>
      </c>
      <c r="Q58" s="842">
        <f>R58+S58</f>
        <v>0</v>
      </c>
      <c r="R58" s="842">
        <v>0</v>
      </c>
      <c r="S58" s="842">
        <v>0</v>
      </c>
      <c r="T58" s="842">
        <f>U58+V58</f>
        <v>0</v>
      </c>
      <c r="U58" s="842">
        <v>0</v>
      </c>
      <c r="V58" s="842">
        <v>0</v>
      </c>
    </row>
    <row r="59" spans="1:22" s="456" customFormat="1" ht="13.5" customHeight="1" hidden="1">
      <c r="A59" s="844"/>
      <c r="B59" s="850"/>
      <c r="C59" s="905"/>
      <c r="D59" s="848"/>
      <c r="E59" s="904"/>
      <c r="F59" s="844"/>
      <c r="G59" s="455">
        <v>573126</v>
      </c>
      <c r="H59" s="455">
        <v>286791</v>
      </c>
      <c r="I59" s="842"/>
      <c r="J59" s="842"/>
      <c r="K59" s="842"/>
      <c r="L59" s="842"/>
      <c r="M59" s="842"/>
      <c r="N59" s="842"/>
      <c r="O59" s="842"/>
      <c r="P59" s="842"/>
      <c r="Q59" s="842"/>
      <c r="R59" s="842"/>
      <c r="S59" s="842"/>
      <c r="T59" s="842"/>
      <c r="U59" s="842"/>
      <c r="V59" s="842"/>
    </row>
    <row r="60" spans="1:22" s="456" customFormat="1" ht="13.5" customHeight="1" hidden="1">
      <c r="A60" s="844"/>
      <c r="B60" s="850"/>
      <c r="C60" s="905"/>
      <c r="D60" s="848"/>
      <c r="E60" s="904"/>
      <c r="F60" s="844"/>
      <c r="G60" s="455">
        <v>327009</v>
      </c>
      <c r="H60" s="455">
        <v>163344</v>
      </c>
      <c r="I60" s="457">
        <f>J60+M60</f>
        <v>0</v>
      </c>
      <c r="J60" s="457">
        <f>K60+L60</f>
        <v>0</v>
      </c>
      <c r="K60" s="458">
        <v>0</v>
      </c>
      <c r="L60" s="458">
        <v>0</v>
      </c>
      <c r="M60" s="457">
        <f>N60+Q60+T60</f>
        <v>0</v>
      </c>
      <c r="N60" s="457">
        <f>O60+P60</f>
        <v>0</v>
      </c>
      <c r="O60" s="458">
        <v>0</v>
      </c>
      <c r="P60" s="458">
        <v>0</v>
      </c>
      <c r="Q60" s="457">
        <f>R60+S60</f>
        <v>0</v>
      </c>
      <c r="R60" s="458">
        <v>0</v>
      </c>
      <c r="S60" s="458">
        <v>0</v>
      </c>
      <c r="T60" s="457">
        <f>U60+V60</f>
        <v>0</v>
      </c>
      <c r="U60" s="458">
        <v>0</v>
      </c>
      <c r="V60" s="458">
        <v>0</v>
      </c>
    </row>
    <row r="61" spans="1:22" s="456" customFormat="1" ht="13.5" customHeight="1" hidden="1">
      <c r="A61" s="844"/>
      <c r="B61" s="850"/>
      <c r="C61" s="905"/>
      <c r="D61" s="848"/>
      <c r="E61" s="904"/>
      <c r="F61" s="844"/>
      <c r="G61" s="455">
        <v>0</v>
      </c>
      <c r="H61" s="455">
        <v>0</v>
      </c>
      <c r="I61" s="842">
        <f aca="true" t="shared" si="8" ref="I61:V61">I58+I60</f>
        <v>100000</v>
      </c>
      <c r="J61" s="842">
        <f t="shared" si="8"/>
        <v>64000</v>
      </c>
      <c r="K61" s="842">
        <f t="shared" si="8"/>
        <v>64000</v>
      </c>
      <c r="L61" s="842">
        <f t="shared" si="8"/>
        <v>0</v>
      </c>
      <c r="M61" s="842">
        <f t="shared" si="8"/>
        <v>36000</v>
      </c>
      <c r="N61" s="842">
        <f t="shared" si="8"/>
        <v>36000</v>
      </c>
      <c r="O61" s="842">
        <f t="shared" si="8"/>
        <v>36000</v>
      </c>
      <c r="P61" s="842">
        <f t="shared" si="8"/>
        <v>0</v>
      </c>
      <c r="Q61" s="842">
        <f t="shared" si="8"/>
        <v>0</v>
      </c>
      <c r="R61" s="842">
        <f t="shared" si="8"/>
        <v>0</v>
      </c>
      <c r="S61" s="842">
        <f t="shared" si="8"/>
        <v>0</v>
      </c>
      <c r="T61" s="842">
        <f t="shared" si="8"/>
        <v>0</v>
      </c>
      <c r="U61" s="842">
        <f t="shared" si="8"/>
        <v>0</v>
      </c>
      <c r="V61" s="842">
        <f t="shared" si="8"/>
        <v>0</v>
      </c>
    </row>
    <row r="62" spans="1:22" s="456" customFormat="1" ht="13.5" customHeight="1" hidden="1">
      <c r="A62" s="844"/>
      <c r="B62" s="851"/>
      <c r="C62" s="905"/>
      <c r="D62" s="848"/>
      <c r="E62" s="904"/>
      <c r="F62" s="844"/>
      <c r="G62" s="455">
        <v>0</v>
      </c>
      <c r="H62" s="455">
        <v>0</v>
      </c>
      <c r="I62" s="842"/>
      <c r="J62" s="842"/>
      <c r="K62" s="842"/>
      <c r="L62" s="842"/>
      <c r="M62" s="842"/>
      <c r="N62" s="842"/>
      <c r="O62" s="842"/>
      <c r="P62" s="842"/>
      <c r="Q62" s="842"/>
      <c r="R62" s="842"/>
      <c r="S62" s="842"/>
      <c r="T62" s="842"/>
      <c r="U62" s="842"/>
      <c r="V62" s="842"/>
    </row>
    <row r="63" spans="1:22" s="456" customFormat="1" ht="15" customHeight="1" hidden="1">
      <c r="A63" s="844">
        <v>9</v>
      </c>
      <c r="B63" s="849" t="s">
        <v>610</v>
      </c>
      <c r="C63" s="905" t="s">
        <v>615</v>
      </c>
      <c r="D63" s="848" t="s">
        <v>581</v>
      </c>
      <c r="E63" s="904" t="s">
        <v>612</v>
      </c>
      <c r="F63" s="844" t="s">
        <v>613</v>
      </c>
      <c r="G63" s="455">
        <f>G64+G65+G66+G67</f>
        <v>9795910</v>
      </c>
      <c r="H63" s="455">
        <f>H64+H65+H66+H67</f>
        <v>4095910</v>
      </c>
      <c r="I63" s="842">
        <f>J63+M63</f>
        <v>1200000</v>
      </c>
      <c r="J63" s="842">
        <f>K63+L63</f>
        <v>764000</v>
      </c>
      <c r="K63" s="842">
        <v>764000</v>
      </c>
      <c r="L63" s="842">
        <v>0</v>
      </c>
      <c r="M63" s="842">
        <f>N63+Q63+T63</f>
        <v>436000</v>
      </c>
      <c r="N63" s="842">
        <f>O63+P63</f>
        <v>436000</v>
      </c>
      <c r="O63" s="842">
        <v>436000</v>
      </c>
      <c r="P63" s="842">
        <v>0</v>
      </c>
      <c r="Q63" s="842">
        <f>R63+S63</f>
        <v>0</v>
      </c>
      <c r="R63" s="842">
        <v>0</v>
      </c>
      <c r="S63" s="842">
        <v>0</v>
      </c>
      <c r="T63" s="842">
        <f>U63+V63</f>
        <v>0</v>
      </c>
      <c r="U63" s="842">
        <v>0</v>
      </c>
      <c r="V63" s="842">
        <v>0</v>
      </c>
    </row>
    <row r="64" spans="1:22" s="456" customFormat="1" ht="14.25" customHeight="1" hidden="1">
      <c r="A64" s="844"/>
      <c r="B64" s="850"/>
      <c r="C64" s="905"/>
      <c r="D64" s="848"/>
      <c r="E64" s="904"/>
      <c r="F64" s="844"/>
      <c r="G64" s="455">
        <v>6233667</v>
      </c>
      <c r="H64" s="455">
        <v>2606667</v>
      </c>
      <c r="I64" s="842"/>
      <c r="J64" s="842"/>
      <c r="K64" s="842"/>
      <c r="L64" s="842"/>
      <c r="M64" s="842"/>
      <c r="N64" s="842"/>
      <c r="O64" s="842"/>
      <c r="P64" s="842"/>
      <c r="Q64" s="842"/>
      <c r="R64" s="842"/>
      <c r="S64" s="842"/>
      <c r="T64" s="842"/>
      <c r="U64" s="842"/>
      <c r="V64" s="842"/>
    </row>
    <row r="65" spans="1:22" s="456" customFormat="1" ht="14.25" customHeight="1" hidden="1">
      <c r="A65" s="844"/>
      <c r="B65" s="850"/>
      <c r="C65" s="905"/>
      <c r="D65" s="848"/>
      <c r="E65" s="904"/>
      <c r="F65" s="844"/>
      <c r="G65" s="455">
        <v>3562243</v>
      </c>
      <c r="H65" s="455">
        <v>1489243</v>
      </c>
      <c r="I65" s="457">
        <f>J65+M65</f>
        <v>0</v>
      </c>
      <c r="J65" s="457">
        <f>K65+L65</f>
        <v>0</v>
      </c>
      <c r="K65" s="458">
        <v>0</v>
      </c>
      <c r="L65" s="458">
        <v>0</v>
      </c>
      <c r="M65" s="457">
        <f>N65+Q65+T65</f>
        <v>0</v>
      </c>
      <c r="N65" s="457">
        <f>O65+P65</f>
        <v>0</v>
      </c>
      <c r="O65" s="458">
        <v>0</v>
      </c>
      <c r="P65" s="458">
        <v>0</v>
      </c>
      <c r="Q65" s="457">
        <f>R65+S65</f>
        <v>0</v>
      </c>
      <c r="R65" s="458">
        <v>0</v>
      </c>
      <c r="S65" s="458">
        <v>0</v>
      </c>
      <c r="T65" s="457">
        <f>U65+V65</f>
        <v>0</v>
      </c>
      <c r="U65" s="458">
        <v>0</v>
      </c>
      <c r="V65" s="458">
        <v>0</v>
      </c>
    </row>
    <row r="66" spans="1:22" s="456" customFormat="1" ht="14.25" customHeight="1" hidden="1">
      <c r="A66" s="844"/>
      <c r="B66" s="850"/>
      <c r="C66" s="905"/>
      <c r="D66" s="848"/>
      <c r="E66" s="904"/>
      <c r="F66" s="844"/>
      <c r="G66" s="455">
        <v>0</v>
      </c>
      <c r="H66" s="455">
        <v>0</v>
      </c>
      <c r="I66" s="842">
        <f aca="true" t="shared" si="9" ref="I66:V66">I63+I65</f>
        <v>1200000</v>
      </c>
      <c r="J66" s="842">
        <f t="shared" si="9"/>
        <v>764000</v>
      </c>
      <c r="K66" s="842">
        <f t="shared" si="9"/>
        <v>764000</v>
      </c>
      <c r="L66" s="842">
        <f t="shared" si="9"/>
        <v>0</v>
      </c>
      <c r="M66" s="842">
        <f t="shared" si="9"/>
        <v>436000</v>
      </c>
      <c r="N66" s="842">
        <f t="shared" si="9"/>
        <v>436000</v>
      </c>
      <c r="O66" s="842">
        <f t="shared" si="9"/>
        <v>436000</v>
      </c>
      <c r="P66" s="842">
        <f t="shared" si="9"/>
        <v>0</v>
      </c>
      <c r="Q66" s="842">
        <f t="shared" si="9"/>
        <v>0</v>
      </c>
      <c r="R66" s="842">
        <f t="shared" si="9"/>
        <v>0</v>
      </c>
      <c r="S66" s="842">
        <f t="shared" si="9"/>
        <v>0</v>
      </c>
      <c r="T66" s="842">
        <f t="shared" si="9"/>
        <v>0</v>
      </c>
      <c r="U66" s="842">
        <f t="shared" si="9"/>
        <v>0</v>
      </c>
      <c r="V66" s="842">
        <f t="shared" si="9"/>
        <v>0</v>
      </c>
    </row>
    <row r="67" spans="1:22" s="456" customFormat="1" ht="14.25" customHeight="1" hidden="1">
      <c r="A67" s="844"/>
      <c r="B67" s="851"/>
      <c r="C67" s="905"/>
      <c r="D67" s="848"/>
      <c r="E67" s="904"/>
      <c r="F67" s="844"/>
      <c r="G67" s="455">
        <v>0</v>
      </c>
      <c r="H67" s="455">
        <v>0</v>
      </c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42"/>
      <c r="V67" s="842"/>
    </row>
    <row r="68" spans="1:22" s="456" customFormat="1" ht="13.5" customHeight="1" hidden="1">
      <c r="A68" s="844">
        <v>10</v>
      </c>
      <c r="B68" s="848" t="s">
        <v>616</v>
      </c>
      <c r="C68" s="901" t="s">
        <v>617</v>
      </c>
      <c r="D68" s="848" t="s">
        <v>581</v>
      </c>
      <c r="E68" s="904" t="s">
        <v>618</v>
      </c>
      <c r="F68" s="844" t="s">
        <v>619</v>
      </c>
      <c r="G68" s="455">
        <f>G70+G69+G71+G72</f>
        <v>4858559</v>
      </c>
      <c r="H68" s="455">
        <f>H70+H69+H71+H72</f>
        <v>1998559</v>
      </c>
      <c r="I68" s="842">
        <f>J68+M68</f>
        <v>640000</v>
      </c>
      <c r="J68" s="842">
        <f>K68+L68</f>
        <v>480000</v>
      </c>
      <c r="K68" s="842">
        <v>480000</v>
      </c>
      <c r="L68" s="842">
        <v>0</v>
      </c>
      <c r="M68" s="842">
        <f>N68+Q68+T68</f>
        <v>160000</v>
      </c>
      <c r="N68" s="842">
        <f>O68+P68</f>
        <v>160000</v>
      </c>
      <c r="O68" s="842">
        <v>160000</v>
      </c>
      <c r="P68" s="842">
        <v>0</v>
      </c>
      <c r="Q68" s="842">
        <f>R68+S68</f>
        <v>0</v>
      </c>
      <c r="R68" s="842">
        <v>0</v>
      </c>
      <c r="S68" s="842">
        <v>0</v>
      </c>
      <c r="T68" s="842">
        <f>U68+V68</f>
        <v>0</v>
      </c>
      <c r="U68" s="842">
        <v>0</v>
      </c>
      <c r="V68" s="842">
        <v>0</v>
      </c>
    </row>
    <row r="69" spans="1:22" s="456" customFormat="1" ht="13.5" customHeight="1" hidden="1">
      <c r="A69" s="844"/>
      <c r="B69" s="848"/>
      <c r="C69" s="902"/>
      <c r="D69" s="848"/>
      <c r="E69" s="904"/>
      <c r="F69" s="844"/>
      <c r="G69" s="455">
        <v>3643919</v>
      </c>
      <c r="H69" s="455">
        <v>1498919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/>
      <c r="S69" s="842"/>
      <c r="T69" s="842"/>
      <c r="U69" s="842"/>
      <c r="V69" s="842"/>
    </row>
    <row r="70" spans="1:22" s="456" customFormat="1" ht="13.5" customHeight="1" hidden="1">
      <c r="A70" s="844"/>
      <c r="B70" s="848"/>
      <c r="C70" s="902"/>
      <c r="D70" s="848"/>
      <c r="E70" s="904"/>
      <c r="F70" s="844"/>
      <c r="G70" s="455">
        <v>1214640</v>
      </c>
      <c r="H70" s="455">
        <v>499640</v>
      </c>
      <c r="I70" s="457">
        <f>J70+M70</f>
        <v>0</v>
      </c>
      <c r="J70" s="457">
        <f>K70+L70</f>
        <v>0</v>
      </c>
      <c r="K70" s="458">
        <v>0</v>
      </c>
      <c r="L70" s="458">
        <v>0</v>
      </c>
      <c r="M70" s="457">
        <f>N70+Q70+T70</f>
        <v>0</v>
      </c>
      <c r="N70" s="457">
        <f>O70+P70</f>
        <v>0</v>
      </c>
      <c r="O70" s="458">
        <v>0</v>
      </c>
      <c r="P70" s="458">
        <v>0</v>
      </c>
      <c r="Q70" s="457">
        <f>R70+S70</f>
        <v>0</v>
      </c>
      <c r="R70" s="458">
        <v>0</v>
      </c>
      <c r="S70" s="458">
        <v>0</v>
      </c>
      <c r="T70" s="457">
        <f>U70+V70</f>
        <v>0</v>
      </c>
      <c r="U70" s="458">
        <v>0</v>
      </c>
      <c r="V70" s="458">
        <v>0</v>
      </c>
    </row>
    <row r="71" spans="1:22" s="456" customFormat="1" ht="13.5" customHeight="1" hidden="1">
      <c r="A71" s="844"/>
      <c r="B71" s="848"/>
      <c r="C71" s="902"/>
      <c r="D71" s="848"/>
      <c r="E71" s="904"/>
      <c r="F71" s="844"/>
      <c r="G71" s="455">
        <v>0</v>
      </c>
      <c r="H71" s="455">
        <v>0</v>
      </c>
      <c r="I71" s="842">
        <f aca="true" t="shared" si="10" ref="I71:V71">I68+I70</f>
        <v>640000</v>
      </c>
      <c r="J71" s="842">
        <f t="shared" si="10"/>
        <v>480000</v>
      </c>
      <c r="K71" s="842">
        <f t="shared" si="10"/>
        <v>480000</v>
      </c>
      <c r="L71" s="842">
        <f t="shared" si="10"/>
        <v>0</v>
      </c>
      <c r="M71" s="842">
        <f t="shared" si="10"/>
        <v>160000</v>
      </c>
      <c r="N71" s="842">
        <f t="shared" si="10"/>
        <v>160000</v>
      </c>
      <c r="O71" s="842">
        <f t="shared" si="10"/>
        <v>160000</v>
      </c>
      <c r="P71" s="842">
        <f t="shared" si="10"/>
        <v>0</v>
      </c>
      <c r="Q71" s="842">
        <f t="shared" si="10"/>
        <v>0</v>
      </c>
      <c r="R71" s="842">
        <f t="shared" si="10"/>
        <v>0</v>
      </c>
      <c r="S71" s="842">
        <f t="shared" si="10"/>
        <v>0</v>
      </c>
      <c r="T71" s="842">
        <f t="shared" si="10"/>
        <v>0</v>
      </c>
      <c r="U71" s="842">
        <f t="shared" si="10"/>
        <v>0</v>
      </c>
      <c r="V71" s="842">
        <f t="shared" si="10"/>
        <v>0</v>
      </c>
    </row>
    <row r="72" spans="1:22" s="456" customFormat="1" ht="13.5" customHeight="1" hidden="1">
      <c r="A72" s="844"/>
      <c r="B72" s="848"/>
      <c r="C72" s="903"/>
      <c r="D72" s="848"/>
      <c r="E72" s="904"/>
      <c r="F72" s="844"/>
      <c r="G72" s="455">
        <v>0</v>
      </c>
      <c r="H72" s="455">
        <v>0</v>
      </c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</row>
    <row r="73" spans="1:22" s="456" customFormat="1" ht="15" customHeight="1" hidden="1">
      <c r="A73" s="844">
        <v>11</v>
      </c>
      <c r="B73" s="848" t="s">
        <v>620</v>
      </c>
      <c r="C73" s="901" t="s">
        <v>621</v>
      </c>
      <c r="D73" s="848" t="s">
        <v>581</v>
      </c>
      <c r="E73" s="904" t="s">
        <v>622</v>
      </c>
      <c r="F73" s="844" t="s">
        <v>623</v>
      </c>
      <c r="G73" s="455">
        <f>G75+G74+G76+G77</f>
        <v>4933661</v>
      </c>
      <c r="H73" s="455">
        <f>H75+H74+H76+H77</f>
        <v>2398374</v>
      </c>
      <c r="I73" s="842">
        <f>J73+M73</f>
        <v>1437424</v>
      </c>
      <c r="J73" s="842">
        <f>K73+L73</f>
        <v>646841</v>
      </c>
      <c r="K73" s="842">
        <v>646841</v>
      </c>
      <c r="L73" s="842">
        <v>0</v>
      </c>
      <c r="M73" s="842">
        <f>N73+Q73+T73</f>
        <v>790583</v>
      </c>
      <c r="N73" s="842">
        <f>O73+P73</f>
        <v>0</v>
      </c>
      <c r="O73" s="842">
        <v>0</v>
      </c>
      <c r="P73" s="842">
        <v>0</v>
      </c>
      <c r="Q73" s="842">
        <f>R73+S73</f>
        <v>71871</v>
      </c>
      <c r="R73" s="842">
        <v>71871</v>
      </c>
      <c r="S73" s="842">
        <v>0</v>
      </c>
      <c r="T73" s="842">
        <f>U73+V73</f>
        <v>718712</v>
      </c>
      <c r="U73" s="842">
        <v>718712</v>
      </c>
      <c r="V73" s="842">
        <v>0</v>
      </c>
    </row>
    <row r="74" spans="1:22" s="456" customFormat="1" ht="14.25" customHeight="1" hidden="1">
      <c r="A74" s="844"/>
      <c r="B74" s="848"/>
      <c r="C74" s="902"/>
      <c r="D74" s="848"/>
      <c r="E74" s="904"/>
      <c r="F74" s="844"/>
      <c r="G74" s="455">
        <v>2220144</v>
      </c>
      <c r="H74" s="455">
        <v>1079265</v>
      </c>
      <c r="I74" s="842"/>
      <c r="J74" s="842"/>
      <c r="K74" s="842"/>
      <c r="L74" s="842"/>
      <c r="M74" s="842"/>
      <c r="N74" s="842"/>
      <c r="O74" s="842"/>
      <c r="P74" s="842"/>
      <c r="Q74" s="842"/>
      <c r="R74" s="842"/>
      <c r="S74" s="842"/>
      <c r="T74" s="842"/>
      <c r="U74" s="842"/>
      <c r="V74" s="842"/>
    </row>
    <row r="75" spans="1:22" s="456" customFormat="1" ht="14.25" customHeight="1" hidden="1">
      <c r="A75" s="844"/>
      <c r="B75" s="848"/>
      <c r="C75" s="902"/>
      <c r="D75" s="848"/>
      <c r="E75" s="904"/>
      <c r="F75" s="844"/>
      <c r="G75" s="455">
        <v>0</v>
      </c>
      <c r="H75" s="455">
        <v>0</v>
      </c>
      <c r="I75" s="457">
        <f>J75+M75</f>
        <v>0</v>
      </c>
      <c r="J75" s="457">
        <f>K75+L75</f>
        <v>0</v>
      </c>
      <c r="K75" s="458">
        <v>0</v>
      </c>
      <c r="L75" s="458">
        <v>0</v>
      </c>
      <c r="M75" s="457">
        <f>N75+Q75+T75</f>
        <v>0</v>
      </c>
      <c r="N75" s="457">
        <f>O75+P75</f>
        <v>0</v>
      </c>
      <c r="O75" s="458">
        <v>0</v>
      </c>
      <c r="P75" s="458">
        <v>0</v>
      </c>
      <c r="Q75" s="457">
        <f>R75+S75</f>
        <v>0</v>
      </c>
      <c r="R75" s="458">
        <v>0</v>
      </c>
      <c r="S75" s="458">
        <v>0</v>
      </c>
      <c r="T75" s="457">
        <f>U75+V75</f>
        <v>0</v>
      </c>
      <c r="U75" s="458">
        <v>0</v>
      </c>
      <c r="V75" s="458">
        <v>0</v>
      </c>
    </row>
    <row r="76" spans="1:22" s="456" customFormat="1" ht="14.25" customHeight="1" hidden="1">
      <c r="A76" s="844"/>
      <c r="B76" s="848"/>
      <c r="C76" s="902"/>
      <c r="D76" s="848"/>
      <c r="E76" s="904"/>
      <c r="F76" s="844"/>
      <c r="G76" s="455">
        <v>246687</v>
      </c>
      <c r="H76" s="455">
        <v>119924</v>
      </c>
      <c r="I76" s="842">
        <f aca="true" t="shared" si="11" ref="I76:V76">I73+I75</f>
        <v>1437424</v>
      </c>
      <c r="J76" s="842">
        <f t="shared" si="11"/>
        <v>646841</v>
      </c>
      <c r="K76" s="842">
        <f t="shared" si="11"/>
        <v>646841</v>
      </c>
      <c r="L76" s="842">
        <f t="shared" si="11"/>
        <v>0</v>
      </c>
      <c r="M76" s="842">
        <f t="shared" si="11"/>
        <v>790583</v>
      </c>
      <c r="N76" s="842">
        <f t="shared" si="11"/>
        <v>0</v>
      </c>
      <c r="O76" s="842">
        <f t="shared" si="11"/>
        <v>0</v>
      </c>
      <c r="P76" s="842">
        <f t="shared" si="11"/>
        <v>0</v>
      </c>
      <c r="Q76" s="842">
        <f t="shared" si="11"/>
        <v>71871</v>
      </c>
      <c r="R76" s="842">
        <f t="shared" si="11"/>
        <v>71871</v>
      </c>
      <c r="S76" s="842">
        <f t="shared" si="11"/>
        <v>0</v>
      </c>
      <c r="T76" s="842">
        <f t="shared" si="11"/>
        <v>718712</v>
      </c>
      <c r="U76" s="842">
        <f t="shared" si="11"/>
        <v>718712</v>
      </c>
      <c r="V76" s="842">
        <f t="shared" si="11"/>
        <v>0</v>
      </c>
    </row>
    <row r="77" spans="1:22" s="456" customFormat="1" ht="14.25" customHeight="1" hidden="1">
      <c r="A77" s="844"/>
      <c r="B77" s="848"/>
      <c r="C77" s="903"/>
      <c r="D77" s="848"/>
      <c r="E77" s="904"/>
      <c r="F77" s="844"/>
      <c r="G77" s="455">
        <v>2466830</v>
      </c>
      <c r="H77" s="455">
        <v>1199185</v>
      </c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</row>
    <row r="78" spans="1:22" s="456" customFormat="1" ht="14.25" customHeight="1" hidden="1">
      <c r="A78" s="844">
        <v>12</v>
      </c>
      <c r="B78" s="848" t="s">
        <v>624</v>
      </c>
      <c r="C78" s="901" t="s">
        <v>625</v>
      </c>
      <c r="D78" s="848" t="s">
        <v>581</v>
      </c>
      <c r="E78" s="904" t="s">
        <v>626</v>
      </c>
      <c r="F78" s="844" t="s">
        <v>627</v>
      </c>
      <c r="G78" s="455">
        <f>G80+G79+G81+G82</f>
        <v>31626097</v>
      </c>
      <c r="H78" s="455">
        <f>H80+H79+H81+H82</f>
        <v>397450</v>
      </c>
      <c r="I78" s="842">
        <f>J78+M78</f>
        <v>16488698</v>
      </c>
      <c r="J78" s="842">
        <f>K78+L78</f>
        <v>11394628</v>
      </c>
      <c r="K78" s="842">
        <v>275558</v>
      </c>
      <c r="L78" s="842">
        <v>11119070</v>
      </c>
      <c r="M78" s="842">
        <f>N78+Q78+T78</f>
        <v>5094070</v>
      </c>
      <c r="N78" s="842">
        <f>O78+P78</f>
        <v>0</v>
      </c>
      <c r="O78" s="842">
        <v>0</v>
      </c>
      <c r="P78" s="842">
        <v>0</v>
      </c>
      <c r="Q78" s="842">
        <f>R78+S78</f>
        <v>5094070</v>
      </c>
      <c r="R78" s="842">
        <v>123191</v>
      </c>
      <c r="S78" s="842">
        <v>4970879</v>
      </c>
      <c r="T78" s="842">
        <f>U78+V78</f>
        <v>0</v>
      </c>
      <c r="U78" s="842">
        <v>0</v>
      </c>
      <c r="V78" s="842">
        <v>0</v>
      </c>
    </row>
    <row r="79" spans="1:22" s="456" customFormat="1" ht="14.25" customHeight="1" hidden="1">
      <c r="A79" s="844"/>
      <c r="B79" s="848"/>
      <c r="C79" s="902"/>
      <c r="D79" s="848"/>
      <c r="E79" s="904"/>
      <c r="F79" s="844"/>
      <c r="G79" s="455">
        <v>14873864</v>
      </c>
      <c r="H79" s="455">
        <v>274660</v>
      </c>
      <c r="I79" s="842"/>
      <c r="J79" s="842"/>
      <c r="K79" s="842"/>
      <c r="L79" s="842"/>
      <c r="M79" s="842"/>
      <c r="N79" s="842"/>
      <c r="O79" s="842"/>
      <c r="P79" s="842"/>
      <c r="Q79" s="842"/>
      <c r="R79" s="842"/>
      <c r="S79" s="842"/>
      <c r="T79" s="842"/>
      <c r="U79" s="842"/>
      <c r="V79" s="842"/>
    </row>
    <row r="80" spans="1:22" s="456" customFormat="1" ht="14.25" customHeight="1" hidden="1">
      <c r="A80" s="844"/>
      <c r="B80" s="848"/>
      <c r="C80" s="902"/>
      <c r="D80" s="848"/>
      <c r="E80" s="904"/>
      <c r="F80" s="844"/>
      <c r="G80" s="455">
        <v>0</v>
      </c>
      <c r="H80" s="455">
        <v>0</v>
      </c>
      <c r="I80" s="457">
        <f>J80+M80</f>
        <v>0</v>
      </c>
      <c r="J80" s="457">
        <f>K80+L80</f>
        <v>0</v>
      </c>
      <c r="K80" s="458">
        <v>0</v>
      </c>
      <c r="L80" s="458">
        <v>0</v>
      </c>
      <c r="M80" s="457">
        <f>N80+Q80+T80</f>
        <v>0</v>
      </c>
      <c r="N80" s="457">
        <f>O80+P80</f>
        <v>0</v>
      </c>
      <c r="O80" s="458">
        <v>0</v>
      </c>
      <c r="P80" s="458">
        <v>0</v>
      </c>
      <c r="Q80" s="457">
        <f>R80+S80</f>
        <v>0</v>
      </c>
      <c r="R80" s="458">
        <v>0</v>
      </c>
      <c r="S80" s="458">
        <v>0</v>
      </c>
      <c r="T80" s="457">
        <f>U80+V80</f>
        <v>0</v>
      </c>
      <c r="U80" s="458">
        <v>0</v>
      </c>
      <c r="V80" s="458">
        <v>0</v>
      </c>
    </row>
    <row r="81" spans="1:22" s="456" customFormat="1" ht="14.25" customHeight="1" hidden="1">
      <c r="A81" s="844"/>
      <c r="B81" s="848"/>
      <c r="C81" s="902"/>
      <c r="D81" s="848"/>
      <c r="E81" s="904"/>
      <c r="F81" s="844"/>
      <c r="G81" s="455">
        <v>16752233</v>
      </c>
      <c r="H81" s="455">
        <v>122790</v>
      </c>
      <c r="I81" s="842">
        <f aca="true" t="shared" si="12" ref="I81:V81">I78+I80</f>
        <v>16488698</v>
      </c>
      <c r="J81" s="842">
        <f t="shared" si="12"/>
        <v>11394628</v>
      </c>
      <c r="K81" s="842">
        <f t="shared" si="12"/>
        <v>275558</v>
      </c>
      <c r="L81" s="842">
        <f t="shared" si="12"/>
        <v>11119070</v>
      </c>
      <c r="M81" s="842">
        <f t="shared" si="12"/>
        <v>5094070</v>
      </c>
      <c r="N81" s="842">
        <f t="shared" si="12"/>
        <v>0</v>
      </c>
      <c r="O81" s="842">
        <f t="shared" si="12"/>
        <v>0</v>
      </c>
      <c r="P81" s="842">
        <f t="shared" si="12"/>
        <v>0</v>
      </c>
      <c r="Q81" s="842">
        <f t="shared" si="12"/>
        <v>5094070</v>
      </c>
      <c r="R81" s="842">
        <f t="shared" si="12"/>
        <v>123191</v>
      </c>
      <c r="S81" s="842">
        <f t="shared" si="12"/>
        <v>4970879</v>
      </c>
      <c r="T81" s="842">
        <f t="shared" si="12"/>
        <v>0</v>
      </c>
      <c r="U81" s="842">
        <f t="shared" si="12"/>
        <v>0</v>
      </c>
      <c r="V81" s="842">
        <f t="shared" si="12"/>
        <v>0</v>
      </c>
    </row>
    <row r="82" spans="1:22" s="456" customFormat="1" ht="14.25" customHeight="1" hidden="1">
      <c r="A82" s="844"/>
      <c r="B82" s="848"/>
      <c r="C82" s="903"/>
      <c r="D82" s="848"/>
      <c r="E82" s="904"/>
      <c r="F82" s="844"/>
      <c r="G82" s="455">
        <v>0</v>
      </c>
      <c r="H82" s="455">
        <v>0</v>
      </c>
      <c r="I82" s="842"/>
      <c r="J82" s="842"/>
      <c r="K82" s="842"/>
      <c r="L82" s="842"/>
      <c r="M82" s="842"/>
      <c r="N82" s="842"/>
      <c r="O82" s="842"/>
      <c r="P82" s="842"/>
      <c r="Q82" s="842"/>
      <c r="R82" s="842"/>
      <c r="S82" s="842"/>
      <c r="T82" s="842"/>
      <c r="U82" s="842"/>
      <c r="V82" s="842"/>
    </row>
    <row r="83" spans="1:22" s="456" customFormat="1" ht="14.25" customHeight="1" hidden="1">
      <c r="A83" s="844">
        <v>13</v>
      </c>
      <c r="B83" s="849" t="s">
        <v>628</v>
      </c>
      <c r="C83" s="906" t="s">
        <v>629</v>
      </c>
      <c r="D83" s="848" t="s">
        <v>581</v>
      </c>
      <c r="E83" s="904" t="s">
        <v>630</v>
      </c>
      <c r="F83" s="844" t="s">
        <v>631</v>
      </c>
      <c r="G83" s="455">
        <f>G84+G85+G86+G87</f>
        <v>671605</v>
      </c>
      <c r="H83" s="455">
        <f>H84+H85+H86+H87</f>
        <v>498071</v>
      </c>
      <c r="I83" s="842">
        <f>J83+M83</f>
        <v>173534</v>
      </c>
      <c r="J83" s="842">
        <f>K83+L83</f>
        <v>147503</v>
      </c>
      <c r="K83" s="842">
        <v>147503</v>
      </c>
      <c r="L83" s="842">
        <v>0</v>
      </c>
      <c r="M83" s="842">
        <f>N83+Q83+T83</f>
        <v>26031</v>
      </c>
      <c r="N83" s="842">
        <f>O83+P83</f>
        <v>0</v>
      </c>
      <c r="O83" s="842">
        <v>0</v>
      </c>
      <c r="P83" s="842">
        <v>0</v>
      </c>
      <c r="Q83" s="842">
        <f>R83+S83</f>
        <v>26031</v>
      </c>
      <c r="R83" s="842">
        <v>26031</v>
      </c>
      <c r="S83" s="842">
        <v>0</v>
      </c>
      <c r="T83" s="842">
        <f>U83+V83</f>
        <v>0</v>
      </c>
      <c r="U83" s="842">
        <v>0</v>
      </c>
      <c r="V83" s="842">
        <v>0</v>
      </c>
    </row>
    <row r="84" spans="1:22" s="456" customFormat="1" ht="14.25" customHeight="1" hidden="1">
      <c r="A84" s="844"/>
      <c r="B84" s="850"/>
      <c r="C84" s="907"/>
      <c r="D84" s="848"/>
      <c r="E84" s="904"/>
      <c r="F84" s="844"/>
      <c r="G84" s="455">
        <v>570761</v>
      </c>
      <c r="H84" s="455">
        <v>423258</v>
      </c>
      <c r="I84" s="842"/>
      <c r="J84" s="842"/>
      <c r="K84" s="842"/>
      <c r="L84" s="842"/>
      <c r="M84" s="842"/>
      <c r="N84" s="842"/>
      <c r="O84" s="842"/>
      <c r="P84" s="842"/>
      <c r="Q84" s="842"/>
      <c r="R84" s="842"/>
      <c r="S84" s="842"/>
      <c r="T84" s="842"/>
      <c r="U84" s="842"/>
      <c r="V84" s="842"/>
    </row>
    <row r="85" spans="1:22" s="456" customFormat="1" ht="14.25" customHeight="1" hidden="1">
      <c r="A85" s="844"/>
      <c r="B85" s="850"/>
      <c r="C85" s="907"/>
      <c r="D85" s="848"/>
      <c r="E85" s="904"/>
      <c r="F85" s="844"/>
      <c r="G85" s="455">
        <v>0</v>
      </c>
      <c r="H85" s="455">
        <v>0</v>
      </c>
      <c r="I85" s="457">
        <f>J85+M85</f>
        <v>0</v>
      </c>
      <c r="J85" s="457">
        <f>K85+L85</f>
        <v>0</v>
      </c>
      <c r="K85" s="458">
        <v>0</v>
      </c>
      <c r="L85" s="458">
        <v>0</v>
      </c>
      <c r="M85" s="457">
        <f>N85+Q85+T85</f>
        <v>0</v>
      </c>
      <c r="N85" s="457">
        <f>O85+P85</f>
        <v>0</v>
      </c>
      <c r="O85" s="458">
        <v>0</v>
      </c>
      <c r="P85" s="458">
        <v>0</v>
      </c>
      <c r="Q85" s="457">
        <f>R85+S85</f>
        <v>0</v>
      </c>
      <c r="R85" s="458">
        <v>0</v>
      </c>
      <c r="S85" s="458">
        <v>0</v>
      </c>
      <c r="T85" s="457">
        <f>U85+V85</f>
        <v>0</v>
      </c>
      <c r="U85" s="458">
        <v>0</v>
      </c>
      <c r="V85" s="458">
        <v>0</v>
      </c>
    </row>
    <row r="86" spans="1:22" s="456" customFormat="1" ht="14.25" customHeight="1" hidden="1">
      <c r="A86" s="844"/>
      <c r="B86" s="850"/>
      <c r="C86" s="907"/>
      <c r="D86" s="848"/>
      <c r="E86" s="904"/>
      <c r="F86" s="844"/>
      <c r="G86" s="455">
        <v>100844</v>
      </c>
      <c r="H86" s="455">
        <v>74813</v>
      </c>
      <c r="I86" s="842">
        <f aca="true" t="shared" si="13" ref="I86:V86">I83+I85</f>
        <v>173534</v>
      </c>
      <c r="J86" s="842">
        <f t="shared" si="13"/>
        <v>147503</v>
      </c>
      <c r="K86" s="842">
        <f t="shared" si="13"/>
        <v>147503</v>
      </c>
      <c r="L86" s="842">
        <f t="shared" si="13"/>
        <v>0</v>
      </c>
      <c r="M86" s="842">
        <f t="shared" si="13"/>
        <v>26031</v>
      </c>
      <c r="N86" s="842">
        <f t="shared" si="13"/>
        <v>0</v>
      </c>
      <c r="O86" s="842">
        <f t="shared" si="13"/>
        <v>0</v>
      </c>
      <c r="P86" s="842">
        <f t="shared" si="13"/>
        <v>0</v>
      </c>
      <c r="Q86" s="842">
        <f t="shared" si="13"/>
        <v>26031</v>
      </c>
      <c r="R86" s="842">
        <f t="shared" si="13"/>
        <v>26031</v>
      </c>
      <c r="S86" s="842">
        <f t="shared" si="13"/>
        <v>0</v>
      </c>
      <c r="T86" s="842">
        <f t="shared" si="13"/>
        <v>0</v>
      </c>
      <c r="U86" s="842">
        <f t="shared" si="13"/>
        <v>0</v>
      </c>
      <c r="V86" s="842">
        <f t="shared" si="13"/>
        <v>0</v>
      </c>
    </row>
    <row r="87" spans="1:22" s="456" customFormat="1" ht="14.25" customHeight="1" hidden="1">
      <c r="A87" s="844"/>
      <c r="B87" s="851"/>
      <c r="C87" s="908"/>
      <c r="D87" s="848"/>
      <c r="E87" s="904"/>
      <c r="F87" s="844"/>
      <c r="G87" s="455">
        <v>0</v>
      </c>
      <c r="H87" s="455">
        <v>0</v>
      </c>
      <c r="I87" s="842"/>
      <c r="J87" s="842"/>
      <c r="K87" s="842"/>
      <c r="L87" s="842"/>
      <c r="M87" s="842"/>
      <c r="N87" s="842"/>
      <c r="O87" s="842"/>
      <c r="P87" s="842"/>
      <c r="Q87" s="842"/>
      <c r="R87" s="842"/>
      <c r="S87" s="842"/>
      <c r="T87" s="842"/>
      <c r="U87" s="842"/>
      <c r="V87" s="842"/>
    </row>
    <row r="88" spans="1:22" s="456" customFormat="1" ht="14.25" customHeight="1" hidden="1">
      <c r="A88" s="844">
        <v>14</v>
      </c>
      <c r="B88" s="849" t="s">
        <v>628</v>
      </c>
      <c r="C88" s="906" t="s">
        <v>632</v>
      </c>
      <c r="D88" s="848" t="s">
        <v>581</v>
      </c>
      <c r="E88" s="904" t="s">
        <v>633</v>
      </c>
      <c r="F88" s="844" t="s">
        <v>631</v>
      </c>
      <c r="G88" s="455">
        <f>G89+G90+G91+G92</f>
        <v>1540066</v>
      </c>
      <c r="H88" s="455">
        <f>H89+H90+H91+H92</f>
        <v>1253519</v>
      </c>
      <c r="I88" s="842">
        <f>J88+M88</f>
        <v>286547</v>
      </c>
      <c r="J88" s="842">
        <f>K88+L88</f>
        <v>243567</v>
      </c>
      <c r="K88" s="842">
        <v>243567</v>
      </c>
      <c r="L88" s="842">
        <v>0</v>
      </c>
      <c r="M88" s="842">
        <f>N88+Q88+T88</f>
        <v>42980</v>
      </c>
      <c r="N88" s="842">
        <f>O88+P88</f>
        <v>0</v>
      </c>
      <c r="O88" s="842">
        <v>0</v>
      </c>
      <c r="P88" s="842">
        <v>0</v>
      </c>
      <c r="Q88" s="842">
        <f>R88+S88</f>
        <v>42980</v>
      </c>
      <c r="R88" s="842">
        <v>42980</v>
      </c>
      <c r="S88" s="842">
        <v>0</v>
      </c>
      <c r="T88" s="842">
        <f>U88+V88</f>
        <v>0</v>
      </c>
      <c r="U88" s="842">
        <v>0</v>
      </c>
      <c r="V88" s="842">
        <v>0</v>
      </c>
    </row>
    <row r="89" spans="1:22" s="456" customFormat="1" ht="14.25" customHeight="1" hidden="1">
      <c r="A89" s="844"/>
      <c r="B89" s="850"/>
      <c r="C89" s="907"/>
      <c r="D89" s="848"/>
      <c r="E89" s="904"/>
      <c r="F89" s="844"/>
      <c r="G89" s="455">
        <v>1264075</v>
      </c>
      <c r="H89" s="455">
        <v>1020508</v>
      </c>
      <c r="I89" s="842"/>
      <c r="J89" s="842"/>
      <c r="K89" s="842"/>
      <c r="L89" s="842"/>
      <c r="M89" s="842"/>
      <c r="N89" s="842"/>
      <c r="O89" s="842"/>
      <c r="P89" s="842"/>
      <c r="Q89" s="842"/>
      <c r="R89" s="842"/>
      <c r="S89" s="842"/>
      <c r="T89" s="842"/>
      <c r="U89" s="842"/>
      <c r="V89" s="842"/>
    </row>
    <row r="90" spans="1:22" s="456" customFormat="1" ht="14.25" customHeight="1" hidden="1">
      <c r="A90" s="844"/>
      <c r="B90" s="850"/>
      <c r="C90" s="907"/>
      <c r="D90" s="848"/>
      <c r="E90" s="904"/>
      <c r="F90" s="844"/>
      <c r="G90" s="455">
        <v>0</v>
      </c>
      <c r="H90" s="455">
        <v>0</v>
      </c>
      <c r="I90" s="457">
        <f>J90+M90</f>
        <v>0</v>
      </c>
      <c r="J90" s="457">
        <f>K90+L90</f>
        <v>0</v>
      </c>
      <c r="K90" s="458">
        <v>0</v>
      </c>
      <c r="L90" s="458">
        <v>0</v>
      </c>
      <c r="M90" s="457">
        <f>N90+Q90+T90</f>
        <v>0</v>
      </c>
      <c r="N90" s="457">
        <f>O90+P90</f>
        <v>0</v>
      </c>
      <c r="O90" s="458">
        <v>0</v>
      </c>
      <c r="P90" s="458">
        <v>0</v>
      </c>
      <c r="Q90" s="457">
        <f>R90+S90</f>
        <v>0</v>
      </c>
      <c r="R90" s="458">
        <v>0</v>
      </c>
      <c r="S90" s="458">
        <v>0</v>
      </c>
      <c r="T90" s="457">
        <f>U90+V90</f>
        <v>0</v>
      </c>
      <c r="U90" s="458">
        <v>0</v>
      </c>
      <c r="V90" s="458">
        <v>0</v>
      </c>
    </row>
    <row r="91" spans="1:22" s="456" customFormat="1" ht="14.25" customHeight="1" hidden="1">
      <c r="A91" s="844"/>
      <c r="B91" s="850"/>
      <c r="C91" s="907"/>
      <c r="D91" s="848"/>
      <c r="E91" s="904"/>
      <c r="F91" s="844"/>
      <c r="G91" s="455">
        <v>275991</v>
      </c>
      <c r="H91" s="455">
        <v>233011</v>
      </c>
      <c r="I91" s="842">
        <f aca="true" t="shared" si="14" ref="I91:V91">I88+I90</f>
        <v>286547</v>
      </c>
      <c r="J91" s="842">
        <f t="shared" si="14"/>
        <v>243567</v>
      </c>
      <c r="K91" s="842">
        <f t="shared" si="14"/>
        <v>243567</v>
      </c>
      <c r="L91" s="842">
        <f t="shared" si="14"/>
        <v>0</v>
      </c>
      <c r="M91" s="842">
        <f t="shared" si="14"/>
        <v>42980</v>
      </c>
      <c r="N91" s="842">
        <f t="shared" si="14"/>
        <v>0</v>
      </c>
      <c r="O91" s="842">
        <f t="shared" si="14"/>
        <v>0</v>
      </c>
      <c r="P91" s="842">
        <f t="shared" si="14"/>
        <v>0</v>
      </c>
      <c r="Q91" s="842">
        <f t="shared" si="14"/>
        <v>42980</v>
      </c>
      <c r="R91" s="842">
        <f t="shared" si="14"/>
        <v>42980</v>
      </c>
      <c r="S91" s="842">
        <f t="shared" si="14"/>
        <v>0</v>
      </c>
      <c r="T91" s="842">
        <f t="shared" si="14"/>
        <v>0</v>
      </c>
      <c r="U91" s="842">
        <f t="shared" si="14"/>
        <v>0</v>
      </c>
      <c r="V91" s="842">
        <f t="shared" si="14"/>
        <v>0</v>
      </c>
    </row>
    <row r="92" spans="1:22" s="456" customFormat="1" ht="14.25" customHeight="1" hidden="1">
      <c r="A92" s="844"/>
      <c r="B92" s="851"/>
      <c r="C92" s="908"/>
      <c r="D92" s="848"/>
      <c r="E92" s="904"/>
      <c r="F92" s="844"/>
      <c r="G92" s="455">
        <v>0</v>
      </c>
      <c r="H92" s="455">
        <v>0</v>
      </c>
      <c r="I92" s="842"/>
      <c r="J92" s="842"/>
      <c r="K92" s="842"/>
      <c r="L92" s="842"/>
      <c r="M92" s="842"/>
      <c r="N92" s="842"/>
      <c r="O92" s="842"/>
      <c r="P92" s="842"/>
      <c r="Q92" s="842"/>
      <c r="R92" s="842"/>
      <c r="S92" s="842"/>
      <c r="T92" s="842"/>
      <c r="U92" s="842"/>
      <c r="V92" s="842"/>
    </row>
    <row r="93" spans="1:22" s="456" customFormat="1" ht="14.25" customHeight="1" hidden="1">
      <c r="A93" s="844">
        <v>15</v>
      </c>
      <c r="B93" s="849" t="s">
        <v>628</v>
      </c>
      <c r="C93" s="906" t="s">
        <v>634</v>
      </c>
      <c r="D93" s="848" t="s">
        <v>581</v>
      </c>
      <c r="E93" s="904" t="s">
        <v>635</v>
      </c>
      <c r="F93" s="844" t="s">
        <v>606</v>
      </c>
      <c r="G93" s="455">
        <f>G94+G95+G96+G97</f>
        <v>194400</v>
      </c>
      <c r="H93" s="455">
        <f>H94+H95+H96+H97</f>
        <v>72000</v>
      </c>
      <c r="I93" s="842">
        <f>J93+M93</f>
        <v>122400</v>
      </c>
      <c r="J93" s="842">
        <f>K93+L93</f>
        <v>122400</v>
      </c>
      <c r="K93" s="842">
        <v>122400</v>
      </c>
      <c r="L93" s="842">
        <v>0</v>
      </c>
      <c r="M93" s="842">
        <f>N93+Q93+T93</f>
        <v>0</v>
      </c>
      <c r="N93" s="842">
        <f>O93+P93</f>
        <v>0</v>
      </c>
      <c r="O93" s="842">
        <v>0</v>
      </c>
      <c r="P93" s="842">
        <v>0</v>
      </c>
      <c r="Q93" s="842">
        <f>R93+S93</f>
        <v>0</v>
      </c>
      <c r="R93" s="842">
        <v>0</v>
      </c>
      <c r="S93" s="842">
        <v>0</v>
      </c>
      <c r="T93" s="842">
        <f>U93+V93</f>
        <v>0</v>
      </c>
      <c r="U93" s="842">
        <v>0</v>
      </c>
      <c r="V93" s="842">
        <v>0</v>
      </c>
    </row>
    <row r="94" spans="1:22" s="456" customFormat="1" ht="14.25" customHeight="1" hidden="1">
      <c r="A94" s="844"/>
      <c r="B94" s="850"/>
      <c r="C94" s="907"/>
      <c r="D94" s="848"/>
      <c r="E94" s="904"/>
      <c r="F94" s="844"/>
      <c r="G94" s="455">
        <v>183600</v>
      </c>
      <c r="H94" s="455">
        <v>61200</v>
      </c>
      <c r="I94" s="842"/>
      <c r="J94" s="842"/>
      <c r="K94" s="842"/>
      <c r="L94" s="842"/>
      <c r="M94" s="842"/>
      <c r="N94" s="842"/>
      <c r="O94" s="842"/>
      <c r="P94" s="842"/>
      <c r="Q94" s="842"/>
      <c r="R94" s="842"/>
      <c r="S94" s="842"/>
      <c r="T94" s="842"/>
      <c r="U94" s="842"/>
      <c r="V94" s="842"/>
    </row>
    <row r="95" spans="1:22" s="456" customFormat="1" ht="14.25" customHeight="1" hidden="1">
      <c r="A95" s="844"/>
      <c r="B95" s="850"/>
      <c r="C95" s="907"/>
      <c r="D95" s="848"/>
      <c r="E95" s="904"/>
      <c r="F95" s="844"/>
      <c r="G95" s="455">
        <v>0</v>
      </c>
      <c r="H95" s="455">
        <v>0</v>
      </c>
      <c r="I95" s="457">
        <f>J95+M95</f>
        <v>0</v>
      </c>
      <c r="J95" s="457">
        <f>K95+L95</f>
        <v>0</v>
      </c>
      <c r="K95" s="458">
        <v>0</v>
      </c>
      <c r="L95" s="458">
        <v>0</v>
      </c>
      <c r="M95" s="457">
        <f>N95+Q95+T95</f>
        <v>0</v>
      </c>
      <c r="N95" s="457">
        <f>O95+P95</f>
        <v>0</v>
      </c>
      <c r="O95" s="458">
        <v>0</v>
      </c>
      <c r="P95" s="458">
        <v>0</v>
      </c>
      <c r="Q95" s="457">
        <f>R95+S95</f>
        <v>0</v>
      </c>
      <c r="R95" s="458">
        <v>0</v>
      </c>
      <c r="S95" s="458">
        <v>0</v>
      </c>
      <c r="T95" s="457">
        <f>U95+V95</f>
        <v>0</v>
      </c>
      <c r="U95" s="458">
        <v>0</v>
      </c>
      <c r="V95" s="458">
        <v>0</v>
      </c>
    </row>
    <row r="96" spans="1:22" s="456" customFormat="1" ht="14.25" customHeight="1" hidden="1">
      <c r="A96" s="844"/>
      <c r="B96" s="850"/>
      <c r="C96" s="907"/>
      <c r="D96" s="848"/>
      <c r="E96" s="904"/>
      <c r="F96" s="844"/>
      <c r="G96" s="455">
        <v>10800</v>
      </c>
      <c r="H96" s="455">
        <v>10800</v>
      </c>
      <c r="I96" s="842">
        <f aca="true" t="shared" si="15" ref="I96:V96">I93+I95</f>
        <v>122400</v>
      </c>
      <c r="J96" s="842">
        <f t="shared" si="15"/>
        <v>122400</v>
      </c>
      <c r="K96" s="842">
        <f t="shared" si="15"/>
        <v>122400</v>
      </c>
      <c r="L96" s="842">
        <f t="shared" si="15"/>
        <v>0</v>
      </c>
      <c r="M96" s="842">
        <f t="shared" si="15"/>
        <v>0</v>
      </c>
      <c r="N96" s="842">
        <f t="shared" si="15"/>
        <v>0</v>
      </c>
      <c r="O96" s="842">
        <f t="shared" si="15"/>
        <v>0</v>
      </c>
      <c r="P96" s="842">
        <f t="shared" si="15"/>
        <v>0</v>
      </c>
      <c r="Q96" s="842">
        <f t="shared" si="15"/>
        <v>0</v>
      </c>
      <c r="R96" s="842">
        <f t="shared" si="15"/>
        <v>0</v>
      </c>
      <c r="S96" s="842">
        <f t="shared" si="15"/>
        <v>0</v>
      </c>
      <c r="T96" s="842">
        <f t="shared" si="15"/>
        <v>0</v>
      </c>
      <c r="U96" s="842">
        <f t="shared" si="15"/>
        <v>0</v>
      </c>
      <c r="V96" s="842">
        <f t="shared" si="15"/>
        <v>0</v>
      </c>
    </row>
    <row r="97" spans="1:22" s="456" customFormat="1" ht="14.25" customHeight="1" hidden="1">
      <c r="A97" s="844"/>
      <c r="B97" s="851"/>
      <c r="C97" s="908"/>
      <c r="D97" s="848"/>
      <c r="E97" s="904"/>
      <c r="F97" s="844"/>
      <c r="G97" s="455">
        <v>0</v>
      </c>
      <c r="H97" s="455">
        <v>0</v>
      </c>
      <c r="I97" s="842"/>
      <c r="J97" s="842"/>
      <c r="K97" s="842"/>
      <c r="L97" s="842"/>
      <c r="M97" s="842"/>
      <c r="N97" s="842"/>
      <c r="O97" s="842"/>
      <c r="P97" s="842"/>
      <c r="Q97" s="842"/>
      <c r="R97" s="842"/>
      <c r="S97" s="842"/>
      <c r="T97" s="842"/>
      <c r="U97" s="842"/>
      <c r="V97" s="842"/>
    </row>
    <row r="98" spans="1:22" s="456" customFormat="1" ht="14.25" customHeight="1" hidden="1">
      <c r="A98" s="844">
        <v>16</v>
      </c>
      <c r="B98" s="849" t="s">
        <v>636</v>
      </c>
      <c r="C98" s="906" t="s">
        <v>637</v>
      </c>
      <c r="D98" s="848" t="s">
        <v>581</v>
      </c>
      <c r="E98" s="904" t="s">
        <v>630</v>
      </c>
      <c r="F98" s="844" t="s">
        <v>627</v>
      </c>
      <c r="G98" s="455">
        <f>G99+G100+G101+G102</f>
        <v>540782</v>
      </c>
      <c r="H98" s="455">
        <f>H99+H100+H101+H102</f>
        <v>431152</v>
      </c>
      <c r="I98" s="842">
        <f>J98+M98</f>
        <v>80890</v>
      </c>
      <c r="J98" s="842">
        <f>K98+L98</f>
        <v>68756</v>
      </c>
      <c r="K98" s="842">
        <v>68756</v>
      </c>
      <c r="L98" s="842">
        <v>0</v>
      </c>
      <c r="M98" s="842">
        <f>N98+Q98+T98</f>
        <v>12134</v>
      </c>
      <c r="N98" s="842">
        <f>O98+P98</f>
        <v>0</v>
      </c>
      <c r="O98" s="842">
        <v>0</v>
      </c>
      <c r="P98" s="842">
        <v>0</v>
      </c>
      <c r="Q98" s="842">
        <f>R98+S98</f>
        <v>12134</v>
      </c>
      <c r="R98" s="842">
        <v>12134</v>
      </c>
      <c r="S98" s="842">
        <v>0</v>
      </c>
      <c r="T98" s="842">
        <f>U98+V98</f>
        <v>0</v>
      </c>
      <c r="U98" s="842">
        <v>0</v>
      </c>
      <c r="V98" s="842">
        <v>0</v>
      </c>
    </row>
    <row r="99" spans="1:22" s="456" customFormat="1" ht="14.25" customHeight="1" hidden="1">
      <c r="A99" s="844"/>
      <c r="B99" s="850"/>
      <c r="C99" s="907"/>
      <c r="D99" s="848"/>
      <c r="E99" s="904"/>
      <c r="F99" s="844"/>
      <c r="G99" s="455">
        <v>459660</v>
      </c>
      <c r="H99" s="455">
        <v>366475</v>
      </c>
      <c r="I99" s="842"/>
      <c r="J99" s="842"/>
      <c r="K99" s="842"/>
      <c r="L99" s="842"/>
      <c r="M99" s="842"/>
      <c r="N99" s="842"/>
      <c r="O99" s="842"/>
      <c r="P99" s="842"/>
      <c r="Q99" s="842"/>
      <c r="R99" s="842"/>
      <c r="S99" s="842"/>
      <c r="T99" s="842"/>
      <c r="U99" s="842"/>
      <c r="V99" s="842"/>
    </row>
    <row r="100" spans="1:22" s="456" customFormat="1" ht="14.25" customHeight="1" hidden="1">
      <c r="A100" s="844"/>
      <c r="B100" s="850"/>
      <c r="C100" s="907"/>
      <c r="D100" s="848"/>
      <c r="E100" s="904"/>
      <c r="F100" s="844"/>
      <c r="G100" s="455">
        <v>0</v>
      </c>
      <c r="H100" s="455">
        <v>0</v>
      </c>
      <c r="I100" s="457">
        <f>J100+M100</f>
        <v>0</v>
      </c>
      <c r="J100" s="457">
        <f>K100+L100</f>
        <v>0</v>
      </c>
      <c r="K100" s="458">
        <v>0</v>
      </c>
      <c r="L100" s="458">
        <v>0</v>
      </c>
      <c r="M100" s="457">
        <f>N100+Q100+T100</f>
        <v>0</v>
      </c>
      <c r="N100" s="457">
        <f>O100+P100</f>
        <v>0</v>
      </c>
      <c r="O100" s="458">
        <v>0</v>
      </c>
      <c r="P100" s="458">
        <v>0</v>
      </c>
      <c r="Q100" s="457">
        <f>R100+S100</f>
        <v>0</v>
      </c>
      <c r="R100" s="458">
        <v>0</v>
      </c>
      <c r="S100" s="458">
        <v>0</v>
      </c>
      <c r="T100" s="457">
        <f>U100+V100</f>
        <v>0</v>
      </c>
      <c r="U100" s="458">
        <v>0</v>
      </c>
      <c r="V100" s="458">
        <v>0</v>
      </c>
    </row>
    <row r="101" spans="1:22" s="456" customFormat="1" ht="14.25" customHeight="1" hidden="1">
      <c r="A101" s="844"/>
      <c r="B101" s="850"/>
      <c r="C101" s="907"/>
      <c r="D101" s="848"/>
      <c r="E101" s="904"/>
      <c r="F101" s="844"/>
      <c r="G101" s="455">
        <v>81122</v>
      </c>
      <c r="H101" s="455">
        <v>64677</v>
      </c>
      <c r="I101" s="842">
        <f aca="true" t="shared" si="16" ref="I101:V101">I98+I100</f>
        <v>80890</v>
      </c>
      <c r="J101" s="842">
        <f t="shared" si="16"/>
        <v>68756</v>
      </c>
      <c r="K101" s="842">
        <f t="shared" si="16"/>
        <v>68756</v>
      </c>
      <c r="L101" s="842">
        <f t="shared" si="16"/>
        <v>0</v>
      </c>
      <c r="M101" s="842">
        <f t="shared" si="16"/>
        <v>12134</v>
      </c>
      <c r="N101" s="842">
        <f t="shared" si="16"/>
        <v>0</v>
      </c>
      <c r="O101" s="842">
        <f t="shared" si="16"/>
        <v>0</v>
      </c>
      <c r="P101" s="842">
        <f t="shared" si="16"/>
        <v>0</v>
      </c>
      <c r="Q101" s="842">
        <f t="shared" si="16"/>
        <v>12134</v>
      </c>
      <c r="R101" s="842">
        <f t="shared" si="16"/>
        <v>12134</v>
      </c>
      <c r="S101" s="842">
        <f t="shared" si="16"/>
        <v>0</v>
      </c>
      <c r="T101" s="842">
        <f t="shared" si="16"/>
        <v>0</v>
      </c>
      <c r="U101" s="842">
        <f t="shared" si="16"/>
        <v>0</v>
      </c>
      <c r="V101" s="842">
        <f t="shared" si="16"/>
        <v>0</v>
      </c>
    </row>
    <row r="102" spans="1:22" s="456" customFormat="1" ht="14.25" customHeight="1" hidden="1">
      <c r="A102" s="844"/>
      <c r="B102" s="851"/>
      <c r="C102" s="908"/>
      <c r="D102" s="848"/>
      <c r="E102" s="904"/>
      <c r="F102" s="844"/>
      <c r="G102" s="455">
        <v>0</v>
      </c>
      <c r="H102" s="455">
        <v>0</v>
      </c>
      <c r="I102" s="842"/>
      <c r="J102" s="842"/>
      <c r="K102" s="842"/>
      <c r="L102" s="842"/>
      <c r="M102" s="842"/>
      <c r="N102" s="842"/>
      <c r="O102" s="842"/>
      <c r="P102" s="842"/>
      <c r="Q102" s="842"/>
      <c r="R102" s="842"/>
      <c r="S102" s="842"/>
      <c r="T102" s="842"/>
      <c r="U102" s="842"/>
      <c r="V102" s="842"/>
    </row>
    <row r="103" spans="1:22" s="456" customFormat="1" ht="15" customHeight="1" hidden="1">
      <c r="A103" s="844">
        <v>17</v>
      </c>
      <c r="B103" s="849" t="s">
        <v>638</v>
      </c>
      <c r="C103" s="906" t="s">
        <v>639</v>
      </c>
      <c r="D103" s="848" t="s">
        <v>581</v>
      </c>
      <c r="E103" s="904" t="s">
        <v>622</v>
      </c>
      <c r="F103" s="844" t="s">
        <v>623</v>
      </c>
      <c r="G103" s="455">
        <f>G104+G105+G106+G107</f>
        <v>763665</v>
      </c>
      <c r="H103" s="455">
        <f>H104+H105+H106+H107</f>
        <v>144928</v>
      </c>
      <c r="I103" s="842">
        <f>J103+M103</f>
        <v>320038</v>
      </c>
      <c r="J103" s="842">
        <f>K103+L103</f>
        <v>272033</v>
      </c>
      <c r="K103" s="842">
        <v>272033</v>
      </c>
      <c r="L103" s="842">
        <v>0</v>
      </c>
      <c r="M103" s="842">
        <f>N103+Q103+T103</f>
        <v>48005</v>
      </c>
      <c r="N103" s="842">
        <f>O103+P103</f>
        <v>0</v>
      </c>
      <c r="O103" s="842">
        <v>0</v>
      </c>
      <c r="P103" s="842">
        <v>0</v>
      </c>
      <c r="Q103" s="842">
        <f>R103+S103</f>
        <v>48005</v>
      </c>
      <c r="R103" s="842">
        <v>48005</v>
      </c>
      <c r="S103" s="842">
        <v>0</v>
      </c>
      <c r="T103" s="842">
        <f>U103+V103</f>
        <v>0</v>
      </c>
      <c r="U103" s="842">
        <v>0</v>
      </c>
      <c r="V103" s="842">
        <v>0</v>
      </c>
    </row>
    <row r="104" spans="1:22" s="456" customFormat="1" ht="15" customHeight="1" hidden="1">
      <c r="A104" s="844"/>
      <c r="B104" s="850"/>
      <c r="C104" s="907"/>
      <c r="D104" s="848"/>
      <c r="E104" s="904"/>
      <c r="F104" s="844"/>
      <c r="G104" s="455">
        <v>649115</v>
      </c>
      <c r="H104" s="455">
        <v>123188</v>
      </c>
      <c r="I104" s="842"/>
      <c r="J104" s="842"/>
      <c r="K104" s="842"/>
      <c r="L104" s="842"/>
      <c r="M104" s="842"/>
      <c r="N104" s="842"/>
      <c r="O104" s="842"/>
      <c r="P104" s="842"/>
      <c r="Q104" s="842"/>
      <c r="R104" s="842"/>
      <c r="S104" s="842"/>
      <c r="T104" s="842"/>
      <c r="U104" s="842"/>
      <c r="V104" s="842"/>
    </row>
    <row r="105" spans="1:22" s="456" customFormat="1" ht="15" customHeight="1" hidden="1">
      <c r="A105" s="844"/>
      <c r="B105" s="850"/>
      <c r="C105" s="907"/>
      <c r="D105" s="848"/>
      <c r="E105" s="904"/>
      <c r="F105" s="844"/>
      <c r="G105" s="455">
        <v>0</v>
      </c>
      <c r="H105" s="455">
        <v>0</v>
      </c>
      <c r="I105" s="457">
        <f>J105+M105</f>
        <v>0</v>
      </c>
      <c r="J105" s="457">
        <f>K105+L105</f>
        <v>0</v>
      </c>
      <c r="K105" s="458">
        <v>0</v>
      </c>
      <c r="L105" s="458">
        <v>0</v>
      </c>
      <c r="M105" s="457">
        <f>N105+Q105+T105</f>
        <v>0</v>
      </c>
      <c r="N105" s="457">
        <f>O105+P105</f>
        <v>0</v>
      </c>
      <c r="O105" s="458">
        <v>0</v>
      </c>
      <c r="P105" s="458">
        <v>0</v>
      </c>
      <c r="Q105" s="457">
        <f>R105+S105</f>
        <v>0</v>
      </c>
      <c r="R105" s="458">
        <v>0</v>
      </c>
      <c r="S105" s="458">
        <v>0</v>
      </c>
      <c r="T105" s="457">
        <f>U105+V105</f>
        <v>0</v>
      </c>
      <c r="U105" s="458">
        <v>0</v>
      </c>
      <c r="V105" s="458">
        <v>0</v>
      </c>
    </row>
    <row r="106" spans="1:22" s="456" customFormat="1" ht="15" customHeight="1" hidden="1">
      <c r="A106" s="844"/>
      <c r="B106" s="850"/>
      <c r="C106" s="907"/>
      <c r="D106" s="848"/>
      <c r="E106" s="904"/>
      <c r="F106" s="844"/>
      <c r="G106" s="455">
        <v>114550</v>
      </c>
      <c r="H106" s="455">
        <v>21740</v>
      </c>
      <c r="I106" s="842">
        <f aca="true" t="shared" si="17" ref="I106:V106">I103+I105</f>
        <v>320038</v>
      </c>
      <c r="J106" s="842">
        <f t="shared" si="17"/>
        <v>272033</v>
      </c>
      <c r="K106" s="842">
        <f t="shared" si="17"/>
        <v>272033</v>
      </c>
      <c r="L106" s="842">
        <f t="shared" si="17"/>
        <v>0</v>
      </c>
      <c r="M106" s="842">
        <f t="shared" si="17"/>
        <v>48005</v>
      </c>
      <c r="N106" s="842">
        <f t="shared" si="17"/>
        <v>0</v>
      </c>
      <c r="O106" s="842">
        <f t="shared" si="17"/>
        <v>0</v>
      </c>
      <c r="P106" s="842">
        <f t="shared" si="17"/>
        <v>0</v>
      </c>
      <c r="Q106" s="842">
        <f t="shared" si="17"/>
        <v>48005</v>
      </c>
      <c r="R106" s="842">
        <f t="shared" si="17"/>
        <v>48005</v>
      </c>
      <c r="S106" s="842">
        <f t="shared" si="17"/>
        <v>0</v>
      </c>
      <c r="T106" s="842">
        <f t="shared" si="17"/>
        <v>0</v>
      </c>
      <c r="U106" s="842">
        <f t="shared" si="17"/>
        <v>0</v>
      </c>
      <c r="V106" s="842">
        <f t="shared" si="17"/>
        <v>0</v>
      </c>
    </row>
    <row r="107" spans="1:22" s="456" customFormat="1" ht="15" customHeight="1" hidden="1">
      <c r="A107" s="844"/>
      <c r="B107" s="851"/>
      <c r="C107" s="908"/>
      <c r="D107" s="848"/>
      <c r="E107" s="904"/>
      <c r="F107" s="844"/>
      <c r="G107" s="455">
        <v>0</v>
      </c>
      <c r="H107" s="455">
        <v>0</v>
      </c>
      <c r="I107" s="842"/>
      <c r="J107" s="842"/>
      <c r="K107" s="842"/>
      <c r="L107" s="842"/>
      <c r="M107" s="842"/>
      <c r="N107" s="842"/>
      <c r="O107" s="842"/>
      <c r="P107" s="842"/>
      <c r="Q107" s="842"/>
      <c r="R107" s="842"/>
      <c r="S107" s="842"/>
      <c r="T107" s="842"/>
      <c r="U107" s="842"/>
      <c r="V107" s="842"/>
    </row>
    <row r="108" spans="1:22" s="456" customFormat="1" ht="15" customHeight="1" hidden="1">
      <c r="A108" s="844">
        <v>18</v>
      </c>
      <c r="B108" s="849" t="s">
        <v>638</v>
      </c>
      <c r="C108" s="906" t="s">
        <v>640</v>
      </c>
      <c r="D108" s="848" t="s">
        <v>581</v>
      </c>
      <c r="E108" s="904" t="s">
        <v>626</v>
      </c>
      <c r="F108" s="844" t="s">
        <v>623</v>
      </c>
      <c r="G108" s="455">
        <f>G109+G110+G111+G112</f>
        <v>698886</v>
      </c>
      <c r="H108" s="455">
        <f>H109+H110+H111+H112</f>
        <v>298463</v>
      </c>
      <c r="I108" s="842">
        <f>J108+M108</f>
        <v>309044</v>
      </c>
      <c r="J108" s="842">
        <f>K108+L108</f>
        <v>262686</v>
      </c>
      <c r="K108" s="842">
        <v>262686</v>
      </c>
      <c r="L108" s="842">
        <v>0</v>
      </c>
      <c r="M108" s="842">
        <f>N108+Q108+T108</f>
        <v>46358</v>
      </c>
      <c r="N108" s="842">
        <f>O108+P108</f>
        <v>0</v>
      </c>
      <c r="O108" s="842">
        <v>0</v>
      </c>
      <c r="P108" s="842">
        <v>0</v>
      </c>
      <c r="Q108" s="842">
        <f>R108+S108</f>
        <v>46358</v>
      </c>
      <c r="R108" s="842">
        <v>46358</v>
      </c>
      <c r="S108" s="842">
        <v>0</v>
      </c>
      <c r="T108" s="842">
        <f>U108+V108</f>
        <v>0</v>
      </c>
      <c r="U108" s="842">
        <v>0</v>
      </c>
      <c r="V108" s="842">
        <v>0</v>
      </c>
    </row>
    <row r="109" spans="1:22" s="456" customFormat="1" ht="15" customHeight="1" hidden="1">
      <c r="A109" s="844"/>
      <c r="B109" s="850"/>
      <c r="C109" s="907"/>
      <c r="D109" s="848"/>
      <c r="E109" s="904"/>
      <c r="F109" s="844"/>
      <c r="G109" s="455">
        <v>594053</v>
      </c>
      <c r="H109" s="455">
        <v>253692</v>
      </c>
      <c r="I109" s="842"/>
      <c r="J109" s="842"/>
      <c r="K109" s="842"/>
      <c r="L109" s="842"/>
      <c r="M109" s="842"/>
      <c r="N109" s="842"/>
      <c r="O109" s="842"/>
      <c r="P109" s="842"/>
      <c r="Q109" s="842"/>
      <c r="R109" s="842"/>
      <c r="S109" s="842"/>
      <c r="T109" s="842"/>
      <c r="U109" s="842"/>
      <c r="V109" s="842"/>
    </row>
    <row r="110" spans="1:22" s="456" customFormat="1" ht="15" customHeight="1" hidden="1">
      <c r="A110" s="844"/>
      <c r="B110" s="850"/>
      <c r="C110" s="907"/>
      <c r="D110" s="848"/>
      <c r="E110" s="904"/>
      <c r="F110" s="844"/>
      <c r="G110" s="455">
        <v>0</v>
      </c>
      <c r="H110" s="455">
        <v>0</v>
      </c>
      <c r="I110" s="457">
        <f>J110+M110</f>
        <v>0</v>
      </c>
      <c r="J110" s="457">
        <f>K110+L110</f>
        <v>0</v>
      </c>
      <c r="K110" s="458">
        <v>0</v>
      </c>
      <c r="L110" s="458">
        <v>0</v>
      </c>
      <c r="M110" s="457">
        <f>N110+Q110+T110</f>
        <v>0</v>
      </c>
      <c r="N110" s="457">
        <f>O110+P110</f>
        <v>0</v>
      </c>
      <c r="O110" s="458">
        <v>0</v>
      </c>
      <c r="P110" s="458">
        <v>0</v>
      </c>
      <c r="Q110" s="457">
        <f>R110+S110</f>
        <v>0</v>
      </c>
      <c r="R110" s="458">
        <v>0</v>
      </c>
      <c r="S110" s="458">
        <v>0</v>
      </c>
      <c r="T110" s="457">
        <f>U110+V110</f>
        <v>0</v>
      </c>
      <c r="U110" s="458">
        <v>0</v>
      </c>
      <c r="V110" s="458">
        <v>0</v>
      </c>
    </row>
    <row r="111" spans="1:22" s="456" customFormat="1" ht="15" customHeight="1" hidden="1">
      <c r="A111" s="844"/>
      <c r="B111" s="850"/>
      <c r="C111" s="907"/>
      <c r="D111" s="848"/>
      <c r="E111" s="904"/>
      <c r="F111" s="844"/>
      <c r="G111" s="455">
        <v>104833</v>
      </c>
      <c r="H111" s="455">
        <v>44771</v>
      </c>
      <c r="I111" s="842">
        <f aca="true" t="shared" si="18" ref="I111:V111">I108+I110</f>
        <v>309044</v>
      </c>
      <c r="J111" s="842">
        <f t="shared" si="18"/>
        <v>262686</v>
      </c>
      <c r="K111" s="842">
        <f t="shared" si="18"/>
        <v>262686</v>
      </c>
      <c r="L111" s="842">
        <f t="shared" si="18"/>
        <v>0</v>
      </c>
      <c r="M111" s="842">
        <f t="shared" si="18"/>
        <v>46358</v>
      </c>
      <c r="N111" s="842">
        <f t="shared" si="18"/>
        <v>0</v>
      </c>
      <c r="O111" s="842">
        <f t="shared" si="18"/>
        <v>0</v>
      </c>
      <c r="P111" s="842">
        <f t="shared" si="18"/>
        <v>0</v>
      </c>
      <c r="Q111" s="842">
        <f t="shared" si="18"/>
        <v>46358</v>
      </c>
      <c r="R111" s="842">
        <f t="shared" si="18"/>
        <v>46358</v>
      </c>
      <c r="S111" s="842">
        <f t="shared" si="18"/>
        <v>0</v>
      </c>
      <c r="T111" s="842">
        <f t="shared" si="18"/>
        <v>0</v>
      </c>
      <c r="U111" s="842">
        <f t="shared" si="18"/>
        <v>0</v>
      </c>
      <c r="V111" s="842">
        <f t="shared" si="18"/>
        <v>0</v>
      </c>
    </row>
    <row r="112" spans="1:22" s="456" customFormat="1" ht="15" customHeight="1" hidden="1">
      <c r="A112" s="844"/>
      <c r="B112" s="851"/>
      <c r="C112" s="908"/>
      <c r="D112" s="848"/>
      <c r="E112" s="904"/>
      <c r="F112" s="844"/>
      <c r="G112" s="455">
        <v>0</v>
      </c>
      <c r="H112" s="455">
        <v>0</v>
      </c>
      <c r="I112" s="842"/>
      <c r="J112" s="842"/>
      <c r="K112" s="842"/>
      <c r="L112" s="842"/>
      <c r="M112" s="842"/>
      <c r="N112" s="842"/>
      <c r="O112" s="842"/>
      <c r="P112" s="842"/>
      <c r="Q112" s="842"/>
      <c r="R112" s="842"/>
      <c r="S112" s="842"/>
      <c r="T112" s="842"/>
      <c r="U112" s="842"/>
      <c r="V112" s="842"/>
    </row>
    <row r="113" spans="1:22" s="456" customFormat="1" ht="15" customHeight="1" hidden="1">
      <c r="A113" s="844">
        <v>19</v>
      </c>
      <c r="B113" s="849" t="s">
        <v>641</v>
      </c>
      <c r="C113" s="906" t="s">
        <v>642</v>
      </c>
      <c r="D113" s="848" t="s">
        <v>581</v>
      </c>
      <c r="E113" s="904" t="s">
        <v>643</v>
      </c>
      <c r="F113" s="844" t="s">
        <v>644</v>
      </c>
      <c r="G113" s="455">
        <f>G114+G115+G116+G117</f>
        <v>43138</v>
      </c>
      <c r="H113" s="455">
        <f>H114+H115+H116+H117</f>
        <v>21569</v>
      </c>
      <c r="I113" s="842">
        <f>J113+M113</f>
        <v>21569</v>
      </c>
      <c r="J113" s="842">
        <f>K113+L113</f>
        <v>16177</v>
      </c>
      <c r="K113" s="842">
        <v>16177</v>
      </c>
      <c r="L113" s="842">
        <v>0</v>
      </c>
      <c r="M113" s="842">
        <f>N113+Q113+T113</f>
        <v>5392</v>
      </c>
      <c r="N113" s="842">
        <f>O113+P113</f>
        <v>0</v>
      </c>
      <c r="O113" s="842">
        <v>0</v>
      </c>
      <c r="P113" s="842">
        <v>0</v>
      </c>
      <c r="Q113" s="842">
        <f>R113+S113</f>
        <v>5392</v>
      </c>
      <c r="R113" s="842">
        <v>5392</v>
      </c>
      <c r="S113" s="842">
        <v>0</v>
      </c>
      <c r="T113" s="842">
        <f>U113+V113</f>
        <v>0</v>
      </c>
      <c r="U113" s="842">
        <v>0</v>
      </c>
      <c r="V113" s="842">
        <v>0</v>
      </c>
    </row>
    <row r="114" spans="1:22" s="456" customFormat="1" ht="15" customHeight="1" hidden="1">
      <c r="A114" s="844"/>
      <c r="B114" s="850"/>
      <c r="C114" s="907"/>
      <c r="D114" s="848"/>
      <c r="E114" s="904"/>
      <c r="F114" s="844"/>
      <c r="G114" s="455">
        <v>32354</v>
      </c>
      <c r="H114" s="455">
        <v>16177</v>
      </c>
      <c r="I114" s="842"/>
      <c r="J114" s="842"/>
      <c r="K114" s="842"/>
      <c r="L114" s="842"/>
      <c r="M114" s="842"/>
      <c r="N114" s="842"/>
      <c r="O114" s="842"/>
      <c r="P114" s="842"/>
      <c r="Q114" s="842"/>
      <c r="R114" s="842"/>
      <c r="S114" s="842"/>
      <c r="T114" s="842"/>
      <c r="U114" s="842"/>
      <c r="V114" s="842"/>
    </row>
    <row r="115" spans="1:22" s="456" customFormat="1" ht="15" customHeight="1" hidden="1">
      <c r="A115" s="844"/>
      <c r="B115" s="850"/>
      <c r="C115" s="907"/>
      <c r="D115" s="848"/>
      <c r="E115" s="904"/>
      <c r="F115" s="844"/>
      <c r="G115" s="455">
        <v>0</v>
      </c>
      <c r="H115" s="455">
        <v>0</v>
      </c>
      <c r="I115" s="457">
        <f>J115+M115</f>
        <v>0</v>
      </c>
      <c r="J115" s="457">
        <f>K115+L115</f>
        <v>0</v>
      </c>
      <c r="K115" s="458">
        <v>0</v>
      </c>
      <c r="L115" s="458">
        <v>0</v>
      </c>
      <c r="M115" s="457">
        <f>N115+Q115+T115</f>
        <v>0</v>
      </c>
      <c r="N115" s="457">
        <f>O115+P115</f>
        <v>0</v>
      </c>
      <c r="O115" s="458">
        <v>0</v>
      </c>
      <c r="P115" s="458">
        <v>0</v>
      </c>
      <c r="Q115" s="457">
        <f>R115+S115</f>
        <v>0</v>
      </c>
      <c r="R115" s="458">
        <v>0</v>
      </c>
      <c r="S115" s="458">
        <v>0</v>
      </c>
      <c r="T115" s="457">
        <f>U115+V115</f>
        <v>0</v>
      </c>
      <c r="U115" s="458">
        <v>0</v>
      </c>
      <c r="V115" s="458">
        <v>0</v>
      </c>
    </row>
    <row r="116" spans="1:22" s="456" customFormat="1" ht="15" customHeight="1" hidden="1">
      <c r="A116" s="844"/>
      <c r="B116" s="850"/>
      <c r="C116" s="907"/>
      <c r="D116" s="848"/>
      <c r="E116" s="904"/>
      <c r="F116" s="844"/>
      <c r="G116" s="455">
        <v>10784</v>
      </c>
      <c r="H116" s="455">
        <v>5392</v>
      </c>
      <c r="I116" s="842">
        <f aca="true" t="shared" si="19" ref="I116:V116">I113+I115</f>
        <v>21569</v>
      </c>
      <c r="J116" s="842">
        <f t="shared" si="19"/>
        <v>16177</v>
      </c>
      <c r="K116" s="842">
        <f t="shared" si="19"/>
        <v>16177</v>
      </c>
      <c r="L116" s="842">
        <f t="shared" si="19"/>
        <v>0</v>
      </c>
      <c r="M116" s="842">
        <f t="shared" si="19"/>
        <v>5392</v>
      </c>
      <c r="N116" s="842">
        <f t="shared" si="19"/>
        <v>0</v>
      </c>
      <c r="O116" s="842">
        <f t="shared" si="19"/>
        <v>0</v>
      </c>
      <c r="P116" s="842">
        <f t="shared" si="19"/>
        <v>0</v>
      </c>
      <c r="Q116" s="842">
        <f t="shared" si="19"/>
        <v>5392</v>
      </c>
      <c r="R116" s="842">
        <f t="shared" si="19"/>
        <v>5392</v>
      </c>
      <c r="S116" s="842">
        <f t="shared" si="19"/>
        <v>0</v>
      </c>
      <c r="T116" s="842">
        <f t="shared" si="19"/>
        <v>0</v>
      </c>
      <c r="U116" s="842">
        <f t="shared" si="19"/>
        <v>0</v>
      </c>
      <c r="V116" s="842">
        <f t="shared" si="19"/>
        <v>0</v>
      </c>
    </row>
    <row r="117" spans="1:22" s="456" customFormat="1" ht="15" customHeight="1" hidden="1">
      <c r="A117" s="844"/>
      <c r="B117" s="851"/>
      <c r="C117" s="908"/>
      <c r="D117" s="848"/>
      <c r="E117" s="904"/>
      <c r="F117" s="844"/>
      <c r="G117" s="455">
        <v>0</v>
      </c>
      <c r="H117" s="455">
        <v>0</v>
      </c>
      <c r="I117" s="842"/>
      <c r="J117" s="842"/>
      <c r="K117" s="842"/>
      <c r="L117" s="842"/>
      <c r="M117" s="842"/>
      <c r="N117" s="842"/>
      <c r="O117" s="842"/>
      <c r="P117" s="842"/>
      <c r="Q117" s="842"/>
      <c r="R117" s="842"/>
      <c r="S117" s="842"/>
      <c r="T117" s="842"/>
      <c r="U117" s="842"/>
      <c r="V117" s="842"/>
    </row>
    <row r="118" spans="1:22" s="456" customFormat="1" ht="14.25" customHeight="1">
      <c r="A118" s="844">
        <v>3</v>
      </c>
      <c r="B118" s="849" t="s">
        <v>636</v>
      </c>
      <c r="C118" s="906" t="s">
        <v>645</v>
      </c>
      <c r="D118" s="848" t="s">
        <v>581</v>
      </c>
      <c r="E118" s="904" t="s">
        <v>630</v>
      </c>
      <c r="F118" s="844" t="s">
        <v>646</v>
      </c>
      <c r="G118" s="455">
        <f>G119+G120+G121+G122</f>
        <v>789965</v>
      </c>
      <c r="H118" s="455">
        <f>H119+H120+H121+H122</f>
        <v>40928</v>
      </c>
      <c r="I118" s="842">
        <f>J118+M118</f>
        <v>232236</v>
      </c>
      <c r="J118" s="842">
        <f>K118+L118</f>
        <v>197401</v>
      </c>
      <c r="K118" s="842">
        <v>197401</v>
      </c>
      <c r="L118" s="842">
        <v>0</v>
      </c>
      <c r="M118" s="842">
        <f>N118+Q118+T118</f>
        <v>34835</v>
      </c>
      <c r="N118" s="842">
        <f>O118+P118</f>
        <v>0</v>
      </c>
      <c r="O118" s="842">
        <v>0</v>
      </c>
      <c r="P118" s="842">
        <v>0</v>
      </c>
      <c r="Q118" s="842">
        <f>R118+S118</f>
        <v>34835</v>
      </c>
      <c r="R118" s="842">
        <v>34835</v>
      </c>
      <c r="S118" s="842">
        <v>0</v>
      </c>
      <c r="T118" s="842">
        <f>U118+V118</f>
        <v>0</v>
      </c>
      <c r="U118" s="842">
        <v>0</v>
      </c>
      <c r="V118" s="842">
        <v>0</v>
      </c>
    </row>
    <row r="119" spans="1:22" s="456" customFormat="1" ht="14.25" customHeight="1">
      <c r="A119" s="844"/>
      <c r="B119" s="850"/>
      <c r="C119" s="907"/>
      <c r="D119" s="848"/>
      <c r="E119" s="904"/>
      <c r="F119" s="844"/>
      <c r="G119" s="455">
        <v>671470</v>
      </c>
      <c r="H119" s="455">
        <v>34789</v>
      </c>
      <c r="I119" s="842"/>
      <c r="J119" s="842"/>
      <c r="K119" s="842"/>
      <c r="L119" s="842"/>
      <c r="M119" s="842"/>
      <c r="N119" s="842"/>
      <c r="O119" s="842"/>
      <c r="P119" s="842"/>
      <c r="Q119" s="842"/>
      <c r="R119" s="842"/>
      <c r="S119" s="842"/>
      <c r="T119" s="842"/>
      <c r="U119" s="842"/>
      <c r="V119" s="842"/>
    </row>
    <row r="120" spans="1:22" s="456" customFormat="1" ht="14.25" customHeight="1">
      <c r="A120" s="844"/>
      <c r="B120" s="850"/>
      <c r="C120" s="907"/>
      <c r="D120" s="848"/>
      <c r="E120" s="904"/>
      <c r="F120" s="844"/>
      <c r="G120" s="455">
        <v>0</v>
      </c>
      <c r="H120" s="455">
        <v>0</v>
      </c>
      <c r="I120" s="457">
        <f>J120+M120</f>
        <v>19026</v>
      </c>
      <c r="J120" s="457">
        <f>K120+L120</f>
        <v>16169</v>
      </c>
      <c r="K120" s="458">
        <v>16169</v>
      </c>
      <c r="L120" s="458">
        <v>0</v>
      </c>
      <c r="M120" s="457">
        <f>N120+Q120+T120</f>
        <v>2857</v>
      </c>
      <c r="N120" s="457">
        <f>O120+P120</f>
        <v>0</v>
      </c>
      <c r="O120" s="458">
        <v>0</v>
      </c>
      <c r="P120" s="458">
        <v>0</v>
      </c>
      <c r="Q120" s="457">
        <f>R120+S120</f>
        <v>2857</v>
      </c>
      <c r="R120" s="458">
        <v>2857</v>
      </c>
      <c r="S120" s="458">
        <v>0</v>
      </c>
      <c r="T120" s="457">
        <f>U120+V120</f>
        <v>0</v>
      </c>
      <c r="U120" s="458">
        <v>0</v>
      </c>
      <c r="V120" s="458">
        <v>0</v>
      </c>
    </row>
    <row r="121" spans="1:22" s="456" customFormat="1" ht="14.25" customHeight="1">
      <c r="A121" s="844"/>
      <c r="B121" s="850"/>
      <c r="C121" s="907"/>
      <c r="D121" s="848"/>
      <c r="E121" s="904"/>
      <c r="F121" s="844"/>
      <c r="G121" s="455">
        <v>118495</v>
      </c>
      <c r="H121" s="455">
        <v>6139</v>
      </c>
      <c r="I121" s="842">
        <f aca="true" t="shared" si="20" ref="I121:V121">I118+I120</f>
        <v>251262</v>
      </c>
      <c r="J121" s="842">
        <f t="shared" si="20"/>
        <v>213570</v>
      </c>
      <c r="K121" s="842">
        <f t="shared" si="20"/>
        <v>213570</v>
      </c>
      <c r="L121" s="842">
        <f t="shared" si="20"/>
        <v>0</v>
      </c>
      <c r="M121" s="842">
        <f t="shared" si="20"/>
        <v>37692</v>
      </c>
      <c r="N121" s="842">
        <f t="shared" si="20"/>
        <v>0</v>
      </c>
      <c r="O121" s="842">
        <f t="shared" si="20"/>
        <v>0</v>
      </c>
      <c r="P121" s="842">
        <f t="shared" si="20"/>
        <v>0</v>
      </c>
      <c r="Q121" s="842">
        <f t="shared" si="20"/>
        <v>37692</v>
      </c>
      <c r="R121" s="842">
        <f t="shared" si="20"/>
        <v>37692</v>
      </c>
      <c r="S121" s="842">
        <f t="shared" si="20"/>
        <v>0</v>
      </c>
      <c r="T121" s="842">
        <f t="shared" si="20"/>
        <v>0</v>
      </c>
      <c r="U121" s="842">
        <f t="shared" si="20"/>
        <v>0</v>
      </c>
      <c r="V121" s="842">
        <f t="shared" si="20"/>
        <v>0</v>
      </c>
    </row>
    <row r="122" spans="1:22" s="456" customFormat="1" ht="14.25" customHeight="1">
      <c r="A122" s="844"/>
      <c r="B122" s="851"/>
      <c r="C122" s="908"/>
      <c r="D122" s="848"/>
      <c r="E122" s="904"/>
      <c r="F122" s="844"/>
      <c r="G122" s="455">
        <v>0</v>
      </c>
      <c r="H122" s="455">
        <v>0</v>
      </c>
      <c r="I122" s="842"/>
      <c r="J122" s="842"/>
      <c r="K122" s="842"/>
      <c r="L122" s="842"/>
      <c r="M122" s="842"/>
      <c r="N122" s="842"/>
      <c r="O122" s="842"/>
      <c r="P122" s="842"/>
      <c r="Q122" s="842"/>
      <c r="R122" s="842"/>
      <c r="S122" s="842"/>
      <c r="T122" s="842"/>
      <c r="U122" s="842"/>
      <c r="V122" s="842"/>
    </row>
    <row r="123" spans="1:22" s="456" customFormat="1" ht="14.25" customHeight="1" hidden="1">
      <c r="A123" s="844">
        <v>21</v>
      </c>
      <c r="B123" s="849" t="s">
        <v>636</v>
      </c>
      <c r="C123" s="906" t="s">
        <v>647</v>
      </c>
      <c r="D123" s="848" t="s">
        <v>581</v>
      </c>
      <c r="E123" s="904" t="s">
        <v>635</v>
      </c>
      <c r="F123" s="844" t="s">
        <v>648</v>
      </c>
      <c r="G123" s="455">
        <f>G124+G125+G126+G127</f>
        <v>812585</v>
      </c>
      <c r="H123" s="455">
        <f>H124+H125+H126+H127</f>
        <v>88909</v>
      </c>
      <c r="I123" s="842">
        <f>J123+M123</f>
        <v>326159</v>
      </c>
      <c r="J123" s="842">
        <f>K123+L123</f>
        <v>277235</v>
      </c>
      <c r="K123" s="842">
        <v>277235</v>
      </c>
      <c r="L123" s="842">
        <v>0</v>
      </c>
      <c r="M123" s="842">
        <f>N123+Q123+T123</f>
        <v>48924</v>
      </c>
      <c r="N123" s="842">
        <f>O123+P123</f>
        <v>0</v>
      </c>
      <c r="O123" s="842">
        <v>0</v>
      </c>
      <c r="P123" s="842">
        <v>0</v>
      </c>
      <c r="Q123" s="842">
        <f>R123+S123</f>
        <v>48924</v>
      </c>
      <c r="R123" s="842">
        <v>48924</v>
      </c>
      <c r="S123" s="842">
        <v>0</v>
      </c>
      <c r="T123" s="842">
        <f>U123+V123</f>
        <v>0</v>
      </c>
      <c r="U123" s="842">
        <v>0</v>
      </c>
      <c r="V123" s="842">
        <v>0</v>
      </c>
    </row>
    <row r="124" spans="1:22" s="456" customFormat="1" ht="14.25" customHeight="1" hidden="1">
      <c r="A124" s="844"/>
      <c r="B124" s="850"/>
      <c r="C124" s="907"/>
      <c r="D124" s="848"/>
      <c r="E124" s="904"/>
      <c r="F124" s="844"/>
      <c r="G124" s="455">
        <v>690697</v>
      </c>
      <c r="H124" s="455">
        <v>75571</v>
      </c>
      <c r="I124" s="842"/>
      <c r="J124" s="842"/>
      <c r="K124" s="842"/>
      <c r="L124" s="842"/>
      <c r="M124" s="842"/>
      <c r="N124" s="842"/>
      <c r="O124" s="842"/>
      <c r="P124" s="842"/>
      <c r="Q124" s="842"/>
      <c r="R124" s="842"/>
      <c r="S124" s="842"/>
      <c r="T124" s="842"/>
      <c r="U124" s="842"/>
      <c r="V124" s="842"/>
    </row>
    <row r="125" spans="1:22" s="456" customFormat="1" ht="14.25" customHeight="1" hidden="1">
      <c r="A125" s="844"/>
      <c r="B125" s="850"/>
      <c r="C125" s="907"/>
      <c r="D125" s="848"/>
      <c r="E125" s="904"/>
      <c r="F125" s="844"/>
      <c r="G125" s="455">
        <v>0</v>
      </c>
      <c r="H125" s="455">
        <v>0</v>
      </c>
      <c r="I125" s="457">
        <f>J125+M125</f>
        <v>0</v>
      </c>
      <c r="J125" s="457">
        <f>K125+L125</f>
        <v>0</v>
      </c>
      <c r="K125" s="458">
        <v>0</v>
      </c>
      <c r="L125" s="458">
        <v>0</v>
      </c>
      <c r="M125" s="457">
        <f>N125+Q125+T125</f>
        <v>0</v>
      </c>
      <c r="N125" s="457">
        <f>O125+P125</f>
        <v>0</v>
      </c>
      <c r="O125" s="458">
        <v>0</v>
      </c>
      <c r="P125" s="458">
        <v>0</v>
      </c>
      <c r="Q125" s="457">
        <f>R125+S125</f>
        <v>0</v>
      </c>
      <c r="R125" s="458">
        <v>0</v>
      </c>
      <c r="S125" s="458">
        <v>0</v>
      </c>
      <c r="T125" s="457">
        <f>U125+V125</f>
        <v>0</v>
      </c>
      <c r="U125" s="458">
        <v>0</v>
      </c>
      <c r="V125" s="458">
        <v>0</v>
      </c>
    </row>
    <row r="126" spans="1:22" s="456" customFormat="1" ht="14.25" customHeight="1" hidden="1">
      <c r="A126" s="844"/>
      <c r="B126" s="850"/>
      <c r="C126" s="907"/>
      <c r="D126" s="848"/>
      <c r="E126" s="904"/>
      <c r="F126" s="844"/>
      <c r="G126" s="455">
        <v>121888</v>
      </c>
      <c r="H126" s="455">
        <v>13338</v>
      </c>
      <c r="I126" s="842">
        <f aca="true" t="shared" si="21" ref="I126:V126">I123+I125</f>
        <v>326159</v>
      </c>
      <c r="J126" s="842">
        <f t="shared" si="21"/>
        <v>277235</v>
      </c>
      <c r="K126" s="842">
        <f t="shared" si="21"/>
        <v>277235</v>
      </c>
      <c r="L126" s="842">
        <f t="shared" si="21"/>
        <v>0</v>
      </c>
      <c r="M126" s="842">
        <f t="shared" si="21"/>
        <v>48924</v>
      </c>
      <c r="N126" s="842">
        <f t="shared" si="21"/>
        <v>0</v>
      </c>
      <c r="O126" s="842">
        <f t="shared" si="21"/>
        <v>0</v>
      </c>
      <c r="P126" s="842">
        <f t="shared" si="21"/>
        <v>0</v>
      </c>
      <c r="Q126" s="842">
        <f t="shared" si="21"/>
        <v>48924</v>
      </c>
      <c r="R126" s="842">
        <f t="shared" si="21"/>
        <v>48924</v>
      </c>
      <c r="S126" s="842">
        <f t="shared" si="21"/>
        <v>0</v>
      </c>
      <c r="T126" s="842">
        <f t="shared" si="21"/>
        <v>0</v>
      </c>
      <c r="U126" s="842">
        <f t="shared" si="21"/>
        <v>0</v>
      </c>
      <c r="V126" s="842">
        <f t="shared" si="21"/>
        <v>0</v>
      </c>
    </row>
    <row r="127" spans="1:22" s="456" customFormat="1" ht="14.25" customHeight="1" hidden="1">
      <c r="A127" s="844"/>
      <c r="B127" s="851"/>
      <c r="C127" s="908"/>
      <c r="D127" s="848"/>
      <c r="E127" s="904"/>
      <c r="F127" s="844"/>
      <c r="G127" s="455">
        <v>0</v>
      </c>
      <c r="H127" s="455">
        <v>0</v>
      </c>
      <c r="I127" s="842"/>
      <c r="J127" s="842"/>
      <c r="K127" s="842"/>
      <c r="L127" s="842"/>
      <c r="M127" s="842"/>
      <c r="N127" s="842"/>
      <c r="O127" s="842"/>
      <c r="P127" s="842"/>
      <c r="Q127" s="842"/>
      <c r="R127" s="842"/>
      <c r="S127" s="842"/>
      <c r="T127" s="842"/>
      <c r="U127" s="842"/>
      <c r="V127" s="842"/>
    </row>
    <row r="128" spans="1:22" s="456" customFormat="1" ht="15" customHeight="1" hidden="1">
      <c r="A128" s="844">
        <v>22</v>
      </c>
      <c r="B128" s="849" t="s">
        <v>636</v>
      </c>
      <c r="C128" s="906" t="s">
        <v>649</v>
      </c>
      <c r="D128" s="848" t="s">
        <v>581</v>
      </c>
      <c r="E128" s="904" t="s">
        <v>635</v>
      </c>
      <c r="F128" s="844" t="s">
        <v>648</v>
      </c>
      <c r="G128" s="455">
        <f>G129+G130+G131+G132</f>
        <v>805853</v>
      </c>
      <c r="H128" s="455">
        <f>H129+H130+H131+H132</f>
        <v>62240</v>
      </c>
      <c r="I128" s="842">
        <f>J128+M128</f>
        <v>263079</v>
      </c>
      <c r="J128" s="842">
        <f>K128+L128</f>
        <v>223617</v>
      </c>
      <c r="K128" s="842">
        <v>223617</v>
      </c>
      <c r="L128" s="842">
        <v>0</v>
      </c>
      <c r="M128" s="842">
        <f>N128+Q128+T128</f>
        <v>39462</v>
      </c>
      <c r="N128" s="842">
        <f>O128+P128</f>
        <v>0</v>
      </c>
      <c r="O128" s="842">
        <v>0</v>
      </c>
      <c r="P128" s="842">
        <v>0</v>
      </c>
      <c r="Q128" s="842">
        <f>R128+S128</f>
        <v>39462</v>
      </c>
      <c r="R128" s="842">
        <v>39462</v>
      </c>
      <c r="S128" s="842">
        <v>0</v>
      </c>
      <c r="T128" s="842">
        <f>U128+V128</f>
        <v>0</v>
      </c>
      <c r="U128" s="842">
        <v>0</v>
      </c>
      <c r="V128" s="842">
        <v>0</v>
      </c>
    </row>
    <row r="129" spans="1:22" s="456" customFormat="1" ht="15" customHeight="1" hidden="1">
      <c r="A129" s="844"/>
      <c r="B129" s="850"/>
      <c r="C129" s="907"/>
      <c r="D129" s="848"/>
      <c r="E129" s="904"/>
      <c r="F129" s="844"/>
      <c r="G129" s="455">
        <v>684974</v>
      </c>
      <c r="H129" s="455">
        <v>52903</v>
      </c>
      <c r="I129" s="842"/>
      <c r="J129" s="842"/>
      <c r="K129" s="842"/>
      <c r="L129" s="842"/>
      <c r="M129" s="842"/>
      <c r="N129" s="842"/>
      <c r="O129" s="842"/>
      <c r="P129" s="842"/>
      <c r="Q129" s="842"/>
      <c r="R129" s="842"/>
      <c r="S129" s="842"/>
      <c r="T129" s="842"/>
      <c r="U129" s="842"/>
      <c r="V129" s="842"/>
    </row>
    <row r="130" spans="1:22" s="456" customFormat="1" ht="15" customHeight="1" hidden="1">
      <c r="A130" s="844"/>
      <c r="B130" s="850"/>
      <c r="C130" s="907"/>
      <c r="D130" s="848"/>
      <c r="E130" s="904"/>
      <c r="F130" s="844"/>
      <c r="G130" s="455">
        <v>0</v>
      </c>
      <c r="H130" s="455">
        <v>0</v>
      </c>
      <c r="I130" s="457">
        <f>J130+M130</f>
        <v>0</v>
      </c>
      <c r="J130" s="457">
        <f>K130+L130</f>
        <v>0</v>
      </c>
      <c r="K130" s="458">
        <v>0</v>
      </c>
      <c r="L130" s="458">
        <v>0</v>
      </c>
      <c r="M130" s="457">
        <f>N130+Q130+T130</f>
        <v>0</v>
      </c>
      <c r="N130" s="457">
        <f>O130+P130</f>
        <v>0</v>
      </c>
      <c r="O130" s="458">
        <v>0</v>
      </c>
      <c r="P130" s="458">
        <v>0</v>
      </c>
      <c r="Q130" s="457">
        <f>R130+S130</f>
        <v>0</v>
      </c>
      <c r="R130" s="458">
        <v>0</v>
      </c>
      <c r="S130" s="458">
        <v>0</v>
      </c>
      <c r="T130" s="457">
        <f>U130+V130</f>
        <v>0</v>
      </c>
      <c r="U130" s="458">
        <v>0</v>
      </c>
      <c r="V130" s="458">
        <v>0</v>
      </c>
    </row>
    <row r="131" spans="1:22" s="456" customFormat="1" ht="15" customHeight="1" hidden="1">
      <c r="A131" s="844"/>
      <c r="B131" s="850"/>
      <c r="C131" s="907"/>
      <c r="D131" s="848"/>
      <c r="E131" s="904"/>
      <c r="F131" s="844"/>
      <c r="G131" s="455">
        <v>120879</v>
      </c>
      <c r="H131" s="455">
        <v>9337</v>
      </c>
      <c r="I131" s="842">
        <f aca="true" t="shared" si="22" ref="I131:V131">I128+I130</f>
        <v>263079</v>
      </c>
      <c r="J131" s="842">
        <f t="shared" si="22"/>
        <v>223617</v>
      </c>
      <c r="K131" s="842">
        <f t="shared" si="22"/>
        <v>223617</v>
      </c>
      <c r="L131" s="842">
        <f t="shared" si="22"/>
        <v>0</v>
      </c>
      <c r="M131" s="842">
        <f t="shared" si="22"/>
        <v>39462</v>
      </c>
      <c r="N131" s="842">
        <f t="shared" si="22"/>
        <v>0</v>
      </c>
      <c r="O131" s="842">
        <f t="shared" si="22"/>
        <v>0</v>
      </c>
      <c r="P131" s="842">
        <f t="shared" si="22"/>
        <v>0</v>
      </c>
      <c r="Q131" s="842">
        <f t="shared" si="22"/>
        <v>39462</v>
      </c>
      <c r="R131" s="842">
        <f t="shared" si="22"/>
        <v>39462</v>
      </c>
      <c r="S131" s="842">
        <f t="shared" si="22"/>
        <v>0</v>
      </c>
      <c r="T131" s="842">
        <f t="shared" si="22"/>
        <v>0</v>
      </c>
      <c r="U131" s="842">
        <f t="shared" si="22"/>
        <v>0</v>
      </c>
      <c r="V131" s="842">
        <f t="shared" si="22"/>
        <v>0</v>
      </c>
    </row>
    <row r="132" spans="1:22" s="456" customFormat="1" ht="15" customHeight="1" hidden="1">
      <c r="A132" s="844"/>
      <c r="B132" s="851"/>
      <c r="C132" s="908"/>
      <c r="D132" s="848"/>
      <c r="E132" s="904"/>
      <c r="F132" s="844"/>
      <c r="G132" s="455">
        <v>0</v>
      </c>
      <c r="H132" s="455">
        <v>0</v>
      </c>
      <c r="I132" s="842"/>
      <c r="J132" s="842"/>
      <c r="K132" s="842"/>
      <c r="L132" s="842"/>
      <c r="M132" s="842"/>
      <c r="N132" s="842"/>
      <c r="O132" s="842"/>
      <c r="P132" s="842"/>
      <c r="Q132" s="842"/>
      <c r="R132" s="842"/>
      <c r="S132" s="842"/>
      <c r="T132" s="842"/>
      <c r="U132" s="842"/>
      <c r="V132" s="842"/>
    </row>
    <row r="133" spans="1:22" s="456" customFormat="1" ht="14.25" customHeight="1">
      <c r="A133" s="844">
        <v>4</v>
      </c>
      <c r="B133" s="849" t="s">
        <v>636</v>
      </c>
      <c r="C133" s="906" t="s">
        <v>650</v>
      </c>
      <c r="D133" s="848" t="s">
        <v>581</v>
      </c>
      <c r="E133" s="904" t="s">
        <v>635</v>
      </c>
      <c r="F133" s="844" t="s">
        <v>648</v>
      </c>
      <c r="G133" s="455">
        <f>G134+G135+G136+G137</f>
        <v>824624</v>
      </c>
      <c r="H133" s="455">
        <f>H134+H135+H136+H137</f>
        <v>57785</v>
      </c>
      <c r="I133" s="842">
        <f>J133+M133</f>
        <v>305180</v>
      </c>
      <c r="J133" s="842">
        <f>K133+L133</f>
        <v>259403</v>
      </c>
      <c r="K133" s="842">
        <v>259403</v>
      </c>
      <c r="L133" s="842">
        <v>0</v>
      </c>
      <c r="M133" s="842">
        <f>N133+Q133+T133</f>
        <v>45777</v>
      </c>
      <c r="N133" s="842">
        <f>O133+P133</f>
        <v>0</v>
      </c>
      <c r="O133" s="842">
        <v>0</v>
      </c>
      <c r="P133" s="842">
        <v>0</v>
      </c>
      <c r="Q133" s="842">
        <f>R133+S133</f>
        <v>45777</v>
      </c>
      <c r="R133" s="842">
        <v>45777</v>
      </c>
      <c r="S133" s="842">
        <v>0</v>
      </c>
      <c r="T133" s="842">
        <f>U133+V133</f>
        <v>0</v>
      </c>
      <c r="U133" s="842">
        <v>0</v>
      </c>
      <c r="V133" s="842">
        <v>0</v>
      </c>
    </row>
    <row r="134" spans="1:22" s="456" customFormat="1" ht="14.25" customHeight="1">
      <c r="A134" s="844"/>
      <c r="B134" s="850"/>
      <c r="C134" s="907"/>
      <c r="D134" s="848"/>
      <c r="E134" s="904"/>
      <c r="F134" s="844"/>
      <c r="G134" s="455">
        <v>700930</v>
      </c>
      <c r="H134" s="455">
        <v>49117</v>
      </c>
      <c r="I134" s="842"/>
      <c r="J134" s="842"/>
      <c r="K134" s="842"/>
      <c r="L134" s="842"/>
      <c r="M134" s="842"/>
      <c r="N134" s="842"/>
      <c r="O134" s="842"/>
      <c r="P134" s="842"/>
      <c r="Q134" s="842"/>
      <c r="R134" s="842"/>
      <c r="S134" s="842"/>
      <c r="T134" s="842"/>
      <c r="U134" s="842"/>
      <c r="V134" s="842"/>
    </row>
    <row r="135" spans="1:22" s="456" customFormat="1" ht="14.25" customHeight="1">
      <c r="A135" s="844"/>
      <c r="B135" s="850"/>
      <c r="C135" s="907"/>
      <c r="D135" s="848"/>
      <c r="E135" s="904"/>
      <c r="F135" s="844"/>
      <c r="G135" s="455">
        <v>0</v>
      </c>
      <c r="H135" s="455">
        <v>0</v>
      </c>
      <c r="I135" s="457">
        <f>J135+M135</f>
        <v>12811</v>
      </c>
      <c r="J135" s="457">
        <f>K135+L135</f>
        <v>10889</v>
      </c>
      <c r="K135" s="458">
        <v>10889</v>
      </c>
      <c r="L135" s="458">
        <v>0</v>
      </c>
      <c r="M135" s="457">
        <f>N135+Q135+T135</f>
        <v>1922</v>
      </c>
      <c r="N135" s="457">
        <f>O135+P135</f>
        <v>0</v>
      </c>
      <c r="O135" s="458">
        <v>0</v>
      </c>
      <c r="P135" s="458">
        <v>0</v>
      </c>
      <c r="Q135" s="457">
        <f>R135+S135</f>
        <v>1922</v>
      </c>
      <c r="R135" s="458">
        <v>1922</v>
      </c>
      <c r="S135" s="458">
        <v>0</v>
      </c>
      <c r="T135" s="457">
        <f>U135+V135</f>
        <v>0</v>
      </c>
      <c r="U135" s="458">
        <v>0</v>
      </c>
      <c r="V135" s="458">
        <v>0</v>
      </c>
    </row>
    <row r="136" spans="1:22" s="456" customFormat="1" ht="14.25" customHeight="1">
      <c r="A136" s="844"/>
      <c r="B136" s="850"/>
      <c r="C136" s="907"/>
      <c r="D136" s="848"/>
      <c r="E136" s="904"/>
      <c r="F136" s="844"/>
      <c r="G136" s="455">
        <v>123694</v>
      </c>
      <c r="H136" s="455">
        <v>8668</v>
      </c>
      <c r="I136" s="842">
        <f aca="true" t="shared" si="23" ref="I136:V136">I133+I135</f>
        <v>317991</v>
      </c>
      <c r="J136" s="842">
        <f t="shared" si="23"/>
        <v>270292</v>
      </c>
      <c r="K136" s="842">
        <f t="shared" si="23"/>
        <v>270292</v>
      </c>
      <c r="L136" s="842">
        <f t="shared" si="23"/>
        <v>0</v>
      </c>
      <c r="M136" s="842">
        <f t="shared" si="23"/>
        <v>47699</v>
      </c>
      <c r="N136" s="842">
        <f t="shared" si="23"/>
        <v>0</v>
      </c>
      <c r="O136" s="842">
        <f t="shared" si="23"/>
        <v>0</v>
      </c>
      <c r="P136" s="842">
        <f t="shared" si="23"/>
        <v>0</v>
      </c>
      <c r="Q136" s="842">
        <f t="shared" si="23"/>
        <v>47699</v>
      </c>
      <c r="R136" s="842">
        <f t="shared" si="23"/>
        <v>47699</v>
      </c>
      <c r="S136" s="842">
        <f t="shared" si="23"/>
        <v>0</v>
      </c>
      <c r="T136" s="842">
        <f t="shared" si="23"/>
        <v>0</v>
      </c>
      <c r="U136" s="842">
        <f t="shared" si="23"/>
        <v>0</v>
      </c>
      <c r="V136" s="842">
        <f t="shared" si="23"/>
        <v>0</v>
      </c>
    </row>
    <row r="137" spans="1:22" s="456" customFormat="1" ht="14.25" customHeight="1">
      <c r="A137" s="844"/>
      <c r="B137" s="851"/>
      <c r="C137" s="908"/>
      <c r="D137" s="848"/>
      <c r="E137" s="904"/>
      <c r="F137" s="844"/>
      <c r="G137" s="455">
        <v>0</v>
      </c>
      <c r="H137" s="455">
        <v>0</v>
      </c>
      <c r="I137" s="842"/>
      <c r="J137" s="842"/>
      <c r="K137" s="842"/>
      <c r="L137" s="842"/>
      <c r="M137" s="842"/>
      <c r="N137" s="842"/>
      <c r="O137" s="842"/>
      <c r="P137" s="842"/>
      <c r="Q137" s="842"/>
      <c r="R137" s="842"/>
      <c r="S137" s="842"/>
      <c r="T137" s="842"/>
      <c r="U137" s="842"/>
      <c r="V137" s="842"/>
    </row>
    <row r="138" spans="1:22" s="456" customFormat="1" ht="14.25" customHeight="1">
      <c r="A138" s="844">
        <v>5</v>
      </c>
      <c r="B138" s="849" t="s">
        <v>628</v>
      </c>
      <c r="C138" s="906" t="s">
        <v>651</v>
      </c>
      <c r="D138" s="848" t="s">
        <v>581</v>
      </c>
      <c r="E138" s="904" t="s">
        <v>633</v>
      </c>
      <c r="F138" s="844" t="s">
        <v>652</v>
      </c>
      <c r="G138" s="455">
        <f>G139+G140+G141+G142</f>
        <v>619300</v>
      </c>
      <c r="H138" s="455">
        <f>H139+H140+H141+H142</f>
        <v>0</v>
      </c>
      <c r="I138" s="842">
        <f>J138+M138</f>
        <v>0</v>
      </c>
      <c r="J138" s="842">
        <f>K138+L138</f>
        <v>0</v>
      </c>
      <c r="K138" s="842">
        <v>0</v>
      </c>
      <c r="L138" s="842">
        <v>0</v>
      </c>
      <c r="M138" s="842">
        <f>N138+Q138+T138</f>
        <v>0</v>
      </c>
      <c r="N138" s="842">
        <f>O138+P138</f>
        <v>0</v>
      </c>
      <c r="O138" s="842">
        <v>0</v>
      </c>
      <c r="P138" s="842">
        <v>0</v>
      </c>
      <c r="Q138" s="842">
        <f>R138+S138</f>
        <v>0</v>
      </c>
      <c r="R138" s="842">
        <v>0</v>
      </c>
      <c r="S138" s="842">
        <v>0</v>
      </c>
      <c r="T138" s="842">
        <f>U138+V138</f>
        <v>0</v>
      </c>
      <c r="U138" s="842">
        <v>0</v>
      </c>
      <c r="V138" s="842">
        <v>0</v>
      </c>
    </row>
    <row r="139" spans="1:22" s="456" customFormat="1" ht="14.25" customHeight="1">
      <c r="A139" s="844"/>
      <c r="B139" s="850"/>
      <c r="C139" s="907"/>
      <c r="D139" s="848"/>
      <c r="E139" s="904"/>
      <c r="F139" s="844"/>
      <c r="G139" s="455">
        <v>526405</v>
      </c>
      <c r="H139" s="455">
        <v>0</v>
      </c>
      <c r="I139" s="842"/>
      <c r="J139" s="842"/>
      <c r="K139" s="842"/>
      <c r="L139" s="842"/>
      <c r="M139" s="842"/>
      <c r="N139" s="842"/>
      <c r="O139" s="842"/>
      <c r="P139" s="842"/>
      <c r="Q139" s="842"/>
      <c r="R139" s="842"/>
      <c r="S139" s="842"/>
      <c r="T139" s="842"/>
      <c r="U139" s="842"/>
      <c r="V139" s="842"/>
    </row>
    <row r="140" spans="1:22" s="456" customFormat="1" ht="14.25" customHeight="1">
      <c r="A140" s="844"/>
      <c r="B140" s="850"/>
      <c r="C140" s="907"/>
      <c r="D140" s="848"/>
      <c r="E140" s="904"/>
      <c r="F140" s="844"/>
      <c r="G140" s="455">
        <v>0</v>
      </c>
      <c r="H140" s="455">
        <v>0</v>
      </c>
      <c r="I140" s="457">
        <f>J140+M140</f>
        <v>192348</v>
      </c>
      <c r="J140" s="457">
        <f>K140+L140</f>
        <v>163496</v>
      </c>
      <c r="K140" s="458">
        <v>163496</v>
      </c>
      <c r="L140" s="458">
        <v>0</v>
      </c>
      <c r="M140" s="457">
        <f>N140+Q140+T140</f>
        <v>28852</v>
      </c>
      <c r="N140" s="457">
        <f>O140+P140</f>
        <v>0</v>
      </c>
      <c r="O140" s="458">
        <v>0</v>
      </c>
      <c r="P140" s="458">
        <v>0</v>
      </c>
      <c r="Q140" s="457">
        <f>R140+S140</f>
        <v>28852</v>
      </c>
      <c r="R140" s="458">
        <v>28852</v>
      </c>
      <c r="S140" s="458">
        <v>0</v>
      </c>
      <c r="T140" s="457">
        <f>U140+V140</f>
        <v>0</v>
      </c>
      <c r="U140" s="458">
        <v>0</v>
      </c>
      <c r="V140" s="458">
        <v>0</v>
      </c>
    </row>
    <row r="141" spans="1:22" s="456" customFormat="1" ht="14.25" customHeight="1">
      <c r="A141" s="844"/>
      <c r="B141" s="850"/>
      <c r="C141" s="907"/>
      <c r="D141" s="848"/>
      <c r="E141" s="904"/>
      <c r="F141" s="844"/>
      <c r="G141" s="455">
        <v>92895</v>
      </c>
      <c r="H141" s="455">
        <v>0</v>
      </c>
      <c r="I141" s="842">
        <f aca="true" t="shared" si="24" ref="I141:V141">I138+I140</f>
        <v>192348</v>
      </c>
      <c r="J141" s="842">
        <f t="shared" si="24"/>
        <v>163496</v>
      </c>
      <c r="K141" s="842">
        <f t="shared" si="24"/>
        <v>163496</v>
      </c>
      <c r="L141" s="842">
        <f t="shared" si="24"/>
        <v>0</v>
      </c>
      <c r="M141" s="842">
        <f t="shared" si="24"/>
        <v>28852</v>
      </c>
      <c r="N141" s="842">
        <f t="shared" si="24"/>
        <v>0</v>
      </c>
      <c r="O141" s="842">
        <f t="shared" si="24"/>
        <v>0</v>
      </c>
      <c r="P141" s="842">
        <f t="shared" si="24"/>
        <v>0</v>
      </c>
      <c r="Q141" s="842">
        <f t="shared" si="24"/>
        <v>28852</v>
      </c>
      <c r="R141" s="842">
        <f t="shared" si="24"/>
        <v>28852</v>
      </c>
      <c r="S141" s="842">
        <f t="shared" si="24"/>
        <v>0</v>
      </c>
      <c r="T141" s="842">
        <f t="shared" si="24"/>
        <v>0</v>
      </c>
      <c r="U141" s="842">
        <f t="shared" si="24"/>
        <v>0</v>
      </c>
      <c r="V141" s="842">
        <f t="shared" si="24"/>
        <v>0</v>
      </c>
    </row>
    <row r="142" spans="1:22" s="456" customFormat="1" ht="14.25" customHeight="1">
      <c r="A142" s="844"/>
      <c r="B142" s="851"/>
      <c r="C142" s="908"/>
      <c r="D142" s="848"/>
      <c r="E142" s="904"/>
      <c r="F142" s="844"/>
      <c r="G142" s="455">
        <v>0</v>
      </c>
      <c r="H142" s="455">
        <v>0</v>
      </c>
      <c r="I142" s="842"/>
      <c r="J142" s="842"/>
      <c r="K142" s="842"/>
      <c r="L142" s="842"/>
      <c r="M142" s="842"/>
      <c r="N142" s="842"/>
      <c r="O142" s="842"/>
      <c r="P142" s="842"/>
      <c r="Q142" s="842"/>
      <c r="R142" s="842"/>
      <c r="S142" s="842"/>
      <c r="T142" s="842"/>
      <c r="U142" s="842"/>
      <c r="V142" s="842"/>
    </row>
    <row r="143" spans="1:22" s="460" customFormat="1" ht="15">
      <c r="A143" s="909" t="s">
        <v>561</v>
      </c>
      <c r="B143" s="910"/>
      <c r="C143" s="910"/>
      <c r="D143" s="910"/>
      <c r="E143" s="910"/>
      <c r="F143" s="911"/>
      <c r="G143" s="459">
        <f>G113+G108+G103+G98+G93+G88+G83+G78+G73+G68+G63+G58+G53+G48+G43+G28+G23+G18+G118+G123+G128+G133+G33+G38+G138</f>
        <v>134817843</v>
      </c>
      <c r="H143" s="459">
        <f>H113+H108+H103+H98+H93+H88+H83+H78+H73+H68+H63+H58+H53+H48+H43+H28+H23+H18+H118+H123+H128+H133+H33+H38+H138</f>
        <v>43598950</v>
      </c>
      <c r="I143" s="840">
        <f>I133+I128+I123+I118+I113+I108+I103+I98+I93+I88+I83+I78+I73+I68+I63+I58+I53+I48+I43+I33+I28+I23+I18+I38+I138</f>
        <v>37434966</v>
      </c>
      <c r="J143" s="840">
        <f aca="true" t="shared" si="25" ref="J143:V143">J133+J128+J123+J118+J113+J108+J103+J98+J93+J88+J83+J78+J73+J68+J63+J58+J53+J48+J43+J33+J28+J23+J18+J38+J138</f>
        <v>25747630</v>
      </c>
      <c r="K143" s="840">
        <f t="shared" si="25"/>
        <v>14608560</v>
      </c>
      <c r="L143" s="840">
        <f t="shared" si="25"/>
        <v>11139070</v>
      </c>
      <c r="M143" s="840">
        <f t="shared" si="25"/>
        <v>11687336</v>
      </c>
      <c r="N143" s="840">
        <f t="shared" si="25"/>
        <v>4959947</v>
      </c>
      <c r="O143" s="840">
        <f t="shared" si="25"/>
        <v>4959947</v>
      </c>
      <c r="P143" s="840">
        <f t="shared" si="25"/>
        <v>0</v>
      </c>
      <c r="Q143" s="840">
        <f t="shared" si="25"/>
        <v>6008677</v>
      </c>
      <c r="R143" s="840">
        <f t="shared" si="25"/>
        <v>1034068</v>
      </c>
      <c r="S143" s="840">
        <f t="shared" si="25"/>
        <v>4974609</v>
      </c>
      <c r="T143" s="840">
        <f t="shared" si="25"/>
        <v>718712</v>
      </c>
      <c r="U143" s="840">
        <f t="shared" si="25"/>
        <v>718712</v>
      </c>
      <c r="V143" s="840">
        <f t="shared" si="25"/>
        <v>0</v>
      </c>
    </row>
    <row r="144" spans="1:22" s="460" customFormat="1" ht="15">
      <c r="A144" s="912"/>
      <c r="B144" s="913"/>
      <c r="C144" s="913"/>
      <c r="D144" s="913"/>
      <c r="E144" s="913"/>
      <c r="F144" s="914"/>
      <c r="G144" s="459">
        <f aca="true" t="shared" si="26" ref="G144:H147">G114+G109+G104+G99+G94+G89+G84+G79+G74+G69+G64+G59+G54+G49+G44+G29+G24+G19+G119+G124+G129+G134+G34+G39+G139</f>
        <v>86018711</v>
      </c>
      <c r="H144" s="459">
        <f t="shared" si="26"/>
        <v>31550551</v>
      </c>
      <c r="I144" s="840"/>
      <c r="J144" s="840"/>
      <c r="K144" s="840"/>
      <c r="L144" s="840"/>
      <c r="M144" s="840"/>
      <c r="N144" s="840"/>
      <c r="O144" s="840"/>
      <c r="P144" s="840"/>
      <c r="Q144" s="840"/>
      <c r="R144" s="840"/>
      <c r="S144" s="840"/>
      <c r="T144" s="840"/>
      <c r="U144" s="840"/>
      <c r="V144" s="840"/>
    </row>
    <row r="145" spans="1:22" s="460" customFormat="1" ht="15">
      <c r="A145" s="912"/>
      <c r="B145" s="913"/>
      <c r="C145" s="913"/>
      <c r="D145" s="913"/>
      <c r="E145" s="913"/>
      <c r="F145" s="914"/>
      <c r="G145" s="459">
        <f t="shared" si="26"/>
        <v>25740540</v>
      </c>
      <c r="H145" s="459">
        <f t="shared" si="26"/>
        <v>8776996</v>
      </c>
      <c r="I145" s="461">
        <f>I135+I130+I125+I120+I115+I110+I105+I100+I95+I90+I85+I80+I75+I70+I65+I60+I55+I50+I45+I35+I30+I25+I20+I40+I140</f>
        <v>266257</v>
      </c>
      <c r="J145" s="461">
        <f aca="true" t="shared" si="27" ref="J145:V145">J135+J130+J125+J120+J115+J110+J105+J100+J95+J90+J85+J80+J75+J70+J65+J60+J55+J50+J45+J35+J30+J25+J20+J40+J140</f>
        <v>227153</v>
      </c>
      <c r="K145" s="461">
        <f t="shared" si="27"/>
        <v>227153</v>
      </c>
      <c r="L145" s="461">
        <f t="shared" si="27"/>
        <v>0</v>
      </c>
      <c r="M145" s="461">
        <f t="shared" si="27"/>
        <v>39104</v>
      </c>
      <c r="N145" s="461">
        <f t="shared" si="27"/>
        <v>5473</v>
      </c>
      <c r="O145" s="461">
        <f t="shared" si="27"/>
        <v>5473</v>
      </c>
      <c r="P145" s="461">
        <f t="shared" si="27"/>
        <v>0</v>
      </c>
      <c r="Q145" s="461">
        <f t="shared" si="27"/>
        <v>33631</v>
      </c>
      <c r="R145" s="461">
        <f t="shared" si="27"/>
        <v>33631</v>
      </c>
      <c r="S145" s="461">
        <f t="shared" si="27"/>
        <v>0</v>
      </c>
      <c r="T145" s="461">
        <f t="shared" si="27"/>
        <v>0</v>
      </c>
      <c r="U145" s="461">
        <f t="shared" si="27"/>
        <v>0</v>
      </c>
      <c r="V145" s="461">
        <f t="shared" si="27"/>
        <v>0</v>
      </c>
    </row>
    <row r="146" spans="1:22" s="460" customFormat="1" ht="15">
      <c r="A146" s="912"/>
      <c r="B146" s="913"/>
      <c r="C146" s="913"/>
      <c r="D146" s="913"/>
      <c r="E146" s="913"/>
      <c r="F146" s="914"/>
      <c r="G146" s="459">
        <f t="shared" si="26"/>
        <v>20591762</v>
      </c>
      <c r="H146" s="459">
        <f t="shared" si="26"/>
        <v>2072218</v>
      </c>
      <c r="I146" s="840">
        <f aca="true" t="shared" si="28" ref="I146:V146">I143+I145</f>
        <v>37701223</v>
      </c>
      <c r="J146" s="840">
        <f t="shared" si="28"/>
        <v>25974783</v>
      </c>
      <c r="K146" s="840">
        <f t="shared" si="28"/>
        <v>14835713</v>
      </c>
      <c r="L146" s="840">
        <f t="shared" si="28"/>
        <v>11139070</v>
      </c>
      <c r="M146" s="840">
        <f t="shared" si="28"/>
        <v>11726440</v>
      </c>
      <c r="N146" s="840">
        <f t="shared" si="28"/>
        <v>4965420</v>
      </c>
      <c r="O146" s="840">
        <f t="shared" si="28"/>
        <v>4965420</v>
      </c>
      <c r="P146" s="840">
        <f t="shared" si="28"/>
        <v>0</v>
      </c>
      <c r="Q146" s="840">
        <f t="shared" si="28"/>
        <v>6042308</v>
      </c>
      <c r="R146" s="840">
        <f t="shared" si="28"/>
        <v>1067699</v>
      </c>
      <c r="S146" s="840">
        <f t="shared" si="28"/>
        <v>4974609</v>
      </c>
      <c r="T146" s="840">
        <f t="shared" si="28"/>
        <v>718712</v>
      </c>
      <c r="U146" s="840">
        <f t="shared" si="28"/>
        <v>718712</v>
      </c>
      <c r="V146" s="840">
        <f t="shared" si="28"/>
        <v>0</v>
      </c>
    </row>
    <row r="147" spans="1:22" s="460" customFormat="1" ht="15">
      <c r="A147" s="915"/>
      <c r="B147" s="916"/>
      <c r="C147" s="916"/>
      <c r="D147" s="916"/>
      <c r="E147" s="916"/>
      <c r="F147" s="917"/>
      <c r="G147" s="459">
        <f t="shared" si="26"/>
        <v>2466830</v>
      </c>
      <c r="H147" s="459">
        <f t="shared" si="26"/>
        <v>1199185</v>
      </c>
      <c r="I147" s="840"/>
      <c r="J147" s="840"/>
      <c r="K147" s="840"/>
      <c r="L147" s="840"/>
      <c r="M147" s="840"/>
      <c r="N147" s="840"/>
      <c r="O147" s="840"/>
      <c r="P147" s="840"/>
      <c r="Q147" s="840"/>
      <c r="R147" s="840"/>
      <c r="S147" s="840"/>
      <c r="T147" s="840"/>
      <c r="U147" s="840"/>
      <c r="V147" s="840"/>
    </row>
  </sheetData>
  <sheetProtection password="C25B" sheet="1"/>
  <mergeCells count="914">
    <mergeCell ref="U146:U147"/>
    <mergeCell ref="V146:V147"/>
    <mergeCell ref="O146:O147"/>
    <mergeCell ref="P146:P147"/>
    <mergeCell ref="Q146:Q147"/>
    <mergeCell ref="R146:R147"/>
    <mergeCell ref="S146:S147"/>
    <mergeCell ref="T146:T147"/>
    <mergeCell ref="S143:S144"/>
    <mergeCell ref="T143:T144"/>
    <mergeCell ref="U143:U144"/>
    <mergeCell ref="V143:V144"/>
    <mergeCell ref="I146:I147"/>
    <mergeCell ref="J146:J147"/>
    <mergeCell ref="K146:K147"/>
    <mergeCell ref="L146:L147"/>
    <mergeCell ref="M146:M147"/>
    <mergeCell ref="N146:N147"/>
    <mergeCell ref="M143:M144"/>
    <mergeCell ref="N143:N144"/>
    <mergeCell ref="O143:O144"/>
    <mergeCell ref="P143:P144"/>
    <mergeCell ref="Q143:Q144"/>
    <mergeCell ref="R143:R144"/>
    <mergeCell ref="R141:R142"/>
    <mergeCell ref="S141:S142"/>
    <mergeCell ref="T141:T142"/>
    <mergeCell ref="U141:U142"/>
    <mergeCell ref="V141:V142"/>
    <mergeCell ref="A143:F147"/>
    <mergeCell ref="I143:I144"/>
    <mergeCell ref="J143:J144"/>
    <mergeCell ref="K143:K144"/>
    <mergeCell ref="L143:L144"/>
    <mergeCell ref="V138:V139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P138:P139"/>
    <mergeCell ref="Q138:Q139"/>
    <mergeCell ref="R138:R139"/>
    <mergeCell ref="S138:S139"/>
    <mergeCell ref="T138:T139"/>
    <mergeCell ref="U138:U139"/>
    <mergeCell ref="J138:J139"/>
    <mergeCell ref="K138:K139"/>
    <mergeCell ref="L138:L139"/>
    <mergeCell ref="M138:M139"/>
    <mergeCell ref="N138:N139"/>
    <mergeCell ref="O138:O139"/>
    <mergeCell ref="T136:T137"/>
    <mergeCell ref="U136:U137"/>
    <mergeCell ref="V136:V137"/>
    <mergeCell ref="A138:A142"/>
    <mergeCell ref="B138:B142"/>
    <mergeCell ref="C138:C142"/>
    <mergeCell ref="D138:D142"/>
    <mergeCell ref="E138:E142"/>
    <mergeCell ref="F138:F142"/>
    <mergeCell ref="I138:I139"/>
    <mergeCell ref="N136:N137"/>
    <mergeCell ref="O136:O137"/>
    <mergeCell ref="P136:P137"/>
    <mergeCell ref="Q136:Q137"/>
    <mergeCell ref="R136:R137"/>
    <mergeCell ref="S136:S137"/>
    <mergeCell ref="R133:R134"/>
    <mergeCell ref="S133:S134"/>
    <mergeCell ref="T133:T134"/>
    <mergeCell ref="U133:U134"/>
    <mergeCell ref="V133:V134"/>
    <mergeCell ref="I136:I137"/>
    <mergeCell ref="J136:J137"/>
    <mergeCell ref="K136:K137"/>
    <mergeCell ref="L136:L137"/>
    <mergeCell ref="M136:M137"/>
    <mergeCell ref="L133:L134"/>
    <mergeCell ref="M133:M134"/>
    <mergeCell ref="N133:N134"/>
    <mergeCell ref="O133:O134"/>
    <mergeCell ref="P133:P134"/>
    <mergeCell ref="Q133:Q134"/>
    <mergeCell ref="V131:V132"/>
    <mergeCell ref="A133:A137"/>
    <mergeCell ref="B133:B137"/>
    <mergeCell ref="C133:C137"/>
    <mergeCell ref="D133:D137"/>
    <mergeCell ref="E133:E137"/>
    <mergeCell ref="F133:F137"/>
    <mergeCell ref="I133:I134"/>
    <mergeCell ref="J133:J134"/>
    <mergeCell ref="K133:K134"/>
    <mergeCell ref="P131:P132"/>
    <mergeCell ref="Q131:Q132"/>
    <mergeCell ref="R131:R132"/>
    <mergeCell ref="S131:S132"/>
    <mergeCell ref="T131:T132"/>
    <mergeCell ref="U131:U132"/>
    <mergeCell ref="T128:T129"/>
    <mergeCell ref="U128:U129"/>
    <mergeCell ref="V128:V129"/>
    <mergeCell ref="I131:I132"/>
    <mergeCell ref="J131:J132"/>
    <mergeCell ref="K131:K132"/>
    <mergeCell ref="L131:L132"/>
    <mergeCell ref="M131:M132"/>
    <mergeCell ref="N131:N132"/>
    <mergeCell ref="O131:O132"/>
    <mergeCell ref="N128:N129"/>
    <mergeCell ref="O128:O129"/>
    <mergeCell ref="P128:P129"/>
    <mergeCell ref="Q128:Q129"/>
    <mergeCell ref="R128:R129"/>
    <mergeCell ref="S128:S129"/>
    <mergeCell ref="F128:F132"/>
    <mergeCell ref="I128:I129"/>
    <mergeCell ref="J128:J129"/>
    <mergeCell ref="K128:K129"/>
    <mergeCell ref="L128:L129"/>
    <mergeCell ref="M128:M129"/>
    <mergeCell ref="R126:R127"/>
    <mergeCell ref="S126:S127"/>
    <mergeCell ref="T126:T127"/>
    <mergeCell ref="U126:U127"/>
    <mergeCell ref="V126:V127"/>
    <mergeCell ref="A128:A132"/>
    <mergeCell ref="B128:B132"/>
    <mergeCell ref="C128:C132"/>
    <mergeCell ref="D128:D132"/>
    <mergeCell ref="E128:E132"/>
    <mergeCell ref="V123:V124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P123:P124"/>
    <mergeCell ref="Q123:Q124"/>
    <mergeCell ref="R123:R124"/>
    <mergeCell ref="S123:S124"/>
    <mergeCell ref="T123:T124"/>
    <mergeCell ref="U123:U124"/>
    <mergeCell ref="J123:J124"/>
    <mergeCell ref="K123:K124"/>
    <mergeCell ref="L123:L124"/>
    <mergeCell ref="M123:M124"/>
    <mergeCell ref="N123:N124"/>
    <mergeCell ref="O123:O124"/>
    <mergeCell ref="T121:T122"/>
    <mergeCell ref="U121:U122"/>
    <mergeCell ref="V121:V122"/>
    <mergeCell ref="A123:A127"/>
    <mergeCell ref="B123:B127"/>
    <mergeCell ref="C123:C127"/>
    <mergeCell ref="D123:D127"/>
    <mergeCell ref="E123:E127"/>
    <mergeCell ref="F123:F127"/>
    <mergeCell ref="I123:I124"/>
    <mergeCell ref="N121:N122"/>
    <mergeCell ref="O121:O122"/>
    <mergeCell ref="P121:P122"/>
    <mergeCell ref="Q121:Q122"/>
    <mergeCell ref="R121:R122"/>
    <mergeCell ref="S121:S122"/>
    <mergeCell ref="R118:R119"/>
    <mergeCell ref="S118:S119"/>
    <mergeCell ref="T118:T119"/>
    <mergeCell ref="U118:U119"/>
    <mergeCell ref="V118:V119"/>
    <mergeCell ref="I121:I122"/>
    <mergeCell ref="J121:J122"/>
    <mergeCell ref="K121:K122"/>
    <mergeCell ref="L121:L122"/>
    <mergeCell ref="M121:M122"/>
    <mergeCell ref="L118:L119"/>
    <mergeCell ref="M118:M119"/>
    <mergeCell ref="N118:N119"/>
    <mergeCell ref="O118:O119"/>
    <mergeCell ref="P118:P119"/>
    <mergeCell ref="Q118:Q119"/>
    <mergeCell ref="V116:V117"/>
    <mergeCell ref="A118:A122"/>
    <mergeCell ref="B118:B122"/>
    <mergeCell ref="C118:C122"/>
    <mergeCell ref="D118:D122"/>
    <mergeCell ref="E118:E122"/>
    <mergeCell ref="F118:F122"/>
    <mergeCell ref="I118:I119"/>
    <mergeCell ref="J118:J119"/>
    <mergeCell ref="K118:K119"/>
    <mergeCell ref="P116:P117"/>
    <mergeCell ref="Q116:Q117"/>
    <mergeCell ref="R116:R117"/>
    <mergeCell ref="S116:S117"/>
    <mergeCell ref="T116:T117"/>
    <mergeCell ref="U116:U117"/>
    <mergeCell ref="T113:T114"/>
    <mergeCell ref="U113:U114"/>
    <mergeCell ref="V113:V114"/>
    <mergeCell ref="I116:I117"/>
    <mergeCell ref="J116:J117"/>
    <mergeCell ref="K116:K117"/>
    <mergeCell ref="L116:L117"/>
    <mergeCell ref="M116:M117"/>
    <mergeCell ref="N116:N117"/>
    <mergeCell ref="O116:O117"/>
    <mergeCell ref="N113:N114"/>
    <mergeCell ref="O113:O114"/>
    <mergeCell ref="P113:P114"/>
    <mergeCell ref="Q113:Q114"/>
    <mergeCell ref="R113:R114"/>
    <mergeCell ref="S113:S114"/>
    <mergeCell ref="F113:F117"/>
    <mergeCell ref="I113:I114"/>
    <mergeCell ref="J113:J114"/>
    <mergeCell ref="K113:K114"/>
    <mergeCell ref="L113:L114"/>
    <mergeCell ref="M113:M114"/>
    <mergeCell ref="R111:R112"/>
    <mergeCell ref="S111:S112"/>
    <mergeCell ref="T111:T112"/>
    <mergeCell ref="U111:U112"/>
    <mergeCell ref="V111:V112"/>
    <mergeCell ref="A113:A117"/>
    <mergeCell ref="B113:B117"/>
    <mergeCell ref="C113:C117"/>
    <mergeCell ref="D113:D117"/>
    <mergeCell ref="E113:E117"/>
    <mergeCell ref="V108:V109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P108:P109"/>
    <mergeCell ref="Q108:Q109"/>
    <mergeCell ref="R108:R109"/>
    <mergeCell ref="S108:S109"/>
    <mergeCell ref="T108:T109"/>
    <mergeCell ref="U108:U109"/>
    <mergeCell ref="J108:J109"/>
    <mergeCell ref="K108:K109"/>
    <mergeCell ref="L108:L109"/>
    <mergeCell ref="M108:M109"/>
    <mergeCell ref="N108:N109"/>
    <mergeCell ref="O108:O109"/>
    <mergeCell ref="T106:T107"/>
    <mergeCell ref="U106:U107"/>
    <mergeCell ref="V106:V107"/>
    <mergeCell ref="A108:A112"/>
    <mergeCell ref="B108:B112"/>
    <mergeCell ref="C108:C112"/>
    <mergeCell ref="D108:D112"/>
    <mergeCell ref="E108:E112"/>
    <mergeCell ref="F108:F112"/>
    <mergeCell ref="I108:I109"/>
    <mergeCell ref="N106:N107"/>
    <mergeCell ref="O106:O107"/>
    <mergeCell ref="P106:P107"/>
    <mergeCell ref="Q106:Q107"/>
    <mergeCell ref="R106:R107"/>
    <mergeCell ref="S106:S107"/>
    <mergeCell ref="R103:R104"/>
    <mergeCell ref="S103:S104"/>
    <mergeCell ref="T103:T104"/>
    <mergeCell ref="U103:U104"/>
    <mergeCell ref="V103:V104"/>
    <mergeCell ref="I106:I107"/>
    <mergeCell ref="J106:J107"/>
    <mergeCell ref="K106:K107"/>
    <mergeCell ref="L106:L107"/>
    <mergeCell ref="M106:M107"/>
    <mergeCell ref="L103:L104"/>
    <mergeCell ref="M103:M104"/>
    <mergeCell ref="N103:N104"/>
    <mergeCell ref="O103:O104"/>
    <mergeCell ref="P103:P104"/>
    <mergeCell ref="Q103:Q104"/>
    <mergeCell ref="V101:V102"/>
    <mergeCell ref="A103:A107"/>
    <mergeCell ref="B103:B107"/>
    <mergeCell ref="C103:C107"/>
    <mergeCell ref="D103:D107"/>
    <mergeCell ref="E103:E107"/>
    <mergeCell ref="F103:F107"/>
    <mergeCell ref="I103:I104"/>
    <mergeCell ref="J103:J104"/>
    <mergeCell ref="K103:K104"/>
    <mergeCell ref="P101:P102"/>
    <mergeCell ref="Q101:Q102"/>
    <mergeCell ref="R101:R102"/>
    <mergeCell ref="S101:S102"/>
    <mergeCell ref="T101:T102"/>
    <mergeCell ref="U101:U102"/>
    <mergeCell ref="T98:T99"/>
    <mergeCell ref="U98:U99"/>
    <mergeCell ref="V98:V99"/>
    <mergeCell ref="I101:I102"/>
    <mergeCell ref="J101:J102"/>
    <mergeCell ref="K101:K102"/>
    <mergeCell ref="L101:L102"/>
    <mergeCell ref="M101:M102"/>
    <mergeCell ref="N101:N102"/>
    <mergeCell ref="O101:O102"/>
    <mergeCell ref="N98:N99"/>
    <mergeCell ref="O98:O99"/>
    <mergeCell ref="P98:P99"/>
    <mergeCell ref="Q98:Q99"/>
    <mergeCell ref="R98:R99"/>
    <mergeCell ref="S98:S99"/>
    <mergeCell ref="F98:F102"/>
    <mergeCell ref="I98:I99"/>
    <mergeCell ref="J98:J99"/>
    <mergeCell ref="K98:K99"/>
    <mergeCell ref="L98:L99"/>
    <mergeCell ref="M98:M99"/>
    <mergeCell ref="R96:R97"/>
    <mergeCell ref="S96:S97"/>
    <mergeCell ref="T96:T97"/>
    <mergeCell ref="U96:U97"/>
    <mergeCell ref="V96:V97"/>
    <mergeCell ref="A98:A102"/>
    <mergeCell ref="B98:B102"/>
    <mergeCell ref="C98:C102"/>
    <mergeCell ref="D98:D102"/>
    <mergeCell ref="E98:E102"/>
    <mergeCell ref="V93:V94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T91:T92"/>
    <mergeCell ref="U91:U92"/>
    <mergeCell ref="V91:V92"/>
    <mergeCell ref="A93:A97"/>
    <mergeCell ref="B93:B97"/>
    <mergeCell ref="C93:C97"/>
    <mergeCell ref="D93:D97"/>
    <mergeCell ref="E93:E97"/>
    <mergeCell ref="F93:F97"/>
    <mergeCell ref="I93:I94"/>
    <mergeCell ref="N91:N92"/>
    <mergeCell ref="O91:O92"/>
    <mergeCell ref="P91:P92"/>
    <mergeCell ref="Q91:Q92"/>
    <mergeCell ref="R91:R92"/>
    <mergeCell ref="S91:S92"/>
    <mergeCell ref="R88:R89"/>
    <mergeCell ref="S88:S89"/>
    <mergeCell ref="T88:T89"/>
    <mergeCell ref="U88:U89"/>
    <mergeCell ref="V88:V89"/>
    <mergeCell ref="I91:I92"/>
    <mergeCell ref="J91:J92"/>
    <mergeCell ref="K91:K92"/>
    <mergeCell ref="L91:L92"/>
    <mergeCell ref="M91:M92"/>
    <mergeCell ref="L88:L89"/>
    <mergeCell ref="M88:M89"/>
    <mergeCell ref="N88:N89"/>
    <mergeCell ref="O88:O89"/>
    <mergeCell ref="P88:P89"/>
    <mergeCell ref="Q88:Q89"/>
    <mergeCell ref="V86:V87"/>
    <mergeCell ref="A88:A92"/>
    <mergeCell ref="B88:B92"/>
    <mergeCell ref="C88:C92"/>
    <mergeCell ref="D88:D92"/>
    <mergeCell ref="E88:E92"/>
    <mergeCell ref="F88:F92"/>
    <mergeCell ref="I88:I89"/>
    <mergeCell ref="J88:J89"/>
    <mergeCell ref="K88:K89"/>
    <mergeCell ref="P86:P87"/>
    <mergeCell ref="Q86:Q87"/>
    <mergeCell ref="R86:R87"/>
    <mergeCell ref="S86:S87"/>
    <mergeCell ref="T86:T87"/>
    <mergeCell ref="U86:U87"/>
    <mergeCell ref="T83:T84"/>
    <mergeCell ref="U83:U84"/>
    <mergeCell ref="V83:V84"/>
    <mergeCell ref="I86:I87"/>
    <mergeCell ref="J86:J87"/>
    <mergeCell ref="K86:K87"/>
    <mergeCell ref="L86:L87"/>
    <mergeCell ref="M86:M87"/>
    <mergeCell ref="N86:N87"/>
    <mergeCell ref="O86:O87"/>
    <mergeCell ref="N83:N84"/>
    <mergeCell ref="O83:O84"/>
    <mergeCell ref="P83:P84"/>
    <mergeCell ref="Q83:Q84"/>
    <mergeCell ref="R83:R84"/>
    <mergeCell ref="S83:S84"/>
    <mergeCell ref="F83:F87"/>
    <mergeCell ref="I83:I84"/>
    <mergeCell ref="J83:J84"/>
    <mergeCell ref="K83:K84"/>
    <mergeCell ref="L83:L84"/>
    <mergeCell ref="M83:M84"/>
    <mergeCell ref="R81:R82"/>
    <mergeCell ref="S81:S82"/>
    <mergeCell ref="T81:T82"/>
    <mergeCell ref="U81:U82"/>
    <mergeCell ref="V81:V82"/>
    <mergeCell ref="A83:A87"/>
    <mergeCell ref="B83:B87"/>
    <mergeCell ref="C83:C87"/>
    <mergeCell ref="D83:D87"/>
    <mergeCell ref="E83:E87"/>
    <mergeCell ref="V78:V79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P78:P79"/>
    <mergeCell ref="Q78:Q79"/>
    <mergeCell ref="R78:R79"/>
    <mergeCell ref="S78:S79"/>
    <mergeCell ref="T78:T79"/>
    <mergeCell ref="U78:U79"/>
    <mergeCell ref="J78:J79"/>
    <mergeCell ref="K78:K79"/>
    <mergeCell ref="L78:L79"/>
    <mergeCell ref="M78:M79"/>
    <mergeCell ref="N78:N79"/>
    <mergeCell ref="O78:O79"/>
    <mergeCell ref="T76:T77"/>
    <mergeCell ref="U76:U77"/>
    <mergeCell ref="V76:V77"/>
    <mergeCell ref="A78:A82"/>
    <mergeCell ref="B78:B82"/>
    <mergeCell ref="C78:C82"/>
    <mergeCell ref="D78:D82"/>
    <mergeCell ref="E78:E82"/>
    <mergeCell ref="F78:F82"/>
    <mergeCell ref="I78:I79"/>
    <mergeCell ref="N76:N77"/>
    <mergeCell ref="O76:O77"/>
    <mergeCell ref="P76:P77"/>
    <mergeCell ref="Q76:Q77"/>
    <mergeCell ref="R76:R77"/>
    <mergeCell ref="S76:S77"/>
    <mergeCell ref="R73:R74"/>
    <mergeCell ref="S73:S74"/>
    <mergeCell ref="T73:T74"/>
    <mergeCell ref="U73:U74"/>
    <mergeCell ref="V73:V74"/>
    <mergeCell ref="I76:I77"/>
    <mergeCell ref="J76:J77"/>
    <mergeCell ref="K76:K77"/>
    <mergeCell ref="L76:L77"/>
    <mergeCell ref="M76:M77"/>
    <mergeCell ref="L73:L74"/>
    <mergeCell ref="M73:M74"/>
    <mergeCell ref="N73:N74"/>
    <mergeCell ref="O73:O74"/>
    <mergeCell ref="P73:P74"/>
    <mergeCell ref="Q73:Q74"/>
    <mergeCell ref="V71:V72"/>
    <mergeCell ref="A73:A77"/>
    <mergeCell ref="B73:B77"/>
    <mergeCell ref="C73:C77"/>
    <mergeCell ref="D73:D77"/>
    <mergeCell ref="E73:E77"/>
    <mergeCell ref="F73:F77"/>
    <mergeCell ref="I73:I74"/>
    <mergeCell ref="J73:J74"/>
    <mergeCell ref="K73:K74"/>
    <mergeCell ref="P71:P72"/>
    <mergeCell ref="Q71:Q72"/>
    <mergeCell ref="R71:R72"/>
    <mergeCell ref="S71:S72"/>
    <mergeCell ref="T71:T72"/>
    <mergeCell ref="U71:U72"/>
    <mergeCell ref="T68:T69"/>
    <mergeCell ref="U68:U69"/>
    <mergeCell ref="V68:V69"/>
    <mergeCell ref="I71:I72"/>
    <mergeCell ref="J71:J72"/>
    <mergeCell ref="K71:K72"/>
    <mergeCell ref="L71:L72"/>
    <mergeCell ref="M71:M72"/>
    <mergeCell ref="N71:N72"/>
    <mergeCell ref="O71:O72"/>
    <mergeCell ref="N68:N69"/>
    <mergeCell ref="O68:O69"/>
    <mergeCell ref="P68:P69"/>
    <mergeCell ref="Q68:Q69"/>
    <mergeCell ref="R68:R69"/>
    <mergeCell ref="S68:S69"/>
    <mergeCell ref="F68:F72"/>
    <mergeCell ref="I68:I69"/>
    <mergeCell ref="J68:J69"/>
    <mergeCell ref="K68:K69"/>
    <mergeCell ref="L68:L69"/>
    <mergeCell ref="M68:M69"/>
    <mergeCell ref="R66:R67"/>
    <mergeCell ref="S66:S67"/>
    <mergeCell ref="T66:T67"/>
    <mergeCell ref="U66:U67"/>
    <mergeCell ref="V66:V67"/>
    <mergeCell ref="A68:A72"/>
    <mergeCell ref="B68:B72"/>
    <mergeCell ref="C68:C72"/>
    <mergeCell ref="D68:D72"/>
    <mergeCell ref="E68:E72"/>
    <mergeCell ref="V63:V64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M63:M64"/>
    <mergeCell ref="N63:N64"/>
    <mergeCell ref="O63:O64"/>
    <mergeCell ref="T61:T62"/>
    <mergeCell ref="U61:U62"/>
    <mergeCell ref="V61:V62"/>
    <mergeCell ref="A63:A67"/>
    <mergeCell ref="B63:B67"/>
    <mergeCell ref="C63:C67"/>
    <mergeCell ref="D63:D67"/>
    <mergeCell ref="E63:E67"/>
    <mergeCell ref="F63:F67"/>
    <mergeCell ref="I63:I64"/>
    <mergeCell ref="N61:N62"/>
    <mergeCell ref="O61:O62"/>
    <mergeCell ref="P61:P62"/>
    <mergeCell ref="Q61:Q62"/>
    <mergeCell ref="R61:R62"/>
    <mergeCell ref="S61:S62"/>
    <mergeCell ref="R58:R59"/>
    <mergeCell ref="S58:S59"/>
    <mergeCell ref="T58:T59"/>
    <mergeCell ref="U58:U59"/>
    <mergeCell ref="V58:V59"/>
    <mergeCell ref="I61:I62"/>
    <mergeCell ref="J61:J62"/>
    <mergeCell ref="K61:K62"/>
    <mergeCell ref="L61:L62"/>
    <mergeCell ref="M61:M62"/>
    <mergeCell ref="L58:L59"/>
    <mergeCell ref="M58:M59"/>
    <mergeCell ref="N58:N59"/>
    <mergeCell ref="O58:O59"/>
    <mergeCell ref="P58:P59"/>
    <mergeCell ref="Q58:Q59"/>
    <mergeCell ref="V56:V57"/>
    <mergeCell ref="A58:A62"/>
    <mergeCell ref="B58:B62"/>
    <mergeCell ref="C58:C62"/>
    <mergeCell ref="D58:D62"/>
    <mergeCell ref="E58:E62"/>
    <mergeCell ref="F58:F62"/>
    <mergeCell ref="I58:I59"/>
    <mergeCell ref="J58:J59"/>
    <mergeCell ref="K58:K59"/>
    <mergeCell ref="P56:P57"/>
    <mergeCell ref="Q56:Q57"/>
    <mergeCell ref="R56:R57"/>
    <mergeCell ref="S56:S57"/>
    <mergeCell ref="T56:T57"/>
    <mergeCell ref="U56:U57"/>
    <mergeCell ref="T53:T54"/>
    <mergeCell ref="U53:U54"/>
    <mergeCell ref="V53:V54"/>
    <mergeCell ref="I56:I57"/>
    <mergeCell ref="J56:J57"/>
    <mergeCell ref="K56:K57"/>
    <mergeCell ref="L56:L57"/>
    <mergeCell ref="M56:M57"/>
    <mergeCell ref="N56:N57"/>
    <mergeCell ref="O56:O57"/>
    <mergeCell ref="N53:N54"/>
    <mergeCell ref="O53:O54"/>
    <mergeCell ref="P53:P54"/>
    <mergeCell ref="Q53:Q54"/>
    <mergeCell ref="R53:R54"/>
    <mergeCell ref="S53:S54"/>
    <mergeCell ref="F53:F57"/>
    <mergeCell ref="I53:I54"/>
    <mergeCell ref="J53:J54"/>
    <mergeCell ref="K53:K54"/>
    <mergeCell ref="L53:L54"/>
    <mergeCell ref="M53:M54"/>
    <mergeCell ref="R51:R52"/>
    <mergeCell ref="S51:S52"/>
    <mergeCell ref="T51:T52"/>
    <mergeCell ref="U51:U52"/>
    <mergeCell ref="V51:V52"/>
    <mergeCell ref="A53:A57"/>
    <mergeCell ref="B53:B57"/>
    <mergeCell ref="C53:C57"/>
    <mergeCell ref="D53:D57"/>
    <mergeCell ref="E53:E57"/>
    <mergeCell ref="V48:V49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T46:T47"/>
    <mergeCell ref="U46:U47"/>
    <mergeCell ref="V46:V47"/>
    <mergeCell ref="A48:A52"/>
    <mergeCell ref="B48:B52"/>
    <mergeCell ref="C48:C52"/>
    <mergeCell ref="D48:D52"/>
    <mergeCell ref="E48:E52"/>
    <mergeCell ref="F48:F52"/>
    <mergeCell ref="I48:I49"/>
    <mergeCell ref="N46:N47"/>
    <mergeCell ref="O46:O47"/>
    <mergeCell ref="P46:P47"/>
    <mergeCell ref="Q46:Q47"/>
    <mergeCell ref="R46:R47"/>
    <mergeCell ref="S46:S47"/>
    <mergeCell ref="R43:R44"/>
    <mergeCell ref="S43:S44"/>
    <mergeCell ref="T43:T44"/>
    <mergeCell ref="U43:U44"/>
    <mergeCell ref="V43:V44"/>
    <mergeCell ref="I46:I47"/>
    <mergeCell ref="J46:J47"/>
    <mergeCell ref="K46:K47"/>
    <mergeCell ref="L46:L47"/>
    <mergeCell ref="M46:M47"/>
    <mergeCell ref="L43:L44"/>
    <mergeCell ref="M43:M44"/>
    <mergeCell ref="N43:N44"/>
    <mergeCell ref="O43:O44"/>
    <mergeCell ref="P43:P44"/>
    <mergeCell ref="Q43:Q44"/>
    <mergeCell ref="V41:V42"/>
    <mergeCell ref="A43:A47"/>
    <mergeCell ref="B43:B47"/>
    <mergeCell ref="C43:C47"/>
    <mergeCell ref="D43:D47"/>
    <mergeCell ref="E43:E47"/>
    <mergeCell ref="F43:F47"/>
    <mergeCell ref="I43:I44"/>
    <mergeCell ref="J43:J44"/>
    <mergeCell ref="K43:K44"/>
    <mergeCell ref="P41:P42"/>
    <mergeCell ref="Q41:Q42"/>
    <mergeCell ref="R41:R42"/>
    <mergeCell ref="S41:S42"/>
    <mergeCell ref="T41:T42"/>
    <mergeCell ref="U41:U42"/>
    <mergeCell ref="T38:T39"/>
    <mergeCell ref="U38:U39"/>
    <mergeCell ref="V38:V39"/>
    <mergeCell ref="I41:I42"/>
    <mergeCell ref="J41:J42"/>
    <mergeCell ref="K41:K42"/>
    <mergeCell ref="L41:L42"/>
    <mergeCell ref="M41:M42"/>
    <mergeCell ref="N41:N42"/>
    <mergeCell ref="O41:O42"/>
    <mergeCell ref="N38:N39"/>
    <mergeCell ref="O38:O39"/>
    <mergeCell ref="P38:P39"/>
    <mergeCell ref="Q38:Q39"/>
    <mergeCell ref="R38:R39"/>
    <mergeCell ref="S38:S39"/>
    <mergeCell ref="F38:F42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V36:V37"/>
    <mergeCell ref="A38:A42"/>
    <mergeCell ref="B38:B42"/>
    <mergeCell ref="C38:C42"/>
    <mergeCell ref="D38:D42"/>
    <mergeCell ref="E38:E42"/>
    <mergeCell ref="V33:V34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T31:T32"/>
    <mergeCell ref="U31:U32"/>
    <mergeCell ref="V31:V32"/>
    <mergeCell ref="A33:A37"/>
    <mergeCell ref="B33:B37"/>
    <mergeCell ref="C33:C37"/>
    <mergeCell ref="D33:D37"/>
    <mergeCell ref="E33:E37"/>
    <mergeCell ref="F33:F37"/>
    <mergeCell ref="I33:I34"/>
    <mergeCell ref="N31:N32"/>
    <mergeCell ref="O31:O32"/>
    <mergeCell ref="P31:P32"/>
    <mergeCell ref="Q31:Q32"/>
    <mergeCell ref="R31:R32"/>
    <mergeCell ref="S31:S32"/>
    <mergeCell ref="R28:R29"/>
    <mergeCell ref="S28:S29"/>
    <mergeCell ref="T28:T29"/>
    <mergeCell ref="U28:U29"/>
    <mergeCell ref="V28:V29"/>
    <mergeCell ref="I31:I32"/>
    <mergeCell ref="J31:J32"/>
    <mergeCell ref="K31:K32"/>
    <mergeCell ref="L31:L32"/>
    <mergeCell ref="M31:M32"/>
    <mergeCell ref="L28:L29"/>
    <mergeCell ref="M28:M29"/>
    <mergeCell ref="N28:N29"/>
    <mergeCell ref="O28:O29"/>
    <mergeCell ref="P28:P29"/>
    <mergeCell ref="Q28:Q29"/>
    <mergeCell ref="V26:V27"/>
    <mergeCell ref="A28:A32"/>
    <mergeCell ref="B28:B32"/>
    <mergeCell ref="C28:C32"/>
    <mergeCell ref="D28:D32"/>
    <mergeCell ref="E28:E32"/>
    <mergeCell ref="F28:F32"/>
    <mergeCell ref="I28:I29"/>
    <mergeCell ref="J28:J29"/>
    <mergeCell ref="K28:K29"/>
    <mergeCell ref="P26:P27"/>
    <mergeCell ref="Q26:Q27"/>
    <mergeCell ref="R26:R27"/>
    <mergeCell ref="S26:S27"/>
    <mergeCell ref="T26:T27"/>
    <mergeCell ref="U26:U27"/>
    <mergeCell ref="T23:T24"/>
    <mergeCell ref="U23:U24"/>
    <mergeCell ref="V23:V24"/>
    <mergeCell ref="I26:I27"/>
    <mergeCell ref="J26:J27"/>
    <mergeCell ref="K26:K27"/>
    <mergeCell ref="L26:L27"/>
    <mergeCell ref="M26:M27"/>
    <mergeCell ref="N26:N27"/>
    <mergeCell ref="O26:O27"/>
    <mergeCell ref="N23:N24"/>
    <mergeCell ref="O23:O24"/>
    <mergeCell ref="P23:P24"/>
    <mergeCell ref="Q23:Q24"/>
    <mergeCell ref="R23:R24"/>
    <mergeCell ref="S23:S24"/>
    <mergeCell ref="F23:F27"/>
    <mergeCell ref="I23:I24"/>
    <mergeCell ref="J23:J24"/>
    <mergeCell ref="K23:K24"/>
    <mergeCell ref="L23:L24"/>
    <mergeCell ref="M23:M24"/>
    <mergeCell ref="R21:R22"/>
    <mergeCell ref="S21:S22"/>
    <mergeCell ref="T21:T22"/>
    <mergeCell ref="U21:U22"/>
    <mergeCell ref="V21:V22"/>
    <mergeCell ref="A23:A27"/>
    <mergeCell ref="B23:B27"/>
    <mergeCell ref="C23:C27"/>
    <mergeCell ref="D23:D27"/>
    <mergeCell ref="E23:E27"/>
    <mergeCell ref="V18:V19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15:V15"/>
    <mergeCell ref="A16:V16"/>
    <mergeCell ref="A17:V17"/>
    <mergeCell ref="A18:A22"/>
    <mergeCell ref="B18:B22"/>
    <mergeCell ref="C18:C22"/>
    <mergeCell ref="D18:D22"/>
    <mergeCell ref="E18:E22"/>
    <mergeCell ref="F18:F22"/>
    <mergeCell ref="I18:I19"/>
    <mergeCell ref="Q12:Q13"/>
    <mergeCell ref="R12:R13"/>
    <mergeCell ref="S12:S13"/>
    <mergeCell ref="T12:T13"/>
    <mergeCell ref="U12:U13"/>
    <mergeCell ref="V12:V13"/>
    <mergeCell ref="J12:J13"/>
    <mergeCell ref="K12:K13"/>
    <mergeCell ref="L12:L13"/>
    <mergeCell ref="N12:N13"/>
    <mergeCell ref="O12:O13"/>
    <mergeCell ref="P12:P13"/>
    <mergeCell ref="G8:G9"/>
    <mergeCell ref="H8:H9"/>
    <mergeCell ref="I8:V9"/>
    <mergeCell ref="I10:I13"/>
    <mergeCell ref="J10:L11"/>
    <mergeCell ref="M10:M13"/>
    <mergeCell ref="N10:V10"/>
    <mergeCell ref="N11:P11"/>
    <mergeCell ref="Q11:S11"/>
    <mergeCell ref="T11:V11"/>
    <mergeCell ref="T1:V1"/>
    <mergeCell ref="T2:V2"/>
    <mergeCell ref="T3:V3"/>
    <mergeCell ref="A6:V6"/>
    <mergeCell ref="A8:A13"/>
    <mergeCell ref="B8:B13"/>
    <mergeCell ref="C8:C13"/>
    <mergeCell ref="D8:D13"/>
    <mergeCell ref="E8:E13"/>
    <mergeCell ref="F8:F13"/>
  </mergeCells>
  <printOptions horizontalCentered="1"/>
  <pageMargins left="0.2362204724409449" right="0.1968503937007874" top="0.984251968503937" bottom="0.7480314960629921" header="0.31496062992125984" footer="0.31496062992125984"/>
  <pageSetup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7"/>
  <sheetViews>
    <sheetView view="pageBreakPreview" zoomScaleSheetLayoutView="100" zoomScalePageLayoutView="0" workbookViewId="0" topLeftCell="A1">
      <selection activeCell="D31" sqref="D31:D33"/>
    </sheetView>
  </sheetViews>
  <sheetFormatPr defaultColWidth="8.796875" defaultRowHeight="14.25"/>
  <cols>
    <col min="1" max="1" width="4.09765625" style="28" customWidth="1"/>
    <col min="2" max="2" width="6.19921875" style="29" customWidth="1"/>
    <col min="3" max="3" width="8.3984375" style="29" customWidth="1"/>
    <col min="4" max="4" width="38.5" style="29" customWidth="1"/>
    <col min="5" max="5" width="10.19921875" style="29" customWidth="1"/>
    <col min="6" max="6" width="2.19921875" style="29" customWidth="1"/>
    <col min="7" max="7" width="11.8984375" style="29" customWidth="1"/>
    <col min="8" max="8" width="11.69921875" style="29" customWidth="1"/>
    <col min="9" max="9" width="12.09765625" style="29" customWidth="1"/>
    <col min="10" max="10" width="12.8984375" style="29" customWidth="1"/>
    <col min="11" max="11" width="12" style="29" customWidth="1"/>
    <col min="12" max="12" width="30.19921875" style="29" customWidth="1"/>
    <col min="13" max="16384" width="9" style="29" customWidth="1"/>
  </cols>
  <sheetData>
    <row r="1" spans="11:12" ht="12.75" customHeight="1">
      <c r="K1" s="4" t="s">
        <v>656</v>
      </c>
      <c r="L1" s="3"/>
    </row>
    <row r="2" spans="1:12" s="94" customFormat="1" ht="12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4" t="s">
        <v>657</v>
      </c>
      <c r="L2" s="95"/>
    </row>
    <row r="3" spans="1:12" s="94" customFormat="1" ht="12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4" t="s">
        <v>415</v>
      </c>
      <c r="L3" s="95"/>
    </row>
    <row r="4" spans="1:12" s="94" customFormat="1" ht="9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6" s="31" customFormat="1" ht="33.75" customHeight="1">
      <c r="A5" s="929" t="s">
        <v>332</v>
      </c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30"/>
      <c r="N5" s="30"/>
      <c r="O5" s="30"/>
      <c r="P5" s="30"/>
    </row>
    <row r="6" spans="7:12" ht="12.75">
      <c r="G6" s="76"/>
      <c r="L6" s="77" t="s">
        <v>0</v>
      </c>
    </row>
    <row r="7" spans="1:12" s="78" customFormat="1" ht="12.75" customHeight="1">
      <c r="A7" s="937" t="s">
        <v>75</v>
      </c>
      <c r="B7" s="937" t="s">
        <v>1</v>
      </c>
      <c r="C7" s="937" t="s">
        <v>8</v>
      </c>
      <c r="D7" s="937" t="s">
        <v>216</v>
      </c>
      <c r="E7" s="937" t="s">
        <v>217</v>
      </c>
      <c r="F7" s="937" t="s">
        <v>11</v>
      </c>
      <c r="G7" s="937" t="s">
        <v>218</v>
      </c>
      <c r="H7" s="937" t="s">
        <v>219</v>
      </c>
      <c r="I7" s="938" t="s">
        <v>220</v>
      </c>
      <c r="J7" s="938"/>
      <c r="K7" s="938"/>
      <c r="L7" s="937" t="s">
        <v>221</v>
      </c>
    </row>
    <row r="8" spans="1:12" s="78" customFormat="1" ht="12.75" customHeight="1">
      <c r="A8" s="937"/>
      <c r="B8" s="937"/>
      <c r="C8" s="937"/>
      <c r="D8" s="937"/>
      <c r="E8" s="937"/>
      <c r="F8" s="937"/>
      <c r="G8" s="937"/>
      <c r="H8" s="937"/>
      <c r="I8" s="937" t="s">
        <v>222</v>
      </c>
      <c r="J8" s="939" t="s">
        <v>223</v>
      </c>
      <c r="K8" s="939"/>
      <c r="L8" s="937"/>
    </row>
    <row r="9" spans="1:12" s="78" customFormat="1" ht="12.75" customHeight="1">
      <c r="A9" s="937"/>
      <c r="B9" s="937"/>
      <c r="C9" s="937"/>
      <c r="D9" s="937"/>
      <c r="E9" s="937"/>
      <c r="F9" s="937"/>
      <c r="G9" s="937"/>
      <c r="H9" s="937"/>
      <c r="I9" s="937"/>
      <c r="J9" s="937" t="s">
        <v>224</v>
      </c>
      <c r="K9" s="937" t="s">
        <v>225</v>
      </c>
      <c r="L9" s="937"/>
    </row>
    <row r="10" spans="1:12" s="79" customFormat="1" ht="42" customHeight="1">
      <c r="A10" s="937"/>
      <c r="B10" s="937"/>
      <c r="C10" s="937"/>
      <c r="D10" s="937"/>
      <c r="E10" s="937"/>
      <c r="F10" s="937"/>
      <c r="G10" s="937"/>
      <c r="H10" s="937"/>
      <c r="I10" s="937"/>
      <c r="J10" s="937"/>
      <c r="K10" s="937"/>
      <c r="L10" s="937"/>
    </row>
    <row r="11" spans="1:12" s="80" customFormat="1" ht="12.75">
      <c r="A11" s="724">
        <v>1</v>
      </c>
      <c r="B11" s="724">
        <v>2</v>
      </c>
      <c r="C11" s="724">
        <v>3</v>
      </c>
      <c r="D11" s="724">
        <v>4</v>
      </c>
      <c r="E11" s="724">
        <v>5</v>
      </c>
      <c r="F11" s="724"/>
      <c r="G11" s="724">
        <v>6</v>
      </c>
      <c r="H11" s="724">
        <v>7</v>
      </c>
      <c r="I11" s="724">
        <v>8</v>
      </c>
      <c r="J11" s="724">
        <v>9</v>
      </c>
      <c r="K11" s="724">
        <v>10</v>
      </c>
      <c r="L11" s="724">
        <v>11</v>
      </c>
    </row>
    <row r="12" spans="1:12" ht="9" customHeight="1">
      <c r="A12" s="725"/>
      <c r="B12" s="726"/>
      <c r="C12" s="726"/>
      <c r="D12" s="726"/>
      <c r="E12" s="726"/>
      <c r="F12" s="726"/>
      <c r="G12" s="726"/>
      <c r="H12" s="726"/>
      <c r="I12" s="726"/>
      <c r="J12" s="726"/>
      <c r="K12" s="725"/>
      <c r="L12" s="726"/>
    </row>
    <row r="13" spans="1:12" s="81" customFormat="1" ht="16.5">
      <c r="A13" s="932"/>
      <c r="B13" s="932"/>
      <c r="C13" s="932"/>
      <c r="D13" s="935" t="s">
        <v>12</v>
      </c>
      <c r="E13" s="932" t="s">
        <v>76</v>
      </c>
      <c r="F13" s="82" t="s">
        <v>13</v>
      </c>
      <c r="G13" s="932" t="s">
        <v>76</v>
      </c>
      <c r="H13" s="932" t="s">
        <v>76</v>
      </c>
      <c r="I13" s="83">
        <f aca="true" t="shared" si="0" ref="I13:K14">I137+I276+I282+I288+I294</f>
        <v>441570339</v>
      </c>
      <c r="J13" s="83">
        <f t="shared" si="0"/>
        <v>107935397</v>
      </c>
      <c r="K13" s="83">
        <f t="shared" si="0"/>
        <v>333634942</v>
      </c>
      <c r="L13" s="932" t="s">
        <v>76</v>
      </c>
    </row>
    <row r="14" spans="1:12" s="81" customFormat="1" ht="16.5">
      <c r="A14" s="932"/>
      <c r="B14" s="932"/>
      <c r="C14" s="932"/>
      <c r="D14" s="935"/>
      <c r="E14" s="932"/>
      <c r="F14" s="82" t="s">
        <v>14</v>
      </c>
      <c r="G14" s="932"/>
      <c r="H14" s="932"/>
      <c r="I14" s="83">
        <f t="shared" si="0"/>
        <v>-34872735</v>
      </c>
      <c r="J14" s="83">
        <f t="shared" si="0"/>
        <v>21642475</v>
      </c>
      <c r="K14" s="83">
        <f t="shared" si="0"/>
        <v>-56515210</v>
      </c>
      <c r="L14" s="932"/>
    </row>
    <row r="15" spans="1:12" s="81" customFormat="1" ht="16.5">
      <c r="A15" s="932"/>
      <c r="B15" s="932"/>
      <c r="C15" s="932"/>
      <c r="D15" s="935"/>
      <c r="E15" s="932"/>
      <c r="F15" s="82" t="s">
        <v>15</v>
      </c>
      <c r="G15" s="932"/>
      <c r="H15" s="932"/>
      <c r="I15" s="83">
        <f>I13+I14</f>
        <v>406697604</v>
      </c>
      <c r="J15" s="83">
        <f>J13+J14</f>
        <v>129577872</v>
      </c>
      <c r="K15" s="83">
        <f>K13+K14</f>
        <v>277119732</v>
      </c>
      <c r="L15" s="932"/>
    </row>
    <row r="16" spans="1:12" ht="9" customHeight="1">
      <c r="A16" s="725"/>
      <c r="B16" s="726"/>
      <c r="C16" s="726"/>
      <c r="D16" s="727"/>
      <c r="E16" s="728"/>
      <c r="F16" s="728"/>
      <c r="G16" s="726"/>
      <c r="H16" s="726"/>
      <c r="I16" s="726"/>
      <c r="J16" s="726"/>
      <c r="K16" s="725"/>
      <c r="L16" s="726"/>
    </row>
    <row r="17" spans="1:12" s="84" customFormat="1" ht="20.25" customHeight="1">
      <c r="A17" s="82" t="s">
        <v>226</v>
      </c>
      <c r="B17" s="935" t="s">
        <v>227</v>
      </c>
      <c r="C17" s="935"/>
      <c r="D17" s="935"/>
      <c r="E17" s="935"/>
      <c r="F17" s="935"/>
      <c r="G17" s="935"/>
      <c r="H17" s="935"/>
      <c r="I17" s="935"/>
      <c r="J17" s="935"/>
      <c r="K17" s="935"/>
      <c r="L17" s="935"/>
    </row>
    <row r="18" spans="1:12" ht="9" customHeight="1">
      <c r="A18" s="725"/>
      <c r="B18" s="729"/>
      <c r="C18" s="729"/>
      <c r="D18" s="726"/>
      <c r="E18" s="726"/>
      <c r="F18" s="726"/>
      <c r="G18" s="726"/>
      <c r="H18" s="726"/>
      <c r="I18" s="726"/>
      <c r="J18" s="726"/>
      <c r="K18" s="725"/>
      <c r="L18" s="726"/>
    </row>
    <row r="19" spans="1:12" s="85" customFormat="1" ht="12.75" hidden="1">
      <c r="A19" s="924"/>
      <c r="B19" s="922" t="s">
        <v>16</v>
      </c>
      <c r="C19" s="922"/>
      <c r="D19" s="923" t="s">
        <v>17</v>
      </c>
      <c r="E19" s="924" t="s">
        <v>76</v>
      </c>
      <c r="F19" s="86" t="s">
        <v>13</v>
      </c>
      <c r="G19" s="87">
        <f>G22</f>
        <v>6000000</v>
      </c>
      <c r="H19" s="925" t="s">
        <v>76</v>
      </c>
      <c r="I19" s="87">
        <f aca="true" t="shared" si="1" ref="I19:K20">I22</f>
        <v>6000000</v>
      </c>
      <c r="J19" s="87">
        <f t="shared" si="1"/>
        <v>6000000</v>
      </c>
      <c r="K19" s="87">
        <f t="shared" si="1"/>
        <v>0</v>
      </c>
      <c r="L19" s="924" t="s">
        <v>76</v>
      </c>
    </row>
    <row r="20" spans="1:12" s="85" customFormat="1" ht="14.25" customHeight="1" hidden="1">
      <c r="A20" s="924"/>
      <c r="B20" s="922"/>
      <c r="C20" s="922"/>
      <c r="D20" s="923"/>
      <c r="E20" s="924"/>
      <c r="F20" s="86" t="s">
        <v>14</v>
      </c>
      <c r="G20" s="87">
        <f>G23</f>
        <v>0</v>
      </c>
      <c r="H20" s="925"/>
      <c r="I20" s="87">
        <f t="shared" si="1"/>
        <v>0</v>
      </c>
      <c r="J20" s="87">
        <f t="shared" si="1"/>
        <v>0</v>
      </c>
      <c r="K20" s="87">
        <f t="shared" si="1"/>
        <v>0</v>
      </c>
      <c r="L20" s="924"/>
    </row>
    <row r="21" spans="1:12" s="85" customFormat="1" ht="14.25" customHeight="1" hidden="1" thickBot="1">
      <c r="A21" s="924"/>
      <c r="B21" s="922"/>
      <c r="C21" s="922"/>
      <c r="D21" s="923"/>
      <c r="E21" s="924"/>
      <c r="F21" s="86" t="s">
        <v>15</v>
      </c>
      <c r="G21" s="87">
        <f>G19+G20</f>
        <v>6000000</v>
      </c>
      <c r="H21" s="925"/>
      <c r="I21" s="87">
        <f>I19+I20</f>
        <v>6000000</v>
      </c>
      <c r="J21" s="87">
        <f>J19+J20</f>
        <v>6000000</v>
      </c>
      <c r="K21" s="87">
        <f>K19+K20</f>
        <v>0</v>
      </c>
      <c r="L21" s="924"/>
    </row>
    <row r="22" spans="1:12" s="88" customFormat="1" ht="12.75" hidden="1">
      <c r="A22" s="918">
        <v>1</v>
      </c>
      <c r="B22" s="919"/>
      <c r="C22" s="919" t="s">
        <v>18</v>
      </c>
      <c r="D22" s="920" t="s">
        <v>228</v>
      </c>
      <c r="E22" s="918">
        <v>2019</v>
      </c>
      <c r="F22" s="89" t="s">
        <v>13</v>
      </c>
      <c r="G22" s="90">
        <v>6000000</v>
      </c>
      <c r="H22" s="921" t="s">
        <v>76</v>
      </c>
      <c r="I22" s="90">
        <f>J22+K22</f>
        <v>6000000</v>
      </c>
      <c r="J22" s="90">
        <v>6000000</v>
      </c>
      <c r="K22" s="90"/>
      <c r="L22" s="920" t="s">
        <v>229</v>
      </c>
    </row>
    <row r="23" spans="1:12" s="88" customFormat="1" ht="12.75" hidden="1">
      <c r="A23" s="918"/>
      <c r="B23" s="919"/>
      <c r="C23" s="919"/>
      <c r="D23" s="920"/>
      <c r="E23" s="918"/>
      <c r="F23" s="89" t="s">
        <v>14</v>
      </c>
      <c r="G23" s="90"/>
      <c r="H23" s="921"/>
      <c r="I23" s="90">
        <f>J23+K23</f>
        <v>0</v>
      </c>
      <c r="J23" s="90"/>
      <c r="K23" s="90"/>
      <c r="L23" s="920"/>
    </row>
    <row r="24" spans="1:12" s="88" customFormat="1" ht="12.75" hidden="1">
      <c r="A24" s="918"/>
      <c r="B24" s="919"/>
      <c r="C24" s="919"/>
      <c r="D24" s="920"/>
      <c r="E24" s="918"/>
      <c r="F24" s="89" t="s">
        <v>15</v>
      </c>
      <c r="G24" s="90">
        <f>G22+G23</f>
        <v>6000000</v>
      </c>
      <c r="H24" s="921"/>
      <c r="I24" s="90">
        <f>I22+I23</f>
        <v>6000000</v>
      </c>
      <c r="J24" s="90">
        <f>J22+J23</f>
        <v>6000000</v>
      </c>
      <c r="K24" s="90">
        <f>K22+K23</f>
        <v>0</v>
      </c>
      <c r="L24" s="920"/>
    </row>
    <row r="25" spans="1:12" s="85" customFormat="1" ht="12.75">
      <c r="A25" s="924"/>
      <c r="B25" s="922" t="s">
        <v>19</v>
      </c>
      <c r="C25" s="922"/>
      <c r="D25" s="923" t="s">
        <v>20</v>
      </c>
      <c r="E25" s="924" t="s">
        <v>76</v>
      </c>
      <c r="F25" s="86" t="s">
        <v>13</v>
      </c>
      <c r="G25" s="87">
        <f>G28+G31+G34</f>
        <v>15027234</v>
      </c>
      <c r="H25" s="925" t="s">
        <v>76</v>
      </c>
      <c r="I25" s="87">
        <f aca="true" t="shared" si="2" ref="I25:K26">I28+I31+I34</f>
        <v>15027234</v>
      </c>
      <c r="J25" s="87">
        <f t="shared" si="2"/>
        <v>9027234</v>
      </c>
      <c r="K25" s="87">
        <f t="shared" si="2"/>
        <v>6000000</v>
      </c>
      <c r="L25" s="924" t="s">
        <v>76</v>
      </c>
    </row>
    <row r="26" spans="1:12" s="85" customFormat="1" ht="14.25" customHeight="1">
      <c r="A26" s="924"/>
      <c r="B26" s="922"/>
      <c r="C26" s="922"/>
      <c r="D26" s="923"/>
      <c r="E26" s="924"/>
      <c r="F26" s="86" t="s">
        <v>14</v>
      </c>
      <c r="G26" s="87">
        <f>G29+G32+G35</f>
        <v>643454</v>
      </c>
      <c r="H26" s="925"/>
      <c r="I26" s="87">
        <f t="shared" si="2"/>
        <v>643454</v>
      </c>
      <c r="J26" s="87">
        <f t="shared" si="2"/>
        <v>643454</v>
      </c>
      <c r="K26" s="87">
        <f t="shared" si="2"/>
        <v>0</v>
      </c>
      <c r="L26" s="924"/>
    </row>
    <row r="27" spans="1:12" s="85" customFormat="1" ht="14.25" customHeight="1">
      <c r="A27" s="924"/>
      <c r="B27" s="922"/>
      <c r="C27" s="922"/>
      <c r="D27" s="923"/>
      <c r="E27" s="924"/>
      <c r="F27" s="86" t="s">
        <v>15</v>
      </c>
      <c r="G27" s="87">
        <f>G25+G26</f>
        <v>15670688</v>
      </c>
      <c r="H27" s="925"/>
      <c r="I27" s="87">
        <f>I25+I26</f>
        <v>15670688</v>
      </c>
      <c r="J27" s="87">
        <f>J25+J26</f>
        <v>9670688</v>
      </c>
      <c r="K27" s="87">
        <f>K25+K26</f>
        <v>6000000</v>
      </c>
      <c r="L27" s="924"/>
    </row>
    <row r="28" spans="1:12" s="88" customFormat="1" ht="12.75" hidden="1">
      <c r="A28" s="918">
        <v>2</v>
      </c>
      <c r="B28" s="919"/>
      <c r="C28" s="919" t="s">
        <v>21</v>
      </c>
      <c r="D28" s="920" t="s">
        <v>230</v>
      </c>
      <c r="E28" s="918">
        <v>2019</v>
      </c>
      <c r="F28" s="89" t="s">
        <v>13</v>
      </c>
      <c r="G28" s="90">
        <v>11227234</v>
      </c>
      <c r="H28" s="921" t="s">
        <v>76</v>
      </c>
      <c r="I28" s="90">
        <f>J28+K28</f>
        <v>11227234</v>
      </c>
      <c r="J28" s="90">
        <v>5227234</v>
      </c>
      <c r="K28" s="90">
        <v>6000000</v>
      </c>
      <c r="L28" s="920" t="s">
        <v>231</v>
      </c>
    </row>
    <row r="29" spans="1:12" s="88" customFormat="1" ht="12.75" hidden="1">
      <c r="A29" s="918"/>
      <c r="B29" s="919"/>
      <c r="C29" s="919"/>
      <c r="D29" s="920"/>
      <c r="E29" s="918"/>
      <c r="F29" s="89" t="s">
        <v>14</v>
      </c>
      <c r="G29" s="90"/>
      <c r="H29" s="921"/>
      <c r="I29" s="90">
        <f>J29+K29</f>
        <v>0</v>
      </c>
      <c r="J29" s="90"/>
      <c r="K29" s="90"/>
      <c r="L29" s="920"/>
    </row>
    <row r="30" spans="1:12" s="88" customFormat="1" ht="12.75" hidden="1">
      <c r="A30" s="918"/>
      <c r="B30" s="919"/>
      <c r="C30" s="919"/>
      <c r="D30" s="920"/>
      <c r="E30" s="918"/>
      <c r="F30" s="89" t="s">
        <v>15</v>
      </c>
      <c r="G30" s="90">
        <f>G28+G29</f>
        <v>11227234</v>
      </c>
      <c r="H30" s="921"/>
      <c r="I30" s="90">
        <f>I28+I29</f>
        <v>11227234</v>
      </c>
      <c r="J30" s="90">
        <f>J28+J29</f>
        <v>5227234</v>
      </c>
      <c r="K30" s="90">
        <f>K28+K29</f>
        <v>6000000</v>
      </c>
      <c r="L30" s="920"/>
    </row>
    <row r="31" spans="1:12" s="88" customFormat="1" ht="12.75">
      <c r="A31" s="918">
        <v>1</v>
      </c>
      <c r="B31" s="919"/>
      <c r="C31" s="919" t="s">
        <v>21</v>
      </c>
      <c r="D31" s="920" t="s">
        <v>232</v>
      </c>
      <c r="E31" s="918">
        <v>2019</v>
      </c>
      <c r="F31" s="89" t="s">
        <v>13</v>
      </c>
      <c r="G31" s="90">
        <v>2000000</v>
      </c>
      <c r="H31" s="921" t="s">
        <v>76</v>
      </c>
      <c r="I31" s="90">
        <f>J31+K31</f>
        <v>2000000</v>
      </c>
      <c r="J31" s="90">
        <v>2000000</v>
      </c>
      <c r="K31" s="90">
        <v>0</v>
      </c>
      <c r="L31" s="920" t="s">
        <v>231</v>
      </c>
    </row>
    <row r="32" spans="1:12" s="88" customFormat="1" ht="12.75">
      <c r="A32" s="918"/>
      <c r="B32" s="919"/>
      <c r="C32" s="919"/>
      <c r="D32" s="920"/>
      <c r="E32" s="918"/>
      <c r="F32" s="89" t="s">
        <v>14</v>
      </c>
      <c r="G32" s="90">
        <v>643454</v>
      </c>
      <c r="H32" s="921"/>
      <c r="I32" s="90">
        <f>J32+K32</f>
        <v>643454</v>
      </c>
      <c r="J32" s="90">
        <v>643454</v>
      </c>
      <c r="K32" s="90"/>
      <c r="L32" s="920"/>
    </row>
    <row r="33" spans="1:12" s="88" customFormat="1" ht="12.75">
      <c r="A33" s="918"/>
      <c r="B33" s="919"/>
      <c r="C33" s="919"/>
      <c r="D33" s="920"/>
      <c r="E33" s="918"/>
      <c r="F33" s="89" t="s">
        <v>15</v>
      </c>
      <c r="G33" s="90">
        <f>G31+G32</f>
        <v>2643454</v>
      </c>
      <c r="H33" s="921"/>
      <c r="I33" s="90">
        <f>I31+I32</f>
        <v>2643454</v>
      </c>
      <c r="J33" s="90">
        <f>J31+J32</f>
        <v>2643454</v>
      </c>
      <c r="K33" s="90">
        <f>K31+K32</f>
        <v>0</v>
      </c>
      <c r="L33" s="920"/>
    </row>
    <row r="34" spans="1:12" s="88" customFormat="1" ht="12.75" hidden="1">
      <c r="A34" s="918">
        <v>4</v>
      </c>
      <c r="B34" s="919"/>
      <c r="C34" s="919" t="s">
        <v>21</v>
      </c>
      <c r="D34" s="920" t="s">
        <v>233</v>
      </c>
      <c r="E34" s="918">
        <v>2019</v>
      </c>
      <c r="F34" s="89" t="s">
        <v>13</v>
      </c>
      <c r="G34" s="90">
        <v>1800000</v>
      </c>
      <c r="H34" s="921" t="s">
        <v>76</v>
      </c>
      <c r="I34" s="90">
        <f>J34+K34</f>
        <v>1800000</v>
      </c>
      <c r="J34" s="90">
        <v>1800000</v>
      </c>
      <c r="K34" s="90">
        <v>0</v>
      </c>
      <c r="L34" s="920" t="s">
        <v>231</v>
      </c>
    </row>
    <row r="35" spans="1:12" s="88" customFormat="1" ht="12.75" hidden="1">
      <c r="A35" s="918"/>
      <c r="B35" s="919"/>
      <c r="C35" s="919"/>
      <c r="D35" s="920"/>
      <c r="E35" s="918"/>
      <c r="F35" s="89" t="s">
        <v>14</v>
      </c>
      <c r="G35" s="90"/>
      <c r="H35" s="921"/>
      <c r="I35" s="90">
        <f>J35+K35</f>
        <v>0</v>
      </c>
      <c r="J35" s="90"/>
      <c r="K35" s="90"/>
      <c r="L35" s="920"/>
    </row>
    <row r="36" spans="1:12" s="88" customFormat="1" ht="12.75" hidden="1">
      <c r="A36" s="918"/>
      <c r="B36" s="919"/>
      <c r="C36" s="919"/>
      <c r="D36" s="920"/>
      <c r="E36" s="918"/>
      <c r="F36" s="89" t="s">
        <v>15</v>
      </c>
      <c r="G36" s="90">
        <f>G34+G35</f>
        <v>1800000</v>
      </c>
      <c r="H36" s="921"/>
      <c r="I36" s="90">
        <f>I34+I35</f>
        <v>1800000</v>
      </c>
      <c r="J36" s="90">
        <f>J34+J35</f>
        <v>1800000</v>
      </c>
      <c r="K36" s="90">
        <f>K34+K35</f>
        <v>0</v>
      </c>
      <c r="L36" s="920"/>
    </row>
    <row r="37" spans="1:12" s="85" customFormat="1" ht="12.75">
      <c r="A37" s="924"/>
      <c r="B37" s="922" t="s">
        <v>25</v>
      </c>
      <c r="C37" s="922"/>
      <c r="D37" s="923" t="s">
        <v>26</v>
      </c>
      <c r="E37" s="924" t="s">
        <v>76</v>
      </c>
      <c r="F37" s="86" t="s">
        <v>13</v>
      </c>
      <c r="G37" s="87">
        <f>G40</f>
        <v>14000</v>
      </c>
      <c r="H37" s="925" t="s">
        <v>76</v>
      </c>
      <c r="I37" s="87">
        <f aca="true" t="shared" si="3" ref="I37:K38">I40</f>
        <v>14000</v>
      </c>
      <c r="J37" s="87">
        <f t="shared" si="3"/>
        <v>14000</v>
      </c>
      <c r="K37" s="87">
        <f t="shared" si="3"/>
        <v>0</v>
      </c>
      <c r="L37" s="924" t="s">
        <v>76</v>
      </c>
    </row>
    <row r="38" spans="1:12" s="85" customFormat="1" ht="14.25" customHeight="1">
      <c r="A38" s="924"/>
      <c r="B38" s="922"/>
      <c r="C38" s="922"/>
      <c r="D38" s="923"/>
      <c r="E38" s="924"/>
      <c r="F38" s="86" t="s">
        <v>14</v>
      </c>
      <c r="G38" s="87">
        <f>G41</f>
        <v>-14000</v>
      </c>
      <c r="H38" s="925"/>
      <c r="I38" s="87">
        <f t="shared" si="3"/>
        <v>-14000</v>
      </c>
      <c r="J38" s="87">
        <f t="shared" si="3"/>
        <v>-14000</v>
      </c>
      <c r="K38" s="87">
        <f t="shared" si="3"/>
        <v>0</v>
      </c>
      <c r="L38" s="924"/>
    </row>
    <row r="39" spans="1:12" s="85" customFormat="1" ht="14.25" customHeight="1">
      <c r="A39" s="924"/>
      <c r="B39" s="922"/>
      <c r="C39" s="922"/>
      <c r="D39" s="923"/>
      <c r="E39" s="924"/>
      <c r="F39" s="86" t="s">
        <v>15</v>
      </c>
      <c r="G39" s="87">
        <f>G37+G38</f>
        <v>0</v>
      </c>
      <c r="H39" s="925"/>
      <c r="I39" s="87">
        <f>I37+I38</f>
        <v>0</v>
      </c>
      <c r="J39" s="87">
        <f>J37+J38</f>
        <v>0</v>
      </c>
      <c r="K39" s="87">
        <f>K37+K38</f>
        <v>0</v>
      </c>
      <c r="L39" s="924"/>
    </row>
    <row r="40" spans="1:12" s="88" customFormat="1" ht="12.75">
      <c r="A40" s="918">
        <v>2</v>
      </c>
      <c r="B40" s="919"/>
      <c r="C40" s="919" t="s">
        <v>44</v>
      </c>
      <c r="D40" s="920" t="s">
        <v>234</v>
      </c>
      <c r="E40" s="918">
        <v>2019</v>
      </c>
      <c r="F40" s="89" t="s">
        <v>13</v>
      </c>
      <c r="G40" s="90">
        <v>14000</v>
      </c>
      <c r="H40" s="921" t="s">
        <v>76</v>
      </c>
      <c r="I40" s="90">
        <f>J40+K40</f>
        <v>14000</v>
      </c>
      <c r="J40" s="90">
        <v>14000</v>
      </c>
      <c r="K40" s="90">
        <v>0</v>
      </c>
      <c r="L40" s="920" t="s">
        <v>229</v>
      </c>
    </row>
    <row r="41" spans="1:12" s="88" customFormat="1" ht="12.75">
      <c r="A41" s="918"/>
      <c r="B41" s="919"/>
      <c r="C41" s="919"/>
      <c r="D41" s="920"/>
      <c r="E41" s="918"/>
      <c r="F41" s="89" t="s">
        <v>14</v>
      </c>
      <c r="G41" s="90">
        <v>-14000</v>
      </c>
      <c r="H41" s="921"/>
      <c r="I41" s="90">
        <f>J41+K41</f>
        <v>-14000</v>
      </c>
      <c r="J41" s="90">
        <v>-14000</v>
      </c>
      <c r="K41" s="90"/>
      <c r="L41" s="920"/>
    </row>
    <row r="42" spans="1:12" s="88" customFormat="1" ht="12.75">
      <c r="A42" s="918"/>
      <c r="B42" s="919"/>
      <c r="C42" s="919"/>
      <c r="D42" s="920"/>
      <c r="E42" s="918"/>
      <c r="F42" s="89" t="s">
        <v>15</v>
      </c>
      <c r="G42" s="90">
        <f>G40+G41</f>
        <v>0</v>
      </c>
      <c r="H42" s="921"/>
      <c r="I42" s="90">
        <f>I40+I41</f>
        <v>0</v>
      </c>
      <c r="J42" s="90">
        <f>J40+J41</f>
        <v>0</v>
      </c>
      <c r="K42" s="90">
        <f>K40+K41</f>
        <v>0</v>
      </c>
      <c r="L42" s="920"/>
    </row>
    <row r="43" spans="1:12" s="85" customFormat="1" ht="12.75" hidden="1">
      <c r="A43" s="924"/>
      <c r="B43" s="922" t="s">
        <v>28</v>
      </c>
      <c r="C43" s="922"/>
      <c r="D43" s="923" t="s">
        <v>29</v>
      </c>
      <c r="E43" s="924" t="s">
        <v>76</v>
      </c>
      <c r="F43" s="86" t="s">
        <v>13</v>
      </c>
      <c r="G43" s="87">
        <f>G46</f>
        <v>250000</v>
      </c>
      <c r="H43" s="925" t="str">
        <f aca="true" t="shared" si="4" ref="H43:K44">H46</f>
        <v>x</v>
      </c>
      <c r="I43" s="87">
        <f>I46</f>
        <v>250000</v>
      </c>
      <c r="J43" s="87">
        <f t="shared" si="4"/>
        <v>250000</v>
      </c>
      <c r="K43" s="87">
        <f t="shared" si="4"/>
        <v>0</v>
      </c>
      <c r="L43" s="924" t="s">
        <v>76</v>
      </c>
    </row>
    <row r="44" spans="1:12" s="85" customFormat="1" ht="14.25" customHeight="1" hidden="1">
      <c r="A44" s="924"/>
      <c r="B44" s="922"/>
      <c r="C44" s="922"/>
      <c r="D44" s="923"/>
      <c r="E44" s="924"/>
      <c r="F44" s="86" t="s">
        <v>14</v>
      </c>
      <c r="G44" s="87">
        <f>G47</f>
        <v>0</v>
      </c>
      <c r="H44" s="925"/>
      <c r="I44" s="87">
        <f t="shared" si="4"/>
        <v>0</v>
      </c>
      <c r="J44" s="87">
        <f t="shared" si="4"/>
        <v>0</v>
      </c>
      <c r="K44" s="87">
        <f t="shared" si="4"/>
        <v>0</v>
      </c>
      <c r="L44" s="924"/>
    </row>
    <row r="45" spans="1:12" s="85" customFormat="1" ht="14.25" customHeight="1" hidden="1" thickBot="1">
      <c r="A45" s="924"/>
      <c r="B45" s="922"/>
      <c r="C45" s="922"/>
      <c r="D45" s="923"/>
      <c r="E45" s="924"/>
      <c r="F45" s="86" t="s">
        <v>15</v>
      </c>
      <c r="G45" s="87">
        <f>G43+G44</f>
        <v>250000</v>
      </c>
      <c r="H45" s="925"/>
      <c r="I45" s="87">
        <f>I43+I44</f>
        <v>250000</v>
      </c>
      <c r="J45" s="87">
        <f>J43+J44</f>
        <v>250000</v>
      </c>
      <c r="K45" s="87">
        <f>K43+K44</f>
        <v>0</v>
      </c>
      <c r="L45" s="924"/>
    </row>
    <row r="46" spans="1:12" s="88" customFormat="1" ht="12.75" hidden="1">
      <c r="A46" s="918">
        <v>6</v>
      </c>
      <c r="B46" s="919"/>
      <c r="C46" s="919" t="s">
        <v>30</v>
      </c>
      <c r="D46" s="920" t="s">
        <v>235</v>
      </c>
      <c r="E46" s="918">
        <v>2019</v>
      </c>
      <c r="F46" s="89" t="s">
        <v>13</v>
      </c>
      <c r="G46" s="90">
        <v>250000</v>
      </c>
      <c r="H46" s="921" t="s">
        <v>76</v>
      </c>
      <c r="I46" s="90">
        <f>J46+K46</f>
        <v>250000</v>
      </c>
      <c r="J46" s="90">
        <v>250000</v>
      </c>
      <c r="K46" s="90">
        <v>0</v>
      </c>
      <c r="L46" s="920" t="s">
        <v>229</v>
      </c>
    </row>
    <row r="47" spans="1:12" s="88" customFormat="1" ht="12.75" hidden="1">
      <c r="A47" s="918"/>
      <c r="B47" s="919"/>
      <c r="C47" s="919"/>
      <c r="D47" s="920"/>
      <c r="E47" s="918"/>
      <c r="F47" s="89" t="s">
        <v>14</v>
      </c>
      <c r="G47" s="90"/>
      <c r="H47" s="921"/>
      <c r="I47" s="90">
        <f>J47+K47</f>
        <v>0</v>
      </c>
      <c r="J47" s="90"/>
      <c r="K47" s="90"/>
      <c r="L47" s="920"/>
    </row>
    <row r="48" spans="1:12" s="88" customFormat="1" ht="12.75" hidden="1">
      <c r="A48" s="918"/>
      <c r="B48" s="919"/>
      <c r="C48" s="919"/>
      <c r="D48" s="920"/>
      <c r="E48" s="918"/>
      <c r="F48" s="89" t="s">
        <v>15</v>
      </c>
      <c r="G48" s="90">
        <f>G46+G47</f>
        <v>250000</v>
      </c>
      <c r="H48" s="921"/>
      <c r="I48" s="90">
        <f>I46+I47</f>
        <v>250000</v>
      </c>
      <c r="J48" s="90">
        <f>J46+J47</f>
        <v>250000</v>
      </c>
      <c r="K48" s="90">
        <f>K46+K47</f>
        <v>0</v>
      </c>
      <c r="L48" s="920"/>
    </row>
    <row r="49" spans="1:12" s="85" customFormat="1" ht="12.75">
      <c r="A49" s="924"/>
      <c r="B49" s="922" t="s">
        <v>31</v>
      </c>
      <c r="C49" s="922"/>
      <c r="D49" s="923" t="s">
        <v>32</v>
      </c>
      <c r="E49" s="924" t="s">
        <v>76</v>
      </c>
      <c r="F49" s="86" t="s">
        <v>13</v>
      </c>
      <c r="G49" s="87">
        <f>G52+G61+G64+G55+G58</f>
        <v>82000</v>
      </c>
      <c r="H49" s="925" t="s">
        <v>76</v>
      </c>
      <c r="I49" s="87">
        <f aca="true" t="shared" si="5" ref="I49:K50">I52+I61+I64+I55+I58</f>
        <v>82000</v>
      </c>
      <c r="J49" s="87">
        <f t="shared" si="5"/>
        <v>82000</v>
      </c>
      <c r="K49" s="87">
        <f t="shared" si="5"/>
        <v>0</v>
      </c>
      <c r="L49" s="924" t="s">
        <v>76</v>
      </c>
    </row>
    <row r="50" spans="1:12" s="85" customFormat="1" ht="14.25" customHeight="1">
      <c r="A50" s="924"/>
      <c r="B50" s="922"/>
      <c r="C50" s="922"/>
      <c r="D50" s="923"/>
      <c r="E50" s="924"/>
      <c r="F50" s="86" t="s">
        <v>14</v>
      </c>
      <c r="G50" s="87">
        <f>G53+G62+G65+G56+G59</f>
        <v>70000</v>
      </c>
      <c r="H50" s="925"/>
      <c r="I50" s="87">
        <f t="shared" si="5"/>
        <v>70000</v>
      </c>
      <c r="J50" s="87">
        <f t="shared" si="5"/>
        <v>70000</v>
      </c>
      <c r="K50" s="87">
        <f t="shared" si="5"/>
        <v>0</v>
      </c>
      <c r="L50" s="924"/>
    </row>
    <row r="51" spans="1:12" s="85" customFormat="1" ht="14.25" customHeight="1">
      <c r="A51" s="924"/>
      <c r="B51" s="922"/>
      <c r="C51" s="922"/>
      <c r="D51" s="923"/>
      <c r="E51" s="924"/>
      <c r="F51" s="86" t="s">
        <v>15</v>
      </c>
      <c r="G51" s="87">
        <f>G49+G50</f>
        <v>152000</v>
      </c>
      <c r="H51" s="925"/>
      <c r="I51" s="87">
        <f>I49+I50</f>
        <v>152000</v>
      </c>
      <c r="J51" s="87">
        <f>J49+J50</f>
        <v>152000</v>
      </c>
      <c r="K51" s="87">
        <f>K49+K50</f>
        <v>0</v>
      </c>
      <c r="L51" s="924"/>
    </row>
    <row r="52" spans="1:12" s="88" customFormat="1" ht="12.75" hidden="1">
      <c r="A52" s="918">
        <v>7</v>
      </c>
      <c r="B52" s="919"/>
      <c r="C52" s="919" t="s">
        <v>161</v>
      </c>
      <c r="D52" s="920" t="s">
        <v>235</v>
      </c>
      <c r="E52" s="918">
        <v>2019</v>
      </c>
      <c r="F52" s="89" t="s">
        <v>13</v>
      </c>
      <c r="G52" s="90">
        <v>16000</v>
      </c>
      <c r="H52" s="921" t="s">
        <v>76</v>
      </c>
      <c r="I52" s="90">
        <f>J52+K52</f>
        <v>16000</v>
      </c>
      <c r="J52" s="90">
        <v>16000</v>
      </c>
      <c r="K52" s="90">
        <v>0</v>
      </c>
      <c r="L52" s="920" t="s">
        <v>236</v>
      </c>
    </row>
    <row r="53" spans="1:12" s="88" customFormat="1" ht="12.75" hidden="1">
      <c r="A53" s="918"/>
      <c r="B53" s="919"/>
      <c r="C53" s="919"/>
      <c r="D53" s="920"/>
      <c r="E53" s="918"/>
      <c r="F53" s="89" t="s">
        <v>14</v>
      </c>
      <c r="G53" s="90"/>
      <c r="H53" s="921"/>
      <c r="I53" s="90">
        <f>J53+K53</f>
        <v>0</v>
      </c>
      <c r="J53" s="90"/>
      <c r="K53" s="90"/>
      <c r="L53" s="920"/>
    </row>
    <row r="54" spans="1:12" s="88" customFormat="1" ht="12.75" hidden="1">
      <c r="A54" s="918"/>
      <c r="B54" s="919"/>
      <c r="C54" s="919"/>
      <c r="D54" s="920"/>
      <c r="E54" s="918"/>
      <c r="F54" s="89" t="s">
        <v>15</v>
      </c>
      <c r="G54" s="90">
        <f>G52+G53</f>
        <v>16000</v>
      </c>
      <c r="H54" s="921"/>
      <c r="I54" s="90">
        <f>I52+I53</f>
        <v>16000</v>
      </c>
      <c r="J54" s="90">
        <f>J52+J53</f>
        <v>16000</v>
      </c>
      <c r="K54" s="90">
        <f>K52+K53</f>
        <v>0</v>
      </c>
      <c r="L54" s="920"/>
    </row>
    <row r="55" spans="1:12" s="88" customFormat="1" ht="12.75">
      <c r="A55" s="918">
        <v>3</v>
      </c>
      <c r="B55" s="919"/>
      <c r="C55" s="919" t="s">
        <v>161</v>
      </c>
      <c r="D55" s="920" t="s">
        <v>249</v>
      </c>
      <c r="E55" s="918">
        <v>2019</v>
      </c>
      <c r="F55" s="89" t="s">
        <v>13</v>
      </c>
      <c r="G55" s="90">
        <v>0</v>
      </c>
      <c r="H55" s="921" t="s">
        <v>76</v>
      </c>
      <c r="I55" s="90">
        <f>J55+K55</f>
        <v>0</v>
      </c>
      <c r="J55" s="90">
        <v>0</v>
      </c>
      <c r="K55" s="90">
        <v>0</v>
      </c>
      <c r="L55" s="920" t="s">
        <v>229</v>
      </c>
    </row>
    <row r="56" spans="1:12" s="88" customFormat="1" ht="12.75">
      <c r="A56" s="918"/>
      <c r="B56" s="919"/>
      <c r="C56" s="919"/>
      <c r="D56" s="920"/>
      <c r="E56" s="918"/>
      <c r="F56" s="89" t="s">
        <v>14</v>
      </c>
      <c r="G56" s="90">
        <v>20000</v>
      </c>
      <c r="H56" s="921"/>
      <c r="I56" s="90">
        <f>J56+K56</f>
        <v>20000</v>
      </c>
      <c r="J56" s="90">
        <v>20000</v>
      </c>
      <c r="K56" s="90"/>
      <c r="L56" s="920"/>
    </row>
    <row r="57" spans="1:12" s="88" customFormat="1" ht="12.75">
      <c r="A57" s="918"/>
      <c r="B57" s="919"/>
      <c r="C57" s="919"/>
      <c r="D57" s="920"/>
      <c r="E57" s="918"/>
      <c r="F57" s="89" t="s">
        <v>15</v>
      </c>
      <c r="G57" s="90">
        <f>G55+G56</f>
        <v>20000</v>
      </c>
      <c r="H57" s="921"/>
      <c r="I57" s="90">
        <f>I55+I56</f>
        <v>20000</v>
      </c>
      <c r="J57" s="90">
        <f>J55+J56</f>
        <v>20000</v>
      </c>
      <c r="K57" s="90">
        <f>K55+K56</f>
        <v>0</v>
      </c>
      <c r="L57" s="920"/>
    </row>
    <row r="58" spans="1:12" s="88" customFormat="1" ht="12.75">
      <c r="A58" s="918">
        <v>4</v>
      </c>
      <c r="B58" s="919"/>
      <c r="C58" s="919" t="s">
        <v>167</v>
      </c>
      <c r="D58" s="920" t="s">
        <v>249</v>
      </c>
      <c r="E58" s="918">
        <v>2019</v>
      </c>
      <c r="F58" s="89" t="s">
        <v>13</v>
      </c>
      <c r="G58" s="90">
        <v>0</v>
      </c>
      <c r="H58" s="921" t="s">
        <v>76</v>
      </c>
      <c r="I58" s="90">
        <f>J58+K58</f>
        <v>0</v>
      </c>
      <c r="J58" s="90">
        <v>0</v>
      </c>
      <c r="K58" s="90">
        <v>0</v>
      </c>
      <c r="L58" s="920" t="s">
        <v>229</v>
      </c>
    </row>
    <row r="59" spans="1:12" s="88" customFormat="1" ht="12.75">
      <c r="A59" s="918"/>
      <c r="B59" s="919"/>
      <c r="C59" s="919"/>
      <c r="D59" s="920"/>
      <c r="E59" s="918"/>
      <c r="F59" s="89" t="s">
        <v>14</v>
      </c>
      <c r="G59" s="90">
        <v>50000</v>
      </c>
      <c r="H59" s="921"/>
      <c r="I59" s="90">
        <f>J59+K59</f>
        <v>50000</v>
      </c>
      <c r="J59" s="90">
        <v>50000</v>
      </c>
      <c r="K59" s="90"/>
      <c r="L59" s="920"/>
    </row>
    <row r="60" spans="1:12" s="88" customFormat="1" ht="12.75">
      <c r="A60" s="918"/>
      <c r="B60" s="919"/>
      <c r="C60" s="919"/>
      <c r="D60" s="920"/>
      <c r="E60" s="918"/>
      <c r="F60" s="89" t="s">
        <v>15</v>
      </c>
      <c r="G60" s="90">
        <f>G58+G59</f>
        <v>50000</v>
      </c>
      <c r="H60" s="921"/>
      <c r="I60" s="90">
        <f>I58+I59</f>
        <v>50000</v>
      </c>
      <c r="J60" s="90">
        <f>J58+J59</f>
        <v>50000</v>
      </c>
      <c r="K60" s="90">
        <f>K58+K59</f>
        <v>0</v>
      </c>
      <c r="L60" s="920"/>
    </row>
    <row r="61" spans="1:12" s="88" customFormat="1" ht="12.75" hidden="1">
      <c r="A61" s="918">
        <v>8</v>
      </c>
      <c r="B61" s="919"/>
      <c r="C61" s="919" t="s">
        <v>74</v>
      </c>
      <c r="D61" s="920" t="s">
        <v>237</v>
      </c>
      <c r="E61" s="918">
        <v>2019</v>
      </c>
      <c r="F61" s="89" t="s">
        <v>13</v>
      </c>
      <c r="G61" s="90">
        <v>38000</v>
      </c>
      <c r="H61" s="921" t="s">
        <v>76</v>
      </c>
      <c r="I61" s="90">
        <f>J61+K61</f>
        <v>38000</v>
      </c>
      <c r="J61" s="90">
        <v>38000</v>
      </c>
      <c r="K61" s="90">
        <v>0</v>
      </c>
      <c r="L61" s="920" t="s">
        <v>238</v>
      </c>
    </row>
    <row r="62" spans="1:12" s="88" customFormat="1" ht="12.75" hidden="1">
      <c r="A62" s="918"/>
      <c r="B62" s="919"/>
      <c r="C62" s="919"/>
      <c r="D62" s="920"/>
      <c r="E62" s="918"/>
      <c r="F62" s="89" t="s">
        <v>14</v>
      </c>
      <c r="G62" s="90"/>
      <c r="H62" s="921"/>
      <c r="I62" s="90">
        <f>J62+K62</f>
        <v>0</v>
      </c>
      <c r="J62" s="90"/>
      <c r="K62" s="90"/>
      <c r="L62" s="920"/>
    </row>
    <row r="63" spans="1:12" s="88" customFormat="1" ht="12.75" hidden="1">
      <c r="A63" s="918"/>
      <c r="B63" s="919"/>
      <c r="C63" s="919"/>
      <c r="D63" s="920"/>
      <c r="E63" s="918"/>
      <c r="F63" s="89" t="s">
        <v>15</v>
      </c>
      <c r="G63" s="90">
        <f>G61+G62</f>
        <v>38000</v>
      </c>
      <c r="H63" s="921"/>
      <c r="I63" s="90">
        <f>I61+I62</f>
        <v>38000</v>
      </c>
      <c r="J63" s="90">
        <f>J61+J62</f>
        <v>38000</v>
      </c>
      <c r="K63" s="90">
        <f>K61+K62</f>
        <v>0</v>
      </c>
      <c r="L63" s="920"/>
    </row>
    <row r="64" spans="1:12" s="88" customFormat="1" ht="12.75" hidden="1">
      <c r="A64" s="918">
        <v>9</v>
      </c>
      <c r="B64" s="919"/>
      <c r="C64" s="919" t="s">
        <v>74</v>
      </c>
      <c r="D64" s="920" t="s">
        <v>237</v>
      </c>
      <c r="E64" s="918">
        <v>2019</v>
      </c>
      <c r="F64" s="89" t="s">
        <v>13</v>
      </c>
      <c r="G64" s="90">
        <v>28000</v>
      </c>
      <c r="H64" s="921" t="s">
        <v>76</v>
      </c>
      <c r="I64" s="90">
        <f>J64+K64</f>
        <v>28000</v>
      </c>
      <c r="J64" s="90">
        <v>28000</v>
      </c>
      <c r="K64" s="90">
        <v>0</v>
      </c>
      <c r="L64" s="936" t="s">
        <v>239</v>
      </c>
    </row>
    <row r="65" spans="1:12" s="88" customFormat="1" ht="12.75" hidden="1">
      <c r="A65" s="918"/>
      <c r="B65" s="919"/>
      <c r="C65" s="919"/>
      <c r="D65" s="920"/>
      <c r="E65" s="918"/>
      <c r="F65" s="89" t="s">
        <v>14</v>
      </c>
      <c r="G65" s="90"/>
      <c r="H65" s="921"/>
      <c r="I65" s="90">
        <f>J65+K65</f>
        <v>0</v>
      </c>
      <c r="J65" s="90"/>
      <c r="K65" s="90"/>
      <c r="L65" s="936"/>
    </row>
    <row r="66" spans="1:12" s="88" customFormat="1" ht="12.75" hidden="1">
      <c r="A66" s="918"/>
      <c r="B66" s="919"/>
      <c r="C66" s="919"/>
      <c r="D66" s="920"/>
      <c r="E66" s="918"/>
      <c r="F66" s="89" t="s">
        <v>15</v>
      </c>
      <c r="G66" s="90">
        <f>G64+G65</f>
        <v>28000</v>
      </c>
      <c r="H66" s="921"/>
      <c r="I66" s="90">
        <f>I64+I65</f>
        <v>28000</v>
      </c>
      <c r="J66" s="90">
        <f>J64+J65</f>
        <v>28000</v>
      </c>
      <c r="K66" s="90">
        <f>K64+K65</f>
        <v>0</v>
      </c>
      <c r="L66" s="936"/>
    </row>
    <row r="67" spans="1:12" s="85" customFormat="1" ht="12.75">
      <c r="A67" s="924"/>
      <c r="B67" s="922" t="s">
        <v>34</v>
      </c>
      <c r="C67" s="922"/>
      <c r="D67" s="923" t="s">
        <v>35</v>
      </c>
      <c r="E67" s="924" t="s">
        <v>76</v>
      </c>
      <c r="F67" s="86" t="s">
        <v>13</v>
      </c>
      <c r="G67" s="87">
        <f>G70</f>
        <v>0</v>
      </c>
      <c r="H67" s="925" t="s">
        <v>76</v>
      </c>
      <c r="I67" s="87">
        <f aca="true" t="shared" si="6" ref="I67:K68">I70</f>
        <v>0</v>
      </c>
      <c r="J67" s="87">
        <f t="shared" si="6"/>
        <v>0</v>
      </c>
      <c r="K67" s="87">
        <f t="shared" si="6"/>
        <v>0</v>
      </c>
      <c r="L67" s="924" t="s">
        <v>76</v>
      </c>
    </row>
    <row r="68" spans="1:12" s="85" customFormat="1" ht="14.25" customHeight="1">
      <c r="A68" s="924"/>
      <c r="B68" s="922"/>
      <c r="C68" s="922"/>
      <c r="D68" s="923"/>
      <c r="E68" s="924"/>
      <c r="F68" s="86" t="s">
        <v>14</v>
      </c>
      <c r="G68" s="87">
        <f>G71</f>
        <v>96637</v>
      </c>
      <c r="H68" s="925"/>
      <c r="I68" s="87">
        <f t="shared" si="6"/>
        <v>96637</v>
      </c>
      <c r="J68" s="87">
        <f t="shared" si="6"/>
        <v>96637</v>
      </c>
      <c r="K68" s="87">
        <f t="shared" si="6"/>
        <v>0</v>
      </c>
      <c r="L68" s="924"/>
    </row>
    <row r="69" spans="1:12" s="85" customFormat="1" ht="14.25" customHeight="1">
      <c r="A69" s="924"/>
      <c r="B69" s="922"/>
      <c r="C69" s="922"/>
      <c r="D69" s="923"/>
      <c r="E69" s="924"/>
      <c r="F69" s="86" t="s">
        <v>15</v>
      </c>
      <c r="G69" s="87">
        <f>G67+G68</f>
        <v>96637</v>
      </c>
      <c r="H69" s="925"/>
      <c r="I69" s="87">
        <f>I67+I68</f>
        <v>96637</v>
      </c>
      <c r="J69" s="87">
        <f>J67+J68</f>
        <v>96637</v>
      </c>
      <c r="K69" s="87">
        <f>K67+K68</f>
        <v>0</v>
      </c>
      <c r="L69" s="924"/>
    </row>
    <row r="70" spans="1:12" s="88" customFormat="1" ht="12.75">
      <c r="A70" s="918">
        <v>5</v>
      </c>
      <c r="B70" s="919"/>
      <c r="C70" s="919" t="s">
        <v>351</v>
      </c>
      <c r="D70" s="920" t="s">
        <v>356</v>
      </c>
      <c r="E70" s="918">
        <v>2019</v>
      </c>
      <c r="F70" s="89" t="s">
        <v>13</v>
      </c>
      <c r="G70" s="90">
        <v>0</v>
      </c>
      <c r="H70" s="921" t="s">
        <v>76</v>
      </c>
      <c r="I70" s="90">
        <f>J70+K70</f>
        <v>0</v>
      </c>
      <c r="J70" s="90">
        <v>0</v>
      </c>
      <c r="K70" s="90">
        <v>0</v>
      </c>
      <c r="L70" s="920" t="s">
        <v>357</v>
      </c>
    </row>
    <row r="71" spans="1:12" s="88" customFormat="1" ht="12.75">
      <c r="A71" s="918"/>
      <c r="B71" s="919"/>
      <c r="C71" s="919"/>
      <c r="D71" s="920"/>
      <c r="E71" s="918"/>
      <c r="F71" s="89" t="s">
        <v>14</v>
      </c>
      <c r="G71" s="90">
        <v>96637</v>
      </c>
      <c r="H71" s="921"/>
      <c r="I71" s="90">
        <f>J71+K71</f>
        <v>96637</v>
      </c>
      <c r="J71" s="90">
        <v>96637</v>
      </c>
      <c r="K71" s="90"/>
      <c r="L71" s="920"/>
    </row>
    <row r="72" spans="1:12" s="88" customFormat="1" ht="12.75">
      <c r="A72" s="918"/>
      <c r="B72" s="919"/>
      <c r="C72" s="919"/>
      <c r="D72" s="920"/>
      <c r="E72" s="918"/>
      <c r="F72" s="89" t="s">
        <v>15</v>
      </c>
      <c r="G72" s="90">
        <f>G70+G71</f>
        <v>96637</v>
      </c>
      <c r="H72" s="921"/>
      <c r="I72" s="90">
        <f>I70+I71</f>
        <v>96637</v>
      </c>
      <c r="J72" s="90">
        <f>J70+J71</f>
        <v>96637</v>
      </c>
      <c r="K72" s="90">
        <f>K70+K71</f>
        <v>0</v>
      </c>
      <c r="L72" s="920"/>
    </row>
    <row r="73" spans="1:12" s="85" customFormat="1" ht="12.75" hidden="1">
      <c r="A73" s="924"/>
      <c r="B73" s="922" t="s">
        <v>240</v>
      </c>
      <c r="C73" s="922"/>
      <c r="D73" s="923" t="s">
        <v>36</v>
      </c>
      <c r="E73" s="924" t="s">
        <v>76</v>
      </c>
      <c r="F73" s="86" t="s">
        <v>13</v>
      </c>
      <c r="G73" s="87">
        <f>G76+G79</f>
        <v>73553</v>
      </c>
      <c r="H73" s="925" t="str">
        <f>H76</f>
        <v>x</v>
      </c>
      <c r="I73" s="87">
        <f aca="true" t="shared" si="7" ref="I73:K74">I76+I79</f>
        <v>73553</v>
      </c>
      <c r="J73" s="87">
        <f t="shared" si="7"/>
        <v>73553</v>
      </c>
      <c r="K73" s="87">
        <f t="shared" si="7"/>
        <v>0</v>
      </c>
      <c r="L73" s="924" t="s">
        <v>76</v>
      </c>
    </row>
    <row r="74" spans="1:12" s="85" customFormat="1" ht="14.25" customHeight="1" hidden="1">
      <c r="A74" s="924"/>
      <c r="B74" s="922"/>
      <c r="C74" s="922"/>
      <c r="D74" s="923"/>
      <c r="E74" s="924"/>
      <c r="F74" s="86" t="s">
        <v>14</v>
      </c>
      <c r="G74" s="87">
        <f>G77+G80</f>
        <v>0</v>
      </c>
      <c r="H74" s="925"/>
      <c r="I74" s="87">
        <f t="shared" si="7"/>
        <v>0</v>
      </c>
      <c r="J74" s="87">
        <f t="shared" si="7"/>
        <v>0</v>
      </c>
      <c r="K74" s="87">
        <f t="shared" si="7"/>
        <v>0</v>
      </c>
      <c r="L74" s="924"/>
    </row>
    <row r="75" spans="1:12" s="85" customFormat="1" ht="14.25" customHeight="1" hidden="1" thickBot="1">
      <c r="A75" s="924"/>
      <c r="B75" s="922"/>
      <c r="C75" s="922"/>
      <c r="D75" s="923"/>
      <c r="E75" s="924"/>
      <c r="F75" s="86" t="s">
        <v>15</v>
      </c>
      <c r="G75" s="87">
        <f>G73+G74</f>
        <v>73553</v>
      </c>
      <c r="H75" s="925"/>
      <c r="I75" s="87">
        <f>I73+I74</f>
        <v>73553</v>
      </c>
      <c r="J75" s="87">
        <f>J73+J74</f>
        <v>73553</v>
      </c>
      <c r="K75" s="87">
        <f>K73+K74</f>
        <v>0</v>
      </c>
      <c r="L75" s="924"/>
    </row>
    <row r="76" spans="1:12" s="88" customFormat="1" ht="12.75" hidden="1">
      <c r="A76" s="918">
        <v>10</v>
      </c>
      <c r="B76" s="919"/>
      <c r="C76" s="919" t="s">
        <v>241</v>
      </c>
      <c r="D76" s="920" t="s">
        <v>242</v>
      </c>
      <c r="E76" s="918">
        <v>2019</v>
      </c>
      <c r="F76" s="89" t="s">
        <v>13</v>
      </c>
      <c r="G76" s="90">
        <v>23000</v>
      </c>
      <c r="H76" s="921" t="s">
        <v>76</v>
      </c>
      <c r="I76" s="90">
        <f>J76+K76</f>
        <v>23000</v>
      </c>
      <c r="J76" s="90">
        <v>23000</v>
      </c>
      <c r="K76" s="90">
        <v>0</v>
      </c>
      <c r="L76" s="920" t="s">
        <v>243</v>
      </c>
    </row>
    <row r="77" spans="1:12" s="88" customFormat="1" ht="12.75" hidden="1">
      <c r="A77" s="918"/>
      <c r="B77" s="919"/>
      <c r="C77" s="919"/>
      <c r="D77" s="920"/>
      <c r="E77" s="918"/>
      <c r="F77" s="89" t="s">
        <v>14</v>
      </c>
      <c r="G77" s="90"/>
      <c r="H77" s="921"/>
      <c r="I77" s="90">
        <f>J77+K77</f>
        <v>0</v>
      </c>
      <c r="J77" s="90"/>
      <c r="K77" s="90"/>
      <c r="L77" s="920"/>
    </row>
    <row r="78" spans="1:12" s="88" customFormat="1" ht="12.75" hidden="1">
      <c r="A78" s="918"/>
      <c r="B78" s="919"/>
      <c r="C78" s="919"/>
      <c r="D78" s="920"/>
      <c r="E78" s="918"/>
      <c r="F78" s="89" t="s">
        <v>15</v>
      </c>
      <c r="G78" s="90">
        <f>G76+G77</f>
        <v>23000</v>
      </c>
      <c r="H78" s="921"/>
      <c r="I78" s="90">
        <f>I76+I77</f>
        <v>23000</v>
      </c>
      <c r="J78" s="90">
        <f>J76+J77</f>
        <v>23000</v>
      </c>
      <c r="K78" s="90">
        <f>K76+K77</f>
        <v>0</v>
      </c>
      <c r="L78" s="920"/>
    </row>
    <row r="79" spans="1:12" s="88" customFormat="1" ht="12.75" hidden="1">
      <c r="A79" s="918">
        <v>1</v>
      </c>
      <c r="B79" s="919"/>
      <c r="C79" s="919" t="s">
        <v>241</v>
      </c>
      <c r="D79" s="920" t="s">
        <v>249</v>
      </c>
      <c r="E79" s="918">
        <v>2019</v>
      </c>
      <c r="F79" s="89" t="s">
        <v>13</v>
      </c>
      <c r="G79" s="90">
        <v>50553</v>
      </c>
      <c r="H79" s="921" t="s">
        <v>76</v>
      </c>
      <c r="I79" s="90">
        <f>J79+K79</f>
        <v>50553</v>
      </c>
      <c r="J79" s="90">
        <v>50553</v>
      </c>
      <c r="K79" s="90">
        <v>0</v>
      </c>
      <c r="L79" s="920" t="s">
        <v>243</v>
      </c>
    </row>
    <row r="80" spans="1:12" s="88" customFormat="1" ht="12.75" hidden="1">
      <c r="A80" s="918"/>
      <c r="B80" s="919"/>
      <c r="C80" s="919"/>
      <c r="D80" s="920"/>
      <c r="E80" s="918"/>
      <c r="F80" s="89" t="s">
        <v>14</v>
      </c>
      <c r="G80" s="90"/>
      <c r="H80" s="921"/>
      <c r="I80" s="90">
        <f>J80+K80</f>
        <v>0</v>
      </c>
      <c r="J80" s="90"/>
      <c r="K80" s="90"/>
      <c r="L80" s="920"/>
    </row>
    <row r="81" spans="1:12" s="88" customFormat="1" ht="12.75" hidden="1">
      <c r="A81" s="918"/>
      <c r="B81" s="919"/>
      <c r="C81" s="919"/>
      <c r="D81" s="920"/>
      <c r="E81" s="918"/>
      <c r="F81" s="89" t="s">
        <v>15</v>
      </c>
      <c r="G81" s="90">
        <f>G79+G80</f>
        <v>50553</v>
      </c>
      <c r="H81" s="921"/>
      <c r="I81" s="90">
        <f>I79+I80</f>
        <v>50553</v>
      </c>
      <c r="J81" s="90">
        <f>J79+J80</f>
        <v>50553</v>
      </c>
      <c r="K81" s="90">
        <f>K79+K80</f>
        <v>0</v>
      </c>
      <c r="L81" s="920"/>
    </row>
    <row r="82" spans="1:12" s="85" customFormat="1" ht="12.75">
      <c r="A82" s="924"/>
      <c r="B82" s="922" t="s">
        <v>77</v>
      </c>
      <c r="C82" s="922"/>
      <c r="D82" s="927" t="s">
        <v>37</v>
      </c>
      <c r="E82" s="924" t="s">
        <v>76</v>
      </c>
      <c r="F82" s="86" t="s">
        <v>13</v>
      </c>
      <c r="G82" s="87">
        <f>G85+G88+G91</f>
        <v>175000</v>
      </c>
      <c r="H82" s="925" t="s">
        <v>76</v>
      </c>
      <c r="I82" s="87">
        <f aca="true" t="shared" si="8" ref="I82:K83">I85+I88+I91</f>
        <v>175000</v>
      </c>
      <c r="J82" s="87">
        <f t="shared" si="8"/>
        <v>175000</v>
      </c>
      <c r="K82" s="87">
        <f t="shared" si="8"/>
        <v>0</v>
      </c>
      <c r="L82" s="924" t="s">
        <v>76</v>
      </c>
    </row>
    <row r="83" spans="1:12" s="85" customFormat="1" ht="12.75">
      <c r="A83" s="924"/>
      <c r="B83" s="922"/>
      <c r="C83" s="922"/>
      <c r="D83" s="927"/>
      <c r="E83" s="924"/>
      <c r="F83" s="86" t="s">
        <v>14</v>
      </c>
      <c r="G83" s="87">
        <f>G86+G89+G92</f>
        <v>30000</v>
      </c>
      <c r="H83" s="925"/>
      <c r="I83" s="87">
        <f t="shared" si="8"/>
        <v>30000</v>
      </c>
      <c r="J83" s="87">
        <f t="shared" si="8"/>
        <v>30000</v>
      </c>
      <c r="K83" s="87">
        <f t="shared" si="8"/>
        <v>0</v>
      </c>
      <c r="L83" s="924"/>
    </row>
    <row r="84" spans="1:12" s="85" customFormat="1" ht="12.75">
      <c r="A84" s="924"/>
      <c r="B84" s="922"/>
      <c r="C84" s="922"/>
      <c r="D84" s="927"/>
      <c r="E84" s="924"/>
      <c r="F84" s="86" t="s">
        <v>15</v>
      </c>
      <c r="G84" s="87">
        <f>G82+G83</f>
        <v>205000</v>
      </c>
      <c r="H84" s="925"/>
      <c r="I84" s="87">
        <f>I82+I83</f>
        <v>205000</v>
      </c>
      <c r="J84" s="87">
        <f>J82+J83</f>
        <v>205000</v>
      </c>
      <c r="K84" s="87">
        <f>K82+K83</f>
        <v>0</v>
      </c>
      <c r="L84" s="924"/>
    </row>
    <row r="85" spans="1:12" s="88" customFormat="1" ht="12.75">
      <c r="A85" s="918">
        <v>6</v>
      </c>
      <c r="B85" s="919"/>
      <c r="C85" s="919" t="s">
        <v>78</v>
      </c>
      <c r="D85" s="920" t="s">
        <v>237</v>
      </c>
      <c r="E85" s="918">
        <v>2019</v>
      </c>
      <c r="F85" s="89" t="s">
        <v>13</v>
      </c>
      <c r="G85" s="90">
        <v>100000</v>
      </c>
      <c r="H85" s="921" t="s">
        <v>76</v>
      </c>
      <c r="I85" s="90">
        <f>J85+K85</f>
        <v>100000</v>
      </c>
      <c r="J85" s="90">
        <v>100000</v>
      </c>
      <c r="K85" s="90">
        <v>0</v>
      </c>
      <c r="L85" s="920" t="s">
        <v>244</v>
      </c>
    </row>
    <row r="86" spans="1:12" s="88" customFormat="1" ht="12.75">
      <c r="A86" s="918"/>
      <c r="B86" s="919"/>
      <c r="C86" s="919"/>
      <c r="D86" s="920"/>
      <c r="E86" s="918"/>
      <c r="F86" s="89" t="s">
        <v>14</v>
      </c>
      <c r="G86" s="90">
        <v>26000</v>
      </c>
      <c r="H86" s="921"/>
      <c r="I86" s="90">
        <f>J86+K86</f>
        <v>26000</v>
      </c>
      <c r="J86" s="90">
        <v>26000</v>
      </c>
      <c r="K86" s="90"/>
      <c r="L86" s="920"/>
    </row>
    <row r="87" spans="1:12" s="88" customFormat="1" ht="12.75">
      <c r="A87" s="918"/>
      <c r="B87" s="919"/>
      <c r="C87" s="919"/>
      <c r="D87" s="920"/>
      <c r="E87" s="918"/>
      <c r="F87" s="89" t="s">
        <v>15</v>
      </c>
      <c r="G87" s="90">
        <f>G85+G86</f>
        <v>126000</v>
      </c>
      <c r="H87" s="921"/>
      <c r="I87" s="90">
        <f>I85+I86</f>
        <v>126000</v>
      </c>
      <c r="J87" s="90">
        <f>J85+J86</f>
        <v>126000</v>
      </c>
      <c r="K87" s="90">
        <f>K85+K86</f>
        <v>0</v>
      </c>
      <c r="L87" s="920"/>
    </row>
    <row r="88" spans="1:12" s="88" customFormat="1" ht="12.75">
      <c r="A88" s="918">
        <v>7</v>
      </c>
      <c r="B88" s="919"/>
      <c r="C88" s="919" t="s">
        <v>78</v>
      </c>
      <c r="D88" s="920" t="s">
        <v>245</v>
      </c>
      <c r="E88" s="918">
        <v>2019</v>
      </c>
      <c r="F88" s="89" t="s">
        <v>13</v>
      </c>
      <c r="G88" s="90">
        <v>75000</v>
      </c>
      <c r="H88" s="921" t="s">
        <v>76</v>
      </c>
      <c r="I88" s="90">
        <f>J88+K88</f>
        <v>75000</v>
      </c>
      <c r="J88" s="90">
        <v>75000</v>
      </c>
      <c r="K88" s="90">
        <v>0</v>
      </c>
      <c r="L88" s="920" t="s">
        <v>244</v>
      </c>
    </row>
    <row r="89" spans="1:12" s="88" customFormat="1" ht="12.75">
      <c r="A89" s="918"/>
      <c r="B89" s="919"/>
      <c r="C89" s="919"/>
      <c r="D89" s="920"/>
      <c r="E89" s="918"/>
      <c r="F89" s="89" t="s">
        <v>14</v>
      </c>
      <c r="G89" s="90">
        <v>-26000</v>
      </c>
      <c r="H89" s="921"/>
      <c r="I89" s="90">
        <f>J89+K89</f>
        <v>-26000</v>
      </c>
      <c r="J89" s="90">
        <v>-26000</v>
      </c>
      <c r="K89" s="90"/>
      <c r="L89" s="920"/>
    </row>
    <row r="90" spans="1:12" s="88" customFormat="1" ht="12.75">
      <c r="A90" s="918"/>
      <c r="B90" s="919"/>
      <c r="C90" s="919"/>
      <c r="D90" s="920"/>
      <c r="E90" s="918"/>
      <c r="F90" s="89" t="s">
        <v>15</v>
      </c>
      <c r="G90" s="90">
        <f>G88+G89</f>
        <v>49000</v>
      </c>
      <c r="H90" s="921"/>
      <c r="I90" s="90">
        <f>I88+I89</f>
        <v>49000</v>
      </c>
      <c r="J90" s="90">
        <f>J88+J89</f>
        <v>49000</v>
      </c>
      <c r="K90" s="90">
        <f>K88+K89</f>
        <v>0</v>
      </c>
      <c r="L90" s="920"/>
    </row>
    <row r="91" spans="1:12" s="88" customFormat="1" ht="12.75">
      <c r="A91" s="918">
        <v>8</v>
      </c>
      <c r="B91" s="919"/>
      <c r="C91" s="919" t="s">
        <v>344</v>
      </c>
      <c r="D91" s="920" t="s">
        <v>345</v>
      </c>
      <c r="E91" s="918">
        <v>2019</v>
      </c>
      <c r="F91" s="89" t="s">
        <v>13</v>
      </c>
      <c r="G91" s="90">
        <v>0</v>
      </c>
      <c r="H91" s="921" t="s">
        <v>76</v>
      </c>
      <c r="I91" s="90">
        <f>J91+K91</f>
        <v>0</v>
      </c>
      <c r="J91" s="90">
        <v>0</v>
      </c>
      <c r="K91" s="90">
        <v>0</v>
      </c>
      <c r="L91" s="920" t="s">
        <v>229</v>
      </c>
    </row>
    <row r="92" spans="1:12" s="88" customFormat="1" ht="12.75">
      <c r="A92" s="918"/>
      <c r="B92" s="919"/>
      <c r="C92" s="919"/>
      <c r="D92" s="920"/>
      <c r="E92" s="918"/>
      <c r="F92" s="89" t="s">
        <v>14</v>
      </c>
      <c r="G92" s="90">
        <v>30000</v>
      </c>
      <c r="H92" s="921"/>
      <c r="I92" s="90">
        <f>J92+K92</f>
        <v>30000</v>
      </c>
      <c r="J92" s="90">
        <v>30000</v>
      </c>
      <c r="K92" s="90"/>
      <c r="L92" s="920"/>
    </row>
    <row r="93" spans="1:12" s="88" customFormat="1" ht="12.75">
      <c r="A93" s="918"/>
      <c r="B93" s="919"/>
      <c r="C93" s="919"/>
      <c r="D93" s="920"/>
      <c r="E93" s="918"/>
      <c r="F93" s="89" t="s">
        <v>15</v>
      </c>
      <c r="G93" s="90">
        <f>G91+G92</f>
        <v>30000</v>
      </c>
      <c r="H93" s="921"/>
      <c r="I93" s="90">
        <f>I91+I92</f>
        <v>30000</v>
      </c>
      <c r="J93" s="90">
        <f>J91+J92</f>
        <v>30000</v>
      </c>
      <c r="K93" s="90">
        <f>K91+K92</f>
        <v>0</v>
      </c>
      <c r="L93" s="920"/>
    </row>
    <row r="94" spans="1:12" s="85" customFormat="1" ht="12.75">
      <c r="A94" s="924"/>
      <c r="B94" s="922" t="s">
        <v>246</v>
      </c>
      <c r="C94" s="922"/>
      <c r="D94" s="923" t="s">
        <v>247</v>
      </c>
      <c r="E94" s="924" t="s">
        <v>76</v>
      </c>
      <c r="F94" s="86" t="s">
        <v>13</v>
      </c>
      <c r="G94" s="87">
        <f>G97</f>
        <v>500000</v>
      </c>
      <c r="H94" s="925" t="s">
        <v>76</v>
      </c>
      <c r="I94" s="87">
        <f aca="true" t="shared" si="9" ref="I94:K95">I97</f>
        <v>500000</v>
      </c>
      <c r="J94" s="87">
        <f t="shared" si="9"/>
        <v>500000</v>
      </c>
      <c r="K94" s="87">
        <f t="shared" si="9"/>
        <v>0</v>
      </c>
      <c r="L94" s="924" t="s">
        <v>76</v>
      </c>
    </row>
    <row r="95" spans="1:12" s="85" customFormat="1" ht="14.25" customHeight="1">
      <c r="A95" s="924"/>
      <c r="B95" s="922"/>
      <c r="C95" s="922"/>
      <c r="D95" s="923"/>
      <c r="E95" s="924"/>
      <c r="F95" s="86" t="s">
        <v>14</v>
      </c>
      <c r="G95" s="87">
        <f>G98</f>
        <v>-70000</v>
      </c>
      <c r="H95" s="925"/>
      <c r="I95" s="87">
        <f t="shared" si="9"/>
        <v>-70000</v>
      </c>
      <c r="J95" s="87">
        <f t="shared" si="9"/>
        <v>-70000</v>
      </c>
      <c r="K95" s="87">
        <f t="shared" si="9"/>
        <v>0</v>
      </c>
      <c r="L95" s="924"/>
    </row>
    <row r="96" spans="1:12" s="85" customFormat="1" ht="14.25" customHeight="1">
      <c r="A96" s="924"/>
      <c r="B96" s="922"/>
      <c r="C96" s="922"/>
      <c r="D96" s="923"/>
      <c r="E96" s="924"/>
      <c r="F96" s="86" t="s">
        <v>15</v>
      </c>
      <c r="G96" s="87">
        <f>G94+G95</f>
        <v>430000</v>
      </c>
      <c r="H96" s="925"/>
      <c r="I96" s="87">
        <f>I94+I95</f>
        <v>430000</v>
      </c>
      <c r="J96" s="87">
        <f>J94+J95</f>
        <v>430000</v>
      </c>
      <c r="K96" s="87">
        <f>K94+K95</f>
        <v>0</v>
      </c>
      <c r="L96" s="924"/>
    </row>
    <row r="97" spans="1:12" s="88" customFormat="1" ht="12.75">
      <c r="A97" s="918">
        <v>9</v>
      </c>
      <c r="B97" s="919"/>
      <c r="C97" s="919" t="s">
        <v>248</v>
      </c>
      <c r="D97" s="920" t="s">
        <v>249</v>
      </c>
      <c r="E97" s="918">
        <v>2019</v>
      </c>
      <c r="F97" s="89" t="s">
        <v>13</v>
      </c>
      <c r="G97" s="90">
        <v>500000</v>
      </c>
      <c r="H97" s="921" t="s">
        <v>76</v>
      </c>
      <c r="I97" s="90">
        <f>J97+K97</f>
        <v>500000</v>
      </c>
      <c r="J97" s="90">
        <v>500000</v>
      </c>
      <c r="K97" s="90">
        <v>0</v>
      </c>
      <c r="L97" s="920" t="s">
        <v>229</v>
      </c>
    </row>
    <row r="98" spans="1:12" s="88" customFormat="1" ht="12.75">
      <c r="A98" s="918"/>
      <c r="B98" s="919"/>
      <c r="C98" s="919"/>
      <c r="D98" s="920"/>
      <c r="E98" s="918"/>
      <c r="F98" s="89" t="s">
        <v>14</v>
      </c>
      <c r="G98" s="90">
        <v>-70000</v>
      </c>
      <c r="H98" s="921"/>
      <c r="I98" s="90">
        <f>J98+K98</f>
        <v>-70000</v>
      </c>
      <c r="J98" s="90">
        <v>-70000</v>
      </c>
      <c r="K98" s="90"/>
      <c r="L98" s="920"/>
    </row>
    <row r="99" spans="1:12" s="88" customFormat="1" ht="12.75">
      <c r="A99" s="918"/>
      <c r="B99" s="919"/>
      <c r="C99" s="919"/>
      <c r="D99" s="920"/>
      <c r="E99" s="918"/>
      <c r="F99" s="89" t="s">
        <v>15</v>
      </c>
      <c r="G99" s="90">
        <f>G97+G98</f>
        <v>430000</v>
      </c>
      <c r="H99" s="921"/>
      <c r="I99" s="90">
        <f>I97+I98</f>
        <v>430000</v>
      </c>
      <c r="J99" s="90">
        <f>J97+J98</f>
        <v>430000</v>
      </c>
      <c r="K99" s="90">
        <f>K97+K98</f>
        <v>0</v>
      </c>
      <c r="L99" s="920"/>
    </row>
    <row r="100" spans="1:12" s="85" customFormat="1" ht="12.75">
      <c r="A100" s="924"/>
      <c r="B100" s="922" t="s">
        <v>250</v>
      </c>
      <c r="C100" s="922"/>
      <c r="D100" s="927" t="s">
        <v>39</v>
      </c>
      <c r="E100" s="924" t="s">
        <v>76</v>
      </c>
      <c r="F100" s="86" t="s">
        <v>13</v>
      </c>
      <c r="G100" s="87">
        <f>G103+G109+G118+G127+G112+G115+G121+G106+G124</f>
        <v>400000</v>
      </c>
      <c r="H100" s="925" t="s">
        <v>76</v>
      </c>
      <c r="I100" s="87">
        <f aca="true" t="shared" si="10" ref="I100:K101">I103+I109+I118+I127+I112+I115+I121+I106+I124</f>
        <v>400000</v>
      </c>
      <c r="J100" s="87">
        <f t="shared" si="10"/>
        <v>400000</v>
      </c>
      <c r="K100" s="87">
        <f t="shared" si="10"/>
        <v>0</v>
      </c>
      <c r="L100" s="924" t="s">
        <v>76</v>
      </c>
    </row>
    <row r="101" spans="1:12" s="85" customFormat="1" ht="14.25" customHeight="1">
      <c r="A101" s="924"/>
      <c r="B101" s="922"/>
      <c r="C101" s="922"/>
      <c r="D101" s="927"/>
      <c r="E101" s="924"/>
      <c r="F101" s="86" t="s">
        <v>14</v>
      </c>
      <c r="G101" s="87">
        <f>G104+G110+G119+G128+G113+G116+G122+G107+G125</f>
        <v>683310</v>
      </c>
      <c r="H101" s="925"/>
      <c r="I101" s="87">
        <f t="shared" si="10"/>
        <v>683310</v>
      </c>
      <c r="J101" s="87">
        <f t="shared" si="10"/>
        <v>683310</v>
      </c>
      <c r="K101" s="87">
        <f t="shared" si="10"/>
        <v>0</v>
      </c>
      <c r="L101" s="924"/>
    </row>
    <row r="102" spans="1:12" s="85" customFormat="1" ht="14.25" customHeight="1">
      <c r="A102" s="924"/>
      <c r="B102" s="922"/>
      <c r="C102" s="922"/>
      <c r="D102" s="927"/>
      <c r="E102" s="924"/>
      <c r="F102" s="86" t="s">
        <v>15</v>
      </c>
      <c r="G102" s="87">
        <f>G100+G101</f>
        <v>1083310</v>
      </c>
      <c r="H102" s="925"/>
      <c r="I102" s="87">
        <f>I100+I101</f>
        <v>1083310</v>
      </c>
      <c r="J102" s="87">
        <f>J100+J101</f>
        <v>1083310</v>
      </c>
      <c r="K102" s="87">
        <f>K100+K101</f>
        <v>0</v>
      </c>
      <c r="L102" s="924"/>
    </row>
    <row r="103" spans="1:12" s="88" customFormat="1" ht="12.75" hidden="1">
      <c r="A103" s="918">
        <v>14</v>
      </c>
      <c r="B103" s="919"/>
      <c r="C103" s="919" t="s">
        <v>251</v>
      </c>
      <c r="D103" s="920" t="s">
        <v>252</v>
      </c>
      <c r="E103" s="918">
        <v>2019</v>
      </c>
      <c r="F103" s="89" t="s">
        <v>13</v>
      </c>
      <c r="G103" s="90">
        <v>140000</v>
      </c>
      <c r="H103" s="921" t="s">
        <v>76</v>
      </c>
      <c r="I103" s="90">
        <f>J103+K103</f>
        <v>140000</v>
      </c>
      <c r="J103" s="90">
        <v>140000</v>
      </c>
      <c r="K103" s="90">
        <v>0</v>
      </c>
      <c r="L103" s="920" t="s">
        <v>253</v>
      </c>
    </row>
    <row r="104" spans="1:12" s="88" customFormat="1" ht="12.75" hidden="1">
      <c r="A104" s="918"/>
      <c r="B104" s="919"/>
      <c r="C104" s="919"/>
      <c r="D104" s="920"/>
      <c r="E104" s="918"/>
      <c r="F104" s="89" t="s">
        <v>14</v>
      </c>
      <c r="G104" s="90"/>
      <c r="H104" s="921"/>
      <c r="I104" s="90">
        <f>J104+K104</f>
        <v>0</v>
      </c>
      <c r="J104" s="90"/>
      <c r="K104" s="90"/>
      <c r="L104" s="920"/>
    </row>
    <row r="105" spans="1:12" s="88" customFormat="1" ht="12.75" hidden="1">
      <c r="A105" s="918"/>
      <c r="B105" s="919"/>
      <c r="C105" s="919"/>
      <c r="D105" s="920"/>
      <c r="E105" s="918"/>
      <c r="F105" s="89" t="s">
        <v>15</v>
      </c>
      <c r="G105" s="90">
        <f>G103+G104</f>
        <v>140000</v>
      </c>
      <c r="H105" s="921"/>
      <c r="I105" s="90">
        <f>I103+I104</f>
        <v>140000</v>
      </c>
      <c r="J105" s="90">
        <f>J103+J104</f>
        <v>140000</v>
      </c>
      <c r="K105" s="90">
        <f>K103+K104</f>
        <v>0</v>
      </c>
      <c r="L105" s="920"/>
    </row>
    <row r="106" spans="1:12" s="88" customFormat="1" ht="12.75">
      <c r="A106" s="918">
        <v>10</v>
      </c>
      <c r="B106" s="919"/>
      <c r="C106" s="919" t="s">
        <v>251</v>
      </c>
      <c r="D106" s="920" t="s">
        <v>358</v>
      </c>
      <c r="E106" s="918">
        <v>2019</v>
      </c>
      <c r="F106" s="89" t="s">
        <v>13</v>
      </c>
      <c r="G106" s="90">
        <v>0</v>
      </c>
      <c r="H106" s="921" t="s">
        <v>76</v>
      </c>
      <c r="I106" s="90">
        <f>J106+K106</f>
        <v>0</v>
      </c>
      <c r="J106" s="90">
        <v>0</v>
      </c>
      <c r="K106" s="90">
        <v>0</v>
      </c>
      <c r="L106" s="920" t="s">
        <v>311</v>
      </c>
    </row>
    <row r="107" spans="1:12" s="88" customFormat="1" ht="12.75">
      <c r="A107" s="918"/>
      <c r="B107" s="919"/>
      <c r="C107" s="919"/>
      <c r="D107" s="920"/>
      <c r="E107" s="918"/>
      <c r="F107" s="89" t="s">
        <v>14</v>
      </c>
      <c r="G107" s="90">
        <v>280000</v>
      </c>
      <c r="H107" s="921"/>
      <c r="I107" s="90">
        <f>J107+K107</f>
        <v>280000</v>
      </c>
      <c r="J107" s="90">
        <v>280000</v>
      </c>
      <c r="K107" s="90"/>
      <c r="L107" s="920"/>
    </row>
    <row r="108" spans="1:12" s="88" customFormat="1" ht="12.75">
      <c r="A108" s="918"/>
      <c r="B108" s="919"/>
      <c r="C108" s="919"/>
      <c r="D108" s="920"/>
      <c r="E108" s="918"/>
      <c r="F108" s="89" t="s">
        <v>15</v>
      </c>
      <c r="G108" s="90">
        <f>G106+G107</f>
        <v>280000</v>
      </c>
      <c r="H108" s="921"/>
      <c r="I108" s="90">
        <f>I106+I107</f>
        <v>280000</v>
      </c>
      <c r="J108" s="90">
        <f>J106+J107</f>
        <v>280000</v>
      </c>
      <c r="K108" s="90">
        <f>K106+K107</f>
        <v>0</v>
      </c>
      <c r="L108" s="920"/>
    </row>
    <row r="109" spans="1:12" s="88" customFormat="1" ht="12.75" hidden="1">
      <c r="A109" s="918">
        <v>15</v>
      </c>
      <c r="B109" s="919"/>
      <c r="C109" s="919" t="s">
        <v>254</v>
      </c>
      <c r="D109" s="920" t="s">
        <v>255</v>
      </c>
      <c r="E109" s="918">
        <v>2019</v>
      </c>
      <c r="F109" s="89" t="s">
        <v>13</v>
      </c>
      <c r="G109" s="90">
        <v>60000</v>
      </c>
      <c r="H109" s="921" t="s">
        <v>76</v>
      </c>
      <c r="I109" s="90">
        <f>J109+K109</f>
        <v>60000</v>
      </c>
      <c r="J109" s="90">
        <v>60000</v>
      </c>
      <c r="K109" s="90">
        <v>0</v>
      </c>
      <c r="L109" s="920" t="s">
        <v>256</v>
      </c>
    </row>
    <row r="110" spans="1:12" s="88" customFormat="1" ht="12.75" hidden="1">
      <c r="A110" s="918"/>
      <c r="B110" s="919"/>
      <c r="C110" s="919"/>
      <c r="D110" s="920"/>
      <c r="E110" s="918"/>
      <c r="F110" s="89" t="s">
        <v>14</v>
      </c>
      <c r="G110" s="90"/>
      <c r="H110" s="921"/>
      <c r="I110" s="90">
        <f>J110+K110</f>
        <v>0</v>
      </c>
      <c r="J110" s="90"/>
      <c r="K110" s="90"/>
      <c r="L110" s="920"/>
    </row>
    <row r="111" spans="1:12" s="88" customFormat="1" ht="12.75" hidden="1">
      <c r="A111" s="918"/>
      <c r="B111" s="919"/>
      <c r="C111" s="919"/>
      <c r="D111" s="920"/>
      <c r="E111" s="918"/>
      <c r="F111" s="89" t="s">
        <v>15</v>
      </c>
      <c r="G111" s="90">
        <f>G109+G110</f>
        <v>60000</v>
      </c>
      <c r="H111" s="921"/>
      <c r="I111" s="90">
        <f>I109+I110</f>
        <v>60000</v>
      </c>
      <c r="J111" s="90">
        <f>J109+J110</f>
        <v>60000</v>
      </c>
      <c r="K111" s="90">
        <f>K109+K110</f>
        <v>0</v>
      </c>
      <c r="L111" s="920"/>
    </row>
    <row r="112" spans="1:12" s="88" customFormat="1" ht="12.75">
      <c r="A112" s="918">
        <v>11</v>
      </c>
      <c r="B112" s="919"/>
      <c r="C112" s="919" t="s">
        <v>254</v>
      </c>
      <c r="D112" s="920" t="s">
        <v>346</v>
      </c>
      <c r="E112" s="918">
        <v>2019</v>
      </c>
      <c r="F112" s="89" t="s">
        <v>13</v>
      </c>
      <c r="G112" s="90">
        <v>0</v>
      </c>
      <c r="H112" s="921" t="s">
        <v>76</v>
      </c>
      <c r="I112" s="90">
        <f>J112+K112</f>
        <v>0</v>
      </c>
      <c r="J112" s="90">
        <v>0</v>
      </c>
      <c r="K112" s="90">
        <v>0</v>
      </c>
      <c r="L112" s="920" t="s">
        <v>256</v>
      </c>
    </row>
    <row r="113" spans="1:12" s="88" customFormat="1" ht="12.75">
      <c r="A113" s="918"/>
      <c r="B113" s="919"/>
      <c r="C113" s="919"/>
      <c r="D113" s="920"/>
      <c r="E113" s="918"/>
      <c r="F113" s="89" t="s">
        <v>14</v>
      </c>
      <c r="G113" s="90">
        <v>42200</v>
      </c>
      <c r="H113" s="921"/>
      <c r="I113" s="90">
        <f>J113+K113</f>
        <v>42200</v>
      </c>
      <c r="J113" s="90">
        <v>42200</v>
      </c>
      <c r="K113" s="90"/>
      <c r="L113" s="920"/>
    </row>
    <row r="114" spans="1:12" s="88" customFormat="1" ht="12.75">
      <c r="A114" s="918"/>
      <c r="B114" s="919"/>
      <c r="C114" s="919"/>
      <c r="D114" s="920"/>
      <c r="E114" s="918"/>
      <c r="F114" s="89" t="s">
        <v>15</v>
      </c>
      <c r="G114" s="90">
        <f>G112+G113</f>
        <v>42200</v>
      </c>
      <c r="H114" s="921"/>
      <c r="I114" s="90">
        <f>I112+I113</f>
        <v>42200</v>
      </c>
      <c r="J114" s="90">
        <f>J112+J113</f>
        <v>42200</v>
      </c>
      <c r="K114" s="90">
        <f>K112+K113</f>
        <v>0</v>
      </c>
      <c r="L114" s="920"/>
    </row>
    <row r="115" spans="1:12" s="88" customFormat="1" ht="12.75">
      <c r="A115" s="918">
        <v>12</v>
      </c>
      <c r="B115" s="919"/>
      <c r="C115" s="919" t="s">
        <v>254</v>
      </c>
      <c r="D115" s="920" t="s">
        <v>350</v>
      </c>
      <c r="E115" s="918">
        <v>2019</v>
      </c>
      <c r="F115" s="89" t="s">
        <v>13</v>
      </c>
      <c r="G115" s="90">
        <v>0</v>
      </c>
      <c r="H115" s="921" t="s">
        <v>76</v>
      </c>
      <c r="I115" s="90">
        <f>J115+K115</f>
        <v>0</v>
      </c>
      <c r="J115" s="90">
        <v>0</v>
      </c>
      <c r="K115" s="90">
        <v>0</v>
      </c>
      <c r="L115" s="920" t="s">
        <v>349</v>
      </c>
    </row>
    <row r="116" spans="1:12" s="88" customFormat="1" ht="12.75">
      <c r="A116" s="918"/>
      <c r="B116" s="919"/>
      <c r="C116" s="919"/>
      <c r="D116" s="920"/>
      <c r="E116" s="918"/>
      <c r="F116" s="89" t="s">
        <v>14</v>
      </c>
      <c r="G116" s="90">
        <v>61000</v>
      </c>
      <c r="H116" s="921"/>
      <c r="I116" s="90">
        <f>J116+K116</f>
        <v>61000</v>
      </c>
      <c r="J116" s="90">
        <v>61000</v>
      </c>
      <c r="K116" s="90"/>
      <c r="L116" s="920"/>
    </row>
    <row r="117" spans="1:12" s="88" customFormat="1" ht="12.75">
      <c r="A117" s="918"/>
      <c r="B117" s="919"/>
      <c r="C117" s="919"/>
      <c r="D117" s="920"/>
      <c r="E117" s="918"/>
      <c r="F117" s="89" t="s">
        <v>15</v>
      </c>
      <c r="G117" s="90">
        <f>G115+G116</f>
        <v>61000</v>
      </c>
      <c r="H117" s="921"/>
      <c r="I117" s="90">
        <f>I115+I116</f>
        <v>61000</v>
      </c>
      <c r="J117" s="90">
        <f>J115+J116</f>
        <v>61000</v>
      </c>
      <c r="K117" s="90">
        <f>K115+K116</f>
        <v>0</v>
      </c>
      <c r="L117" s="920"/>
    </row>
    <row r="118" spans="1:12" s="88" customFormat="1" ht="12.75" hidden="1">
      <c r="A118" s="918">
        <v>16</v>
      </c>
      <c r="B118" s="919"/>
      <c r="C118" s="919" t="s">
        <v>257</v>
      </c>
      <c r="D118" s="920" t="s">
        <v>258</v>
      </c>
      <c r="E118" s="918">
        <v>2019</v>
      </c>
      <c r="F118" s="89" t="s">
        <v>13</v>
      </c>
      <c r="G118" s="90">
        <v>100000</v>
      </c>
      <c r="H118" s="921" t="s">
        <v>76</v>
      </c>
      <c r="I118" s="90">
        <f>J118+K118</f>
        <v>100000</v>
      </c>
      <c r="J118" s="90">
        <v>100000</v>
      </c>
      <c r="K118" s="90">
        <v>0</v>
      </c>
      <c r="L118" s="920" t="s">
        <v>259</v>
      </c>
    </row>
    <row r="119" spans="1:12" s="88" customFormat="1" ht="12.75" hidden="1">
      <c r="A119" s="918"/>
      <c r="B119" s="919"/>
      <c r="C119" s="919"/>
      <c r="D119" s="920"/>
      <c r="E119" s="918"/>
      <c r="F119" s="89" t="s">
        <v>14</v>
      </c>
      <c r="G119" s="90"/>
      <c r="H119" s="921"/>
      <c r="I119" s="90">
        <f>J119+K119</f>
        <v>0</v>
      </c>
      <c r="J119" s="90"/>
      <c r="K119" s="90"/>
      <c r="L119" s="920"/>
    </row>
    <row r="120" spans="1:12" s="88" customFormat="1" ht="12.75" hidden="1">
      <c r="A120" s="918"/>
      <c r="B120" s="919"/>
      <c r="C120" s="919"/>
      <c r="D120" s="920"/>
      <c r="E120" s="918"/>
      <c r="F120" s="89" t="s">
        <v>15</v>
      </c>
      <c r="G120" s="90">
        <f>G118+G119</f>
        <v>100000</v>
      </c>
      <c r="H120" s="921"/>
      <c r="I120" s="90">
        <f>I118+I119</f>
        <v>100000</v>
      </c>
      <c r="J120" s="90">
        <f>J118+J119</f>
        <v>100000</v>
      </c>
      <c r="K120" s="90">
        <f>K118+K119</f>
        <v>0</v>
      </c>
      <c r="L120" s="920"/>
    </row>
    <row r="121" spans="1:12" s="88" customFormat="1" ht="12.75">
      <c r="A121" s="918">
        <v>13</v>
      </c>
      <c r="B121" s="919"/>
      <c r="C121" s="919" t="s">
        <v>257</v>
      </c>
      <c r="D121" s="920" t="s">
        <v>348</v>
      </c>
      <c r="E121" s="918">
        <v>2019</v>
      </c>
      <c r="F121" s="89" t="s">
        <v>13</v>
      </c>
      <c r="G121" s="90">
        <v>0</v>
      </c>
      <c r="H121" s="921" t="s">
        <v>76</v>
      </c>
      <c r="I121" s="90">
        <f>J121+K121</f>
        <v>0</v>
      </c>
      <c r="J121" s="90">
        <v>0</v>
      </c>
      <c r="K121" s="90">
        <v>0</v>
      </c>
      <c r="L121" s="920" t="s">
        <v>347</v>
      </c>
    </row>
    <row r="122" spans="1:12" s="88" customFormat="1" ht="12.75">
      <c r="A122" s="918"/>
      <c r="B122" s="919"/>
      <c r="C122" s="919"/>
      <c r="D122" s="920"/>
      <c r="E122" s="918"/>
      <c r="F122" s="89" t="s">
        <v>14</v>
      </c>
      <c r="G122" s="90">
        <v>11110</v>
      </c>
      <c r="H122" s="921"/>
      <c r="I122" s="90">
        <f>J122+K122</f>
        <v>11110</v>
      </c>
      <c r="J122" s="90">
        <v>11110</v>
      </c>
      <c r="K122" s="90"/>
      <c r="L122" s="920"/>
    </row>
    <row r="123" spans="1:12" s="88" customFormat="1" ht="12.75">
      <c r="A123" s="918"/>
      <c r="B123" s="919"/>
      <c r="C123" s="919"/>
      <c r="D123" s="920"/>
      <c r="E123" s="918"/>
      <c r="F123" s="89" t="s">
        <v>15</v>
      </c>
      <c r="G123" s="90">
        <f>G121+G122</f>
        <v>11110</v>
      </c>
      <c r="H123" s="921"/>
      <c r="I123" s="90">
        <f>I121+I122</f>
        <v>11110</v>
      </c>
      <c r="J123" s="90">
        <f>J121+J122</f>
        <v>11110</v>
      </c>
      <c r="K123" s="90">
        <f>K121+K122</f>
        <v>0</v>
      </c>
      <c r="L123" s="920"/>
    </row>
    <row r="124" spans="1:12" s="88" customFormat="1" ht="12.75">
      <c r="A124" s="918">
        <v>14</v>
      </c>
      <c r="B124" s="919"/>
      <c r="C124" s="919" t="s">
        <v>257</v>
      </c>
      <c r="D124" s="920" t="s">
        <v>352</v>
      </c>
      <c r="E124" s="918">
        <v>2019</v>
      </c>
      <c r="F124" s="89" t="s">
        <v>13</v>
      </c>
      <c r="G124" s="90">
        <v>0</v>
      </c>
      <c r="H124" s="921" t="s">
        <v>76</v>
      </c>
      <c r="I124" s="90">
        <f>J124+K124</f>
        <v>0</v>
      </c>
      <c r="J124" s="90">
        <v>0</v>
      </c>
      <c r="K124" s="90">
        <v>0</v>
      </c>
      <c r="L124" s="920" t="s">
        <v>347</v>
      </c>
    </row>
    <row r="125" spans="1:12" s="88" customFormat="1" ht="12.75">
      <c r="A125" s="918"/>
      <c r="B125" s="919"/>
      <c r="C125" s="919"/>
      <c r="D125" s="920"/>
      <c r="E125" s="918"/>
      <c r="F125" s="89" t="s">
        <v>14</v>
      </c>
      <c r="G125" s="90">
        <v>289000</v>
      </c>
      <c r="H125" s="921"/>
      <c r="I125" s="90">
        <f>J125+K125</f>
        <v>289000</v>
      </c>
      <c r="J125" s="90">
        <v>289000</v>
      </c>
      <c r="K125" s="90"/>
      <c r="L125" s="920"/>
    </row>
    <row r="126" spans="1:12" s="88" customFormat="1" ht="12.75">
      <c r="A126" s="918"/>
      <c r="B126" s="919"/>
      <c r="C126" s="919"/>
      <c r="D126" s="920"/>
      <c r="E126" s="918"/>
      <c r="F126" s="89" t="s">
        <v>15</v>
      </c>
      <c r="G126" s="90">
        <f>G124+G125</f>
        <v>289000</v>
      </c>
      <c r="H126" s="921"/>
      <c r="I126" s="90">
        <f>I124+I125</f>
        <v>289000</v>
      </c>
      <c r="J126" s="90">
        <f>J124+J125</f>
        <v>289000</v>
      </c>
      <c r="K126" s="90">
        <f>K124+K125</f>
        <v>0</v>
      </c>
      <c r="L126" s="920"/>
    </row>
    <row r="127" spans="1:12" s="88" customFormat="1" ht="12.75" hidden="1">
      <c r="A127" s="918">
        <v>17</v>
      </c>
      <c r="B127" s="919"/>
      <c r="C127" s="919" t="s">
        <v>260</v>
      </c>
      <c r="D127" s="920" t="s">
        <v>261</v>
      </c>
      <c r="E127" s="918">
        <v>2019</v>
      </c>
      <c r="F127" s="89" t="s">
        <v>13</v>
      </c>
      <c r="G127" s="90">
        <v>100000</v>
      </c>
      <c r="H127" s="921" t="s">
        <v>76</v>
      </c>
      <c r="I127" s="90">
        <f>J127+K127</f>
        <v>100000</v>
      </c>
      <c r="J127" s="90">
        <v>100000</v>
      </c>
      <c r="K127" s="90">
        <v>0</v>
      </c>
      <c r="L127" s="920" t="s">
        <v>229</v>
      </c>
    </row>
    <row r="128" spans="1:12" s="88" customFormat="1" ht="12.75" hidden="1">
      <c r="A128" s="918"/>
      <c r="B128" s="919"/>
      <c r="C128" s="919"/>
      <c r="D128" s="920"/>
      <c r="E128" s="918"/>
      <c r="F128" s="89" t="s">
        <v>14</v>
      </c>
      <c r="G128" s="90"/>
      <c r="H128" s="921"/>
      <c r="I128" s="90">
        <f>J128+K128</f>
        <v>0</v>
      </c>
      <c r="J128" s="90"/>
      <c r="K128" s="90"/>
      <c r="L128" s="920"/>
    </row>
    <row r="129" spans="1:12" s="88" customFormat="1" ht="12.75" hidden="1">
      <c r="A129" s="918"/>
      <c r="B129" s="919"/>
      <c r="C129" s="919"/>
      <c r="D129" s="920"/>
      <c r="E129" s="918"/>
      <c r="F129" s="89" t="s">
        <v>15</v>
      </c>
      <c r="G129" s="90">
        <f>G127+G128</f>
        <v>100000</v>
      </c>
      <c r="H129" s="921"/>
      <c r="I129" s="90">
        <f>I127+I128</f>
        <v>100000</v>
      </c>
      <c r="J129" s="90">
        <f>J127+J128</f>
        <v>100000</v>
      </c>
      <c r="K129" s="90">
        <f>K127+K128</f>
        <v>0</v>
      </c>
      <c r="L129" s="920"/>
    </row>
    <row r="130" spans="1:12" s="85" customFormat="1" ht="12.75" hidden="1">
      <c r="A130" s="924"/>
      <c r="B130" s="922" t="s">
        <v>262</v>
      </c>
      <c r="C130" s="922"/>
      <c r="D130" s="927" t="s">
        <v>263</v>
      </c>
      <c r="E130" s="924" t="s">
        <v>76</v>
      </c>
      <c r="F130" s="86" t="s">
        <v>13</v>
      </c>
      <c r="G130" s="87">
        <f>G133</f>
        <v>2000000</v>
      </c>
      <c r="H130" s="925" t="str">
        <f>H133</f>
        <v>x</v>
      </c>
      <c r="I130" s="87">
        <f>I133</f>
        <v>2000000</v>
      </c>
      <c r="J130" s="87">
        <f>J133</f>
        <v>2000000</v>
      </c>
      <c r="K130" s="87">
        <f>K133</f>
        <v>0</v>
      </c>
      <c r="L130" s="924" t="s">
        <v>76</v>
      </c>
    </row>
    <row r="131" spans="1:12" s="85" customFormat="1" ht="14.25" customHeight="1" hidden="1">
      <c r="A131" s="924"/>
      <c r="B131" s="922"/>
      <c r="C131" s="922"/>
      <c r="D131" s="927"/>
      <c r="E131" s="924"/>
      <c r="F131" s="86" t="s">
        <v>14</v>
      </c>
      <c r="G131" s="87">
        <f>G134</f>
        <v>0</v>
      </c>
      <c r="H131" s="925"/>
      <c r="I131" s="87">
        <f>I134</f>
        <v>0</v>
      </c>
      <c r="J131" s="87">
        <f>J134</f>
        <v>0</v>
      </c>
      <c r="K131" s="87">
        <f>K134</f>
        <v>0</v>
      </c>
      <c r="L131" s="924"/>
    </row>
    <row r="132" spans="1:12" s="85" customFormat="1" ht="14.25" customHeight="1" hidden="1" thickBot="1">
      <c r="A132" s="924"/>
      <c r="B132" s="922"/>
      <c r="C132" s="922"/>
      <c r="D132" s="927"/>
      <c r="E132" s="924"/>
      <c r="F132" s="86" t="s">
        <v>15</v>
      </c>
      <c r="G132" s="87">
        <f>G130+G131</f>
        <v>2000000</v>
      </c>
      <c r="H132" s="925"/>
      <c r="I132" s="87">
        <f>I130+I131</f>
        <v>2000000</v>
      </c>
      <c r="J132" s="87">
        <f>J130+J131</f>
        <v>2000000</v>
      </c>
      <c r="K132" s="87">
        <f>K130+K131</f>
        <v>0</v>
      </c>
      <c r="L132" s="924"/>
    </row>
    <row r="133" spans="1:12" s="88" customFormat="1" ht="12.75" hidden="1">
      <c r="A133" s="918">
        <v>18</v>
      </c>
      <c r="B133" s="919"/>
      <c r="C133" s="919" t="s">
        <v>264</v>
      </c>
      <c r="D133" s="920" t="s">
        <v>265</v>
      </c>
      <c r="E133" s="918">
        <v>2019</v>
      </c>
      <c r="F133" s="89" t="s">
        <v>13</v>
      </c>
      <c r="G133" s="90">
        <v>2000000</v>
      </c>
      <c r="H133" s="921" t="s">
        <v>76</v>
      </c>
      <c r="I133" s="90">
        <f>J133+K133</f>
        <v>2000000</v>
      </c>
      <c r="J133" s="90">
        <v>2000000</v>
      </c>
      <c r="K133" s="90">
        <v>0</v>
      </c>
      <c r="L133" s="920" t="s">
        <v>229</v>
      </c>
    </row>
    <row r="134" spans="1:12" s="88" customFormat="1" ht="12.75" hidden="1">
      <c r="A134" s="918"/>
      <c r="B134" s="919"/>
      <c r="C134" s="919"/>
      <c r="D134" s="920"/>
      <c r="E134" s="918"/>
      <c r="F134" s="89" t="s">
        <v>14</v>
      </c>
      <c r="G134" s="90"/>
      <c r="H134" s="921"/>
      <c r="I134" s="90">
        <f>J134+K134</f>
        <v>0</v>
      </c>
      <c r="J134" s="90"/>
      <c r="K134" s="90"/>
      <c r="L134" s="920"/>
    </row>
    <row r="135" spans="1:12" s="88" customFormat="1" ht="12.75" hidden="1">
      <c r="A135" s="918"/>
      <c r="B135" s="919"/>
      <c r="C135" s="919"/>
      <c r="D135" s="920"/>
      <c r="E135" s="918"/>
      <c r="F135" s="89" t="s">
        <v>15</v>
      </c>
      <c r="G135" s="90">
        <f>G133+G134</f>
        <v>2000000</v>
      </c>
      <c r="H135" s="921"/>
      <c r="I135" s="90">
        <f>I133+I134</f>
        <v>2000000</v>
      </c>
      <c r="J135" s="90">
        <f>J133+J134</f>
        <v>2000000</v>
      </c>
      <c r="K135" s="90">
        <f>K133+K134</f>
        <v>0</v>
      </c>
      <c r="L135" s="920"/>
    </row>
    <row r="136" spans="1:12" ht="12.75">
      <c r="A136" s="725"/>
      <c r="B136" s="729"/>
      <c r="C136" s="730"/>
      <c r="D136" s="695"/>
      <c r="E136" s="89"/>
      <c r="F136" s="89"/>
      <c r="G136" s="90"/>
      <c r="H136" s="694"/>
      <c r="I136" s="90"/>
      <c r="J136" s="90"/>
      <c r="K136" s="90"/>
      <c r="L136" s="697"/>
    </row>
    <row r="137" spans="1:12" s="85" customFormat="1" ht="18.75" customHeight="1">
      <c r="A137" s="931" t="s">
        <v>266</v>
      </c>
      <c r="B137" s="931"/>
      <c r="C137" s="931"/>
      <c r="D137" s="931"/>
      <c r="E137" s="932" t="s">
        <v>76</v>
      </c>
      <c r="F137" s="82" t="s">
        <v>13</v>
      </c>
      <c r="G137" s="731">
        <f>G19+G25+G37+G43+G49+G73+G82+G94+G100+G130+G67</f>
        <v>24521787</v>
      </c>
      <c r="H137" s="933" t="s">
        <v>76</v>
      </c>
      <c r="I137" s="731">
        <f aca="true" t="shared" si="11" ref="I137:K138">I19+I25+I37+I43+I49+I73+I82+I94+I100+I130+I67</f>
        <v>24521787</v>
      </c>
      <c r="J137" s="731">
        <f t="shared" si="11"/>
        <v>18521787</v>
      </c>
      <c r="K137" s="731">
        <f t="shared" si="11"/>
        <v>6000000</v>
      </c>
      <c r="L137" s="931" t="s">
        <v>76</v>
      </c>
    </row>
    <row r="138" spans="1:12" s="85" customFormat="1" ht="18.75" customHeight="1">
      <c r="A138" s="931"/>
      <c r="B138" s="931"/>
      <c r="C138" s="931"/>
      <c r="D138" s="931"/>
      <c r="E138" s="932"/>
      <c r="F138" s="82" t="s">
        <v>14</v>
      </c>
      <c r="G138" s="731">
        <f>G20+G26+G38+G44+G50+G74+G83+G95+G101+G131+G68</f>
        <v>1439401</v>
      </c>
      <c r="H138" s="933"/>
      <c r="I138" s="731">
        <f t="shared" si="11"/>
        <v>1439401</v>
      </c>
      <c r="J138" s="731">
        <f t="shared" si="11"/>
        <v>1439401</v>
      </c>
      <c r="K138" s="731">
        <f t="shared" si="11"/>
        <v>0</v>
      </c>
      <c r="L138" s="931"/>
    </row>
    <row r="139" spans="1:12" s="85" customFormat="1" ht="18.75" customHeight="1">
      <c r="A139" s="931"/>
      <c r="B139" s="931"/>
      <c r="C139" s="931"/>
      <c r="D139" s="931"/>
      <c r="E139" s="932"/>
      <c r="F139" s="82" t="s">
        <v>15</v>
      </c>
      <c r="G139" s="731">
        <f>G137+G138</f>
        <v>25961188</v>
      </c>
      <c r="H139" s="933"/>
      <c r="I139" s="731">
        <f>I137+I138</f>
        <v>25961188</v>
      </c>
      <c r="J139" s="731">
        <f>J137+J138</f>
        <v>19961188</v>
      </c>
      <c r="K139" s="731">
        <f>K137+K138</f>
        <v>6000000</v>
      </c>
      <c r="L139" s="931"/>
    </row>
    <row r="140" spans="1:12" ht="12.75">
      <c r="A140" s="934"/>
      <c r="B140" s="934"/>
      <c r="C140" s="934"/>
      <c r="D140" s="934"/>
      <c r="E140" s="934"/>
      <c r="F140" s="934"/>
      <c r="G140" s="934"/>
      <c r="H140" s="934"/>
      <c r="I140" s="934"/>
      <c r="J140" s="934"/>
      <c r="K140" s="934"/>
      <c r="L140" s="934"/>
    </row>
    <row r="141" spans="1:12" s="84" customFormat="1" ht="15.75">
      <c r="A141" s="82" t="s">
        <v>267</v>
      </c>
      <c r="B141" s="935" t="s">
        <v>268</v>
      </c>
      <c r="C141" s="935"/>
      <c r="D141" s="935"/>
      <c r="E141" s="935"/>
      <c r="F141" s="935"/>
      <c r="G141" s="935"/>
      <c r="H141" s="935"/>
      <c r="I141" s="935"/>
      <c r="J141" s="935"/>
      <c r="K141" s="935"/>
      <c r="L141" s="935"/>
    </row>
    <row r="142" spans="1:12" ht="12.75">
      <c r="A142" s="725"/>
      <c r="B142" s="729"/>
      <c r="C142" s="730"/>
      <c r="D142" s="695"/>
      <c r="E142" s="89"/>
      <c r="F142" s="89"/>
      <c r="G142" s="90"/>
      <c r="H142" s="694"/>
      <c r="I142" s="90"/>
      <c r="J142" s="90"/>
      <c r="K142" s="90"/>
      <c r="L142" s="697"/>
    </row>
    <row r="143" spans="1:12" s="85" customFormat="1" ht="12.75">
      <c r="A143" s="924"/>
      <c r="B143" s="922" t="s">
        <v>16</v>
      </c>
      <c r="C143" s="922"/>
      <c r="D143" s="923" t="s">
        <v>17</v>
      </c>
      <c r="E143" s="924" t="s">
        <v>76</v>
      </c>
      <c r="F143" s="86" t="s">
        <v>13</v>
      </c>
      <c r="G143" s="87">
        <f aca="true" t="shared" si="12" ref="G143:K144">G146</f>
        <v>799384</v>
      </c>
      <c r="H143" s="87">
        <f t="shared" si="12"/>
        <v>777339</v>
      </c>
      <c r="I143" s="87">
        <f t="shared" si="12"/>
        <v>22045</v>
      </c>
      <c r="J143" s="87">
        <f t="shared" si="12"/>
        <v>22045</v>
      </c>
      <c r="K143" s="87">
        <f t="shared" si="12"/>
        <v>0</v>
      </c>
      <c r="L143" s="924" t="s">
        <v>76</v>
      </c>
    </row>
    <row r="144" spans="1:12" s="85" customFormat="1" ht="14.25" customHeight="1">
      <c r="A144" s="924"/>
      <c r="B144" s="922"/>
      <c r="C144" s="922"/>
      <c r="D144" s="923"/>
      <c r="E144" s="924"/>
      <c r="F144" s="86" t="s">
        <v>14</v>
      </c>
      <c r="G144" s="87">
        <f t="shared" si="12"/>
        <v>-45703</v>
      </c>
      <c r="H144" s="87">
        <f t="shared" si="12"/>
        <v>-89964</v>
      </c>
      <c r="I144" s="87">
        <f t="shared" si="12"/>
        <v>44261</v>
      </c>
      <c r="J144" s="87">
        <f t="shared" si="12"/>
        <v>44261</v>
      </c>
      <c r="K144" s="87">
        <f t="shared" si="12"/>
        <v>0</v>
      </c>
      <c r="L144" s="924"/>
    </row>
    <row r="145" spans="1:12" s="85" customFormat="1" ht="14.25" customHeight="1">
      <c r="A145" s="924"/>
      <c r="B145" s="922"/>
      <c r="C145" s="922"/>
      <c r="D145" s="923"/>
      <c r="E145" s="924"/>
      <c r="F145" s="86" t="s">
        <v>15</v>
      </c>
      <c r="G145" s="87">
        <f>G143+G144</f>
        <v>753681</v>
      </c>
      <c r="H145" s="87">
        <f>H143+H144</f>
        <v>687375</v>
      </c>
      <c r="I145" s="87">
        <f>I143+I144</f>
        <v>66306</v>
      </c>
      <c r="J145" s="87">
        <f>J143+J144</f>
        <v>66306</v>
      </c>
      <c r="K145" s="87">
        <f>K143+K144</f>
        <v>0</v>
      </c>
      <c r="L145" s="924"/>
    </row>
    <row r="146" spans="1:12" s="88" customFormat="1" ht="20.25" customHeight="1">
      <c r="A146" s="918">
        <v>1</v>
      </c>
      <c r="B146" s="919"/>
      <c r="C146" s="919" t="s">
        <v>66</v>
      </c>
      <c r="D146" s="926" t="s">
        <v>269</v>
      </c>
      <c r="E146" s="918" t="s">
        <v>270</v>
      </c>
      <c r="F146" s="89" t="s">
        <v>13</v>
      </c>
      <c r="G146" s="90">
        <v>799384</v>
      </c>
      <c r="H146" s="91">
        <f>799384-22045</f>
        <v>777339</v>
      </c>
      <c r="I146" s="90">
        <f>J146+K146</f>
        <v>22045</v>
      </c>
      <c r="J146" s="90">
        <v>22045</v>
      </c>
      <c r="K146" s="90"/>
      <c r="L146" s="920" t="s">
        <v>229</v>
      </c>
    </row>
    <row r="147" spans="1:12" s="88" customFormat="1" ht="20.25" customHeight="1">
      <c r="A147" s="918"/>
      <c r="B147" s="919"/>
      <c r="C147" s="919"/>
      <c r="D147" s="926"/>
      <c r="E147" s="918"/>
      <c r="F147" s="89" t="s">
        <v>14</v>
      </c>
      <c r="G147" s="90">
        <v>-45703</v>
      </c>
      <c r="H147" s="91">
        <v>-89964</v>
      </c>
      <c r="I147" s="90">
        <f>J147+K147</f>
        <v>44261</v>
      </c>
      <c r="J147" s="90">
        <v>44261</v>
      </c>
      <c r="K147" s="90"/>
      <c r="L147" s="920"/>
    </row>
    <row r="148" spans="1:12" s="88" customFormat="1" ht="20.25" customHeight="1">
      <c r="A148" s="918"/>
      <c r="B148" s="919"/>
      <c r="C148" s="919"/>
      <c r="D148" s="926"/>
      <c r="E148" s="918"/>
      <c r="F148" s="89" t="s">
        <v>15</v>
      </c>
      <c r="G148" s="90">
        <f>G146+G147</f>
        <v>753681</v>
      </c>
      <c r="H148" s="90">
        <f>H146+H147</f>
        <v>687375</v>
      </c>
      <c r="I148" s="90">
        <f>I146+I147</f>
        <v>66306</v>
      </c>
      <c r="J148" s="90">
        <f>J146+J147</f>
        <v>66306</v>
      </c>
      <c r="K148" s="90">
        <f>K146+K147</f>
        <v>0</v>
      </c>
      <c r="L148" s="920"/>
    </row>
    <row r="149" spans="1:12" s="85" customFormat="1" ht="15.75" customHeight="1">
      <c r="A149" s="924"/>
      <c r="B149" s="922" t="s">
        <v>339</v>
      </c>
      <c r="C149" s="922"/>
      <c r="D149" s="927" t="s">
        <v>340</v>
      </c>
      <c r="E149" s="924" t="s">
        <v>76</v>
      </c>
      <c r="F149" s="86" t="s">
        <v>13</v>
      </c>
      <c r="G149" s="87">
        <f aca="true" t="shared" si="13" ref="G149:K150">G152</f>
        <v>0</v>
      </c>
      <c r="H149" s="87">
        <f t="shared" si="13"/>
        <v>0</v>
      </c>
      <c r="I149" s="87">
        <f t="shared" si="13"/>
        <v>0</v>
      </c>
      <c r="J149" s="87">
        <f t="shared" si="13"/>
        <v>0</v>
      </c>
      <c r="K149" s="87">
        <f t="shared" si="13"/>
        <v>0</v>
      </c>
      <c r="L149" s="924" t="s">
        <v>76</v>
      </c>
    </row>
    <row r="150" spans="1:12" s="85" customFormat="1" ht="15.75" customHeight="1">
      <c r="A150" s="924"/>
      <c r="B150" s="922"/>
      <c r="C150" s="922"/>
      <c r="D150" s="927"/>
      <c r="E150" s="924"/>
      <c r="F150" s="86" t="s">
        <v>14</v>
      </c>
      <c r="G150" s="87">
        <f t="shared" si="13"/>
        <v>140106</v>
      </c>
      <c r="H150" s="87">
        <f t="shared" si="13"/>
        <v>121813</v>
      </c>
      <c r="I150" s="87">
        <f t="shared" si="13"/>
        <v>18293</v>
      </c>
      <c r="J150" s="87">
        <f t="shared" si="13"/>
        <v>18293</v>
      </c>
      <c r="K150" s="87">
        <f t="shared" si="13"/>
        <v>0</v>
      </c>
      <c r="L150" s="924"/>
    </row>
    <row r="151" spans="1:12" s="85" customFormat="1" ht="15.75" customHeight="1">
      <c r="A151" s="924"/>
      <c r="B151" s="922"/>
      <c r="C151" s="922"/>
      <c r="D151" s="927"/>
      <c r="E151" s="924"/>
      <c r="F151" s="86" t="s">
        <v>15</v>
      </c>
      <c r="G151" s="87">
        <f>G149+G150</f>
        <v>140106</v>
      </c>
      <c r="H151" s="87">
        <f>H149+H150</f>
        <v>121813</v>
      </c>
      <c r="I151" s="87">
        <f>I149+I150</f>
        <v>18293</v>
      </c>
      <c r="J151" s="87">
        <f>J149+J150</f>
        <v>18293</v>
      </c>
      <c r="K151" s="87">
        <f>K149+K150</f>
        <v>0</v>
      </c>
      <c r="L151" s="924"/>
    </row>
    <row r="152" spans="1:12" s="88" customFormat="1" ht="20.25" customHeight="1">
      <c r="A152" s="918">
        <v>2</v>
      </c>
      <c r="B152" s="919"/>
      <c r="C152" s="919" t="s">
        <v>341</v>
      </c>
      <c r="D152" s="926" t="s">
        <v>269</v>
      </c>
      <c r="E152" s="918" t="s">
        <v>270</v>
      </c>
      <c r="F152" s="89" t="s">
        <v>13</v>
      </c>
      <c r="G152" s="90">
        <v>0</v>
      </c>
      <c r="H152" s="91">
        <v>0</v>
      </c>
      <c r="I152" s="90">
        <f>J152+K152</f>
        <v>0</v>
      </c>
      <c r="J152" s="90">
        <v>0</v>
      </c>
      <c r="K152" s="90"/>
      <c r="L152" s="920" t="s">
        <v>229</v>
      </c>
    </row>
    <row r="153" spans="1:12" s="88" customFormat="1" ht="20.25" customHeight="1">
      <c r="A153" s="918"/>
      <c r="B153" s="919"/>
      <c r="C153" s="919"/>
      <c r="D153" s="926"/>
      <c r="E153" s="918"/>
      <c r="F153" s="89" t="s">
        <v>14</v>
      </c>
      <c r="G153" s="90">
        <v>140106</v>
      </c>
      <c r="H153" s="91">
        <v>121813</v>
      </c>
      <c r="I153" s="90">
        <f>J153+K153</f>
        <v>18293</v>
      </c>
      <c r="J153" s="90">
        <v>18293</v>
      </c>
      <c r="K153" s="90"/>
      <c r="L153" s="920"/>
    </row>
    <row r="154" spans="1:12" s="88" customFormat="1" ht="20.25" customHeight="1">
      <c r="A154" s="918"/>
      <c r="B154" s="919"/>
      <c r="C154" s="919"/>
      <c r="D154" s="926"/>
      <c r="E154" s="918"/>
      <c r="F154" s="89" t="s">
        <v>15</v>
      </c>
      <c r="G154" s="90">
        <f>G152+G153</f>
        <v>140106</v>
      </c>
      <c r="H154" s="90">
        <f>H152+H153</f>
        <v>121813</v>
      </c>
      <c r="I154" s="90">
        <f>I152+I153</f>
        <v>18293</v>
      </c>
      <c r="J154" s="90">
        <f>J152+J153</f>
        <v>18293</v>
      </c>
      <c r="K154" s="90">
        <f>K152+K153</f>
        <v>0</v>
      </c>
      <c r="L154" s="920"/>
    </row>
    <row r="155" spans="1:12" s="85" customFormat="1" ht="15.75" customHeight="1">
      <c r="A155" s="924"/>
      <c r="B155" s="922" t="s">
        <v>19</v>
      </c>
      <c r="C155" s="922"/>
      <c r="D155" s="923" t="s">
        <v>20</v>
      </c>
      <c r="E155" s="924" t="s">
        <v>76</v>
      </c>
      <c r="F155" s="86" t="s">
        <v>13</v>
      </c>
      <c r="G155" s="87">
        <f aca="true" t="shared" si="14" ref="G155:K156">G158+G161+G164+G167+G179+G182+G170+G173+G176</f>
        <v>100234498</v>
      </c>
      <c r="H155" s="87">
        <f t="shared" si="14"/>
        <v>41914498</v>
      </c>
      <c r="I155" s="87">
        <f t="shared" si="14"/>
        <v>28500000</v>
      </c>
      <c r="J155" s="87">
        <f t="shared" si="14"/>
        <v>28200000</v>
      </c>
      <c r="K155" s="87">
        <f t="shared" si="14"/>
        <v>300000</v>
      </c>
      <c r="L155" s="924" t="s">
        <v>76</v>
      </c>
    </row>
    <row r="156" spans="1:12" s="85" customFormat="1" ht="15.75" customHeight="1">
      <c r="A156" s="924"/>
      <c r="B156" s="922"/>
      <c r="C156" s="922"/>
      <c r="D156" s="923"/>
      <c r="E156" s="924"/>
      <c r="F156" s="86" t="s">
        <v>14</v>
      </c>
      <c r="G156" s="87">
        <f t="shared" si="14"/>
        <v>12017771</v>
      </c>
      <c r="H156" s="87">
        <f t="shared" si="14"/>
        <v>-4369826</v>
      </c>
      <c r="I156" s="87">
        <f t="shared" si="14"/>
        <v>11345998</v>
      </c>
      <c r="J156" s="87">
        <f t="shared" si="14"/>
        <v>10867773</v>
      </c>
      <c r="K156" s="87">
        <f t="shared" si="14"/>
        <v>478225</v>
      </c>
      <c r="L156" s="924"/>
    </row>
    <row r="157" spans="1:12" s="85" customFormat="1" ht="15.75" customHeight="1">
      <c r="A157" s="924"/>
      <c r="B157" s="922"/>
      <c r="C157" s="922"/>
      <c r="D157" s="923"/>
      <c r="E157" s="924"/>
      <c r="F157" s="86" t="s">
        <v>15</v>
      </c>
      <c r="G157" s="87">
        <f>G155+G156</f>
        <v>112252269</v>
      </c>
      <c r="H157" s="87">
        <f>H155+H156</f>
        <v>37544672</v>
      </c>
      <c r="I157" s="87">
        <f>I155+I156</f>
        <v>39845998</v>
      </c>
      <c r="J157" s="87">
        <f>J155+J156</f>
        <v>39067773</v>
      </c>
      <c r="K157" s="87">
        <f>K155+K156</f>
        <v>778225</v>
      </c>
      <c r="L157" s="924"/>
    </row>
    <row r="158" spans="1:12" s="88" customFormat="1" ht="21" customHeight="1">
      <c r="A158" s="918">
        <v>3</v>
      </c>
      <c r="B158" s="919"/>
      <c r="C158" s="919" t="s">
        <v>121</v>
      </c>
      <c r="D158" s="920" t="s">
        <v>271</v>
      </c>
      <c r="E158" s="918" t="s">
        <v>272</v>
      </c>
      <c r="F158" s="89" t="s">
        <v>13</v>
      </c>
      <c r="G158" s="90">
        <v>358902</v>
      </c>
      <c r="H158" s="91">
        <f>30000+78902</f>
        <v>108902</v>
      </c>
      <c r="I158" s="90">
        <f>J158+K158</f>
        <v>250000</v>
      </c>
      <c r="J158" s="90">
        <v>250000</v>
      </c>
      <c r="K158" s="90">
        <v>0</v>
      </c>
      <c r="L158" s="920" t="s">
        <v>229</v>
      </c>
    </row>
    <row r="159" spans="1:12" s="88" customFormat="1" ht="21" customHeight="1">
      <c r="A159" s="918"/>
      <c r="B159" s="919"/>
      <c r="C159" s="919"/>
      <c r="D159" s="920"/>
      <c r="E159" s="918"/>
      <c r="F159" s="89" t="s">
        <v>14</v>
      </c>
      <c r="G159" s="90">
        <v>95587</v>
      </c>
      <c r="H159" s="91">
        <v>-4413</v>
      </c>
      <c r="I159" s="90">
        <f>J159+K159</f>
        <v>100000</v>
      </c>
      <c r="J159" s="90">
        <v>100000</v>
      </c>
      <c r="K159" s="90"/>
      <c r="L159" s="920"/>
    </row>
    <row r="160" spans="1:12" s="88" customFormat="1" ht="21" customHeight="1">
      <c r="A160" s="918"/>
      <c r="B160" s="919"/>
      <c r="C160" s="919"/>
      <c r="D160" s="920"/>
      <c r="E160" s="918"/>
      <c r="F160" s="89" t="s">
        <v>15</v>
      </c>
      <c r="G160" s="90">
        <f>G158+G159</f>
        <v>454489</v>
      </c>
      <c r="H160" s="90">
        <f>H158+H159</f>
        <v>104489</v>
      </c>
      <c r="I160" s="90">
        <f>I158+I159</f>
        <v>350000</v>
      </c>
      <c r="J160" s="90">
        <f>J158+J159</f>
        <v>350000</v>
      </c>
      <c r="K160" s="90">
        <f>K158+K159</f>
        <v>0</v>
      </c>
      <c r="L160" s="920"/>
    </row>
    <row r="161" spans="1:12" s="88" customFormat="1" ht="15" customHeight="1">
      <c r="A161" s="918">
        <v>4</v>
      </c>
      <c r="B161" s="919"/>
      <c r="C161" s="919" t="s">
        <v>21</v>
      </c>
      <c r="D161" s="920" t="s">
        <v>273</v>
      </c>
      <c r="E161" s="918" t="s">
        <v>274</v>
      </c>
      <c r="F161" s="89" t="s">
        <v>13</v>
      </c>
      <c r="G161" s="90">
        <v>64825596</v>
      </c>
      <c r="H161" s="91">
        <f>5326038+28679558</f>
        <v>34005596</v>
      </c>
      <c r="I161" s="90">
        <f>J161+K161</f>
        <v>20000000</v>
      </c>
      <c r="J161" s="90">
        <v>20000000</v>
      </c>
      <c r="K161" s="90">
        <v>0</v>
      </c>
      <c r="L161" s="920" t="s">
        <v>275</v>
      </c>
    </row>
    <row r="162" spans="1:12" s="88" customFormat="1" ht="15" customHeight="1">
      <c r="A162" s="918"/>
      <c r="B162" s="919"/>
      <c r="C162" s="919"/>
      <c r="D162" s="920"/>
      <c r="E162" s="918"/>
      <c r="F162" s="89" t="s">
        <v>14</v>
      </c>
      <c r="G162" s="90">
        <v>2964407</v>
      </c>
      <c r="H162" s="91">
        <v>205329</v>
      </c>
      <c r="I162" s="90">
        <f>J162+K162</f>
        <v>1027479</v>
      </c>
      <c r="J162" s="90">
        <v>1027479</v>
      </c>
      <c r="K162" s="90"/>
      <c r="L162" s="920"/>
    </row>
    <row r="163" spans="1:12" s="88" customFormat="1" ht="15" customHeight="1">
      <c r="A163" s="918"/>
      <c r="B163" s="919"/>
      <c r="C163" s="919"/>
      <c r="D163" s="920"/>
      <c r="E163" s="918"/>
      <c r="F163" s="89" t="s">
        <v>15</v>
      </c>
      <c r="G163" s="90">
        <f>G161+G162</f>
        <v>67790003</v>
      </c>
      <c r="H163" s="90">
        <f>H161+H162</f>
        <v>34210925</v>
      </c>
      <c r="I163" s="90">
        <f>I161+I162</f>
        <v>21027479</v>
      </c>
      <c r="J163" s="90">
        <f>J161+J162</f>
        <v>21027479</v>
      </c>
      <c r="K163" s="90">
        <f>K161+K162</f>
        <v>0</v>
      </c>
      <c r="L163" s="920"/>
    </row>
    <row r="164" spans="1:12" s="88" customFormat="1" ht="21" customHeight="1" hidden="1">
      <c r="A164" s="918">
        <v>4</v>
      </c>
      <c r="B164" s="919"/>
      <c r="C164" s="919" t="s">
        <v>21</v>
      </c>
      <c r="D164" s="920" t="s">
        <v>276</v>
      </c>
      <c r="E164" s="918" t="s">
        <v>272</v>
      </c>
      <c r="F164" s="89" t="s">
        <v>13</v>
      </c>
      <c r="G164" s="90">
        <v>600000</v>
      </c>
      <c r="H164" s="91">
        <v>300000</v>
      </c>
      <c r="I164" s="90">
        <f>J164+K164</f>
        <v>300000</v>
      </c>
      <c r="J164" s="90">
        <v>0</v>
      </c>
      <c r="K164" s="90">
        <v>300000</v>
      </c>
      <c r="L164" s="920" t="s">
        <v>275</v>
      </c>
    </row>
    <row r="165" spans="1:12" s="88" customFormat="1" ht="21" customHeight="1" hidden="1">
      <c r="A165" s="918"/>
      <c r="B165" s="919"/>
      <c r="C165" s="919"/>
      <c r="D165" s="920"/>
      <c r="E165" s="918"/>
      <c r="F165" s="89" t="s">
        <v>14</v>
      </c>
      <c r="G165" s="90"/>
      <c r="H165" s="91"/>
      <c r="I165" s="90">
        <f>J165+K165</f>
        <v>0</v>
      </c>
      <c r="J165" s="90"/>
      <c r="K165" s="90"/>
      <c r="L165" s="920"/>
    </row>
    <row r="166" spans="1:12" s="88" customFormat="1" ht="21" customHeight="1" hidden="1">
      <c r="A166" s="918"/>
      <c r="B166" s="919"/>
      <c r="C166" s="919"/>
      <c r="D166" s="920"/>
      <c r="E166" s="918"/>
      <c r="F166" s="89" t="s">
        <v>15</v>
      </c>
      <c r="G166" s="90">
        <f>G164+G165</f>
        <v>600000</v>
      </c>
      <c r="H166" s="90">
        <f>H164+H165</f>
        <v>300000</v>
      </c>
      <c r="I166" s="90">
        <f>I164+I165</f>
        <v>300000</v>
      </c>
      <c r="J166" s="90">
        <f>J164+J165</f>
        <v>0</v>
      </c>
      <c r="K166" s="90">
        <f>K164+K165</f>
        <v>300000</v>
      </c>
      <c r="L166" s="920"/>
    </row>
    <row r="167" spans="1:12" s="88" customFormat="1" ht="12.75">
      <c r="A167" s="918">
        <v>5</v>
      </c>
      <c r="B167" s="919"/>
      <c r="C167" s="919" t="s">
        <v>21</v>
      </c>
      <c r="D167" s="920" t="s">
        <v>277</v>
      </c>
      <c r="E167" s="918" t="s">
        <v>278</v>
      </c>
      <c r="F167" s="89" t="s">
        <v>13</v>
      </c>
      <c r="G167" s="90">
        <v>14300000</v>
      </c>
      <c r="H167" s="91">
        <v>6300000</v>
      </c>
      <c r="I167" s="90">
        <f>J167+K167</f>
        <v>3000000</v>
      </c>
      <c r="J167" s="90">
        <v>3000000</v>
      </c>
      <c r="K167" s="90">
        <v>0</v>
      </c>
      <c r="L167" s="920" t="s">
        <v>275</v>
      </c>
    </row>
    <row r="168" spans="1:12" s="88" customFormat="1" ht="12.75">
      <c r="A168" s="918"/>
      <c r="B168" s="919"/>
      <c r="C168" s="919"/>
      <c r="D168" s="920"/>
      <c r="E168" s="918"/>
      <c r="F168" s="89" t="s">
        <v>14</v>
      </c>
      <c r="G168" s="90">
        <v>4789888</v>
      </c>
      <c r="H168" s="91">
        <v>-4860406</v>
      </c>
      <c r="I168" s="90">
        <f>J168+K168</f>
        <v>9650294</v>
      </c>
      <c r="J168" s="90">
        <v>9650294</v>
      </c>
      <c r="K168" s="90"/>
      <c r="L168" s="920"/>
    </row>
    <row r="169" spans="1:12" s="88" customFormat="1" ht="12.75">
      <c r="A169" s="918"/>
      <c r="B169" s="919"/>
      <c r="C169" s="919"/>
      <c r="D169" s="920"/>
      <c r="E169" s="918"/>
      <c r="F169" s="89" t="s">
        <v>15</v>
      </c>
      <c r="G169" s="90">
        <f>G167+G168</f>
        <v>19089888</v>
      </c>
      <c r="H169" s="90">
        <f>H167+H168</f>
        <v>1439594</v>
      </c>
      <c r="I169" s="90">
        <f>I167+I168</f>
        <v>12650294</v>
      </c>
      <c r="J169" s="90">
        <f>J167+J168</f>
        <v>12650294</v>
      </c>
      <c r="K169" s="90">
        <f>K167+K168</f>
        <v>0</v>
      </c>
      <c r="L169" s="920"/>
    </row>
    <row r="170" spans="1:12" s="88" customFormat="1" ht="19.5" customHeight="1">
      <c r="A170" s="918">
        <v>6</v>
      </c>
      <c r="B170" s="919"/>
      <c r="C170" s="919" t="s">
        <v>21</v>
      </c>
      <c r="D170" s="920" t="s">
        <v>353</v>
      </c>
      <c r="E170" s="918" t="s">
        <v>282</v>
      </c>
      <c r="F170" s="89" t="s">
        <v>13</v>
      </c>
      <c r="G170" s="90">
        <v>0</v>
      </c>
      <c r="H170" s="91">
        <v>0</v>
      </c>
      <c r="I170" s="90">
        <f>J170+K170</f>
        <v>0</v>
      </c>
      <c r="J170" s="90">
        <v>0</v>
      </c>
      <c r="K170" s="90">
        <v>0</v>
      </c>
      <c r="L170" s="920" t="s">
        <v>275</v>
      </c>
    </row>
    <row r="171" spans="1:12" s="88" customFormat="1" ht="19.5" customHeight="1">
      <c r="A171" s="918"/>
      <c r="B171" s="919"/>
      <c r="C171" s="919"/>
      <c r="D171" s="920"/>
      <c r="E171" s="918"/>
      <c r="F171" s="89" t="s">
        <v>14</v>
      </c>
      <c r="G171" s="90">
        <v>461250</v>
      </c>
      <c r="H171" s="91">
        <v>83025</v>
      </c>
      <c r="I171" s="90">
        <f>J171+K171</f>
        <v>378225</v>
      </c>
      <c r="J171" s="90"/>
      <c r="K171" s="90">
        <v>378225</v>
      </c>
      <c r="L171" s="920"/>
    </row>
    <row r="172" spans="1:12" s="88" customFormat="1" ht="19.5" customHeight="1">
      <c r="A172" s="918"/>
      <c r="B172" s="919"/>
      <c r="C172" s="919"/>
      <c r="D172" s="920"/>
      <c r="E172" s="918"/>
      <c r="F172" s="89" t="s">
        <v>15</v>
      </c>
      <c r="G172" s="90">
        <f>G170+G171</f>
        <v>461250</v>
      </c>
      <c r="H172" s="90">
        <f>H170+H171</f>
        <v>83025</v>
      </c>
      <c r="I172" s="90">
        <f>I170+I171</f>
        <v>378225</v>
      </c>
      <c r="J172" s="90">
        <f>J170+J171</f>
        <v>0</v>
      </c>
      <c r="K172" s="90">
        <f>K170+K171</f>
        <v>378225</v>
      </c>
      <c r="L172" s="920"/>
    </row>
    <row r="173" spans="1:12" s="88" customFormat="1" ht="24" customHeight="1">
      <c r="A173" s="918">
        <v>7</v>
      </c>
      <c r="B173" s="919"/>
      <c r="C173" s="919" t="s">
        <v>21</v>
      </c>
      <c r="D173" s="920" t="s">
        <v>354</v>
      </c>
      <c r="E173" s="918" t="s">
        <v>282</v>
      </c>
      <c r="F173" s="89" t="s">
        <v>13</v>
      </c>
      <c r="G173" s="90">
        <v>0</v>
      </c>
      <c r="H173" s="91">
        <v>0</v>
      </c>
      <c r="I173" s="90">
        <f>J173+K173</f>
        <v>0</v>
      </c>
      <c r="J173" s="90">
        <v>0</v>
      </c>
      <c r="K173" s="90">
        <v>0</v>
      </c>
      <c r="L173" s="920" t="s">
        <v>275</v>
      </c>
    </row>
    <row r="174" spans="1:12" s="88" customFormat="1" ht="24" customHeight="1">
      <c r="A174" s="918"/>
      <c r="B174" s="919"/>
      <c r="C174" s="919"/>
      <c r="D174" s="920"/>
      <c r="E174" s="918"/>
      <c r="F174" s="89" t="s">
        <v>14</v>
      </c>
      <c r="G174" s="90">
        <v>306639</v>
      </c>
      <c r="H174" s="91">
        <v>206639</v>
      </c>
      <c r="I174" s="90">
        <f>J174+K174</f>
        <v>100000</v>
      </c>
      <c r="J174" s="90"/>
      <c r="K174" s="90">
        <v>100000</v>
      </c>
      <c r="L174" s="920"/>
    </row>
    <row r="175" spans="1:12" s="88" customFormat="1" ht="24" customHeight="1">
      <c r="A175" s="918"/>
      <c r="B175" s="919"/>
      <c r="C175" s="919"/>
      <c r="D175" s="920"/>
      <c r="E175" s="918"/>
      <c r="F175" s="89" t="s">
        <v>15</v>
      </c>
      <c r="G175" s="90">
        <f>G173+G174</f>
        <v>306639</v>
      </c>
      <c r="H175" s="90">
        <f>H173+H174</f>
        <v>206639</v>
      </c>
      <c r="I175" s="90">
        <f>I173+I174</f>
        <v>100000</v>
      </c>
      <c r="J175" s="90">
        <f>J173+J174</f>
        <v>0</v>
      </c>
      <c r="K175" s="90">
        <f>K173+K174</f>
        <v>100000</v>
      </c>
      <c r="L175" s="920"/>
    </row>
    <row r="176" spans="1:12" s="88" customFormat="1" ht="15" customHeight="1">
      <c r="A176" s="918">
        <v>8</v>
      </c>
      <c r="B176" s="919"/>
      <c r="C176" s="919" t="s">
        <v>21</v>
      </c>
      <c r="D176" s="920" t="s">
        <v>413</v>
      </c>
      <c r="E176" s="918" t="s">
        <v>355</v>
      </c>
      <c r="F176" s="89" t="s">
        <v>13</v>
      </c>
      <c r="G176" s="90">
        <v>0</v>
      </c>
      <c r="H176" s="91">
        <v>0</v>
      </c>
      <c r="I176" s="90">
        <f>J176+K176</f>
        <v>0</v>
      </c>
      <c r="J176" s="90">
        <v>0</v>
      </c>
      <c r="K176" s="90">
        <v>0</v>
      </c>
      <c r="L176" s="920" t="s">
        <v>275</v>
      </c>
    </row>
    <row r="177" spans="1:12" s="88" customFormat="1" ht="15" customHeight="1">
      <c r="A177" s="918"/>
      <c r="B177" s="919"/>
      <c r="C177" s="919"/>
      <c r="D177" s="920"/>
      <c r="E177" s="918"/>
      <c r="F177" s="89" t="s">
        <v>14</v>
      </c>
      <c r="G177" s="90">
        <v>3400000</v>
      </c>
      <c r="H177" s="91">
        <v>0</v>
      </c>
      <c r="I177" s="90">
        <f>J177+K177</f>
        <v>90000</v>
      </c>
      <c r="J177" s="90">
        <v>90000</v>
      </c>
      <c r="K177" s="90"/>
      <c r="L177" s="920"/>
    </row>
    <row r="178" spans="1:12" s="88" customFormat="1" ht="15" customHeight="1">
      <c r="A178" s="918"/>
      <c r="B178" s="919"/>
      <c r="C178" s="919"/>
      <c r="D178" s="920"/>
      <c r="E178" s="918"/>
      <c r="F178" s="89" t="s">
        <v>15</v>
      </c>
      <c r="G178" s="90">
        <f>G176+G177</f>
        <v>3400000</v>
      </c>
      <c r="H178" s="90">
        <f>H176+H177</f>
        <v>0</v>
      </c>
      <c r="I178" s="90">
        <f>I176+I177</f>
        <v>90000</v>
      </c>
      <c r="J178" s="90">
        <f>J176+J177</f>
        <v>90000</v>
      </c>
      <c r="K178" s="90">
        <f>K176+K177</f>
        <v>0</v>
      </c>
      <c r="L178" s="920"/>
    </row>
    <row r="179" spans="1:12" s="88" customFormat="1" ht="30" customHeight="1" hidden="1">
      <c r="A179" s="918">
        <v>6</v>
      </c>
      <c r="B179" s="919"/>
      <c r="C179" s="919" t="s">
        <v>82</v>
      </c>
      <c r="D179" s="920" t="s">
        <v>279</v>
      </c>
      <c r="E179" s="918" t="s">
        <v>280</v>
      </c>
      <c r="F179" s="89" t="s">
        <v>13</v>
      </c>
      <c r="G179" s="90">
        <v>20000000</v>
      </c>
      <c r="H179" s="91">
        <v>1200000</v>
      </c>
      <c r="I179" s="90">
        <f>J179+K179</f>
        <v>4800000</v>
      </c>
      <c r="J179" s="90">
        <v>4800000</v>
      </c>
      <c r="K179" s="90">
        <v>0</v>
      </c>
      <c r="L179" s="920" t="s">
        <v>229</v>
      </c>
    </row>
    <row r="180" spans="1:12" s="88" customFormat="1" ht="30" customHeight="1" hidden="1">
      <c r="A180" s="918"/>
      <c r="B180" s="919"/>
      <c r="C180" s="919"/>
      <c r="D180" s="920"/>
      <c r="E180" s="918"/>
      <c r="F180" s="89" t="s">
        <v>14</v>
      </c>
      <c r="G180" s="90"/>
      <c r="H180" s="91"/>
      <c r="I180" s="90">
        <f>J180+K180</f>
        <v>0</v>
      </c>
      <c r="J180" s="90"/>
      <c r="K180" s="90"/>
      <c r="L180" s="920"/>
    </row>
    <row r="181" spans="1:12" s="88" customFormat="1" ht="30" customHeight="1" hidden="1">
      <c r="A181" s="918"/>
      <c r="B181" s="919"/>
      <c r="C181" s="919"/>
      <c r="D181" s="920"/>
      <c r="E181" s="918"/>
      <c r="F181" s="89" t="s">
        <v>15</v>
      </c>
      <c r="G181" s="90">
        <f>G179+G180</f>
        <v>20000000</v>
      </c>
      <c r="H181" s="90">
        <f>H179+H180</f>
        <v>1200000</v>
      </c>
      <c r="I181" s="90">
        <f>I179+I180</f>
        <v>4800000</v>
      </c>
      <c r="J181" s="90">
        <f>J179+J180</f>
        <v>4800000</v>
      </c>
      <c r="K181" s="90">
        <f>K179+K180</f>
        <v>0</v>
      </c>
      <c r="L181" s="920"/>
    </row>
    <row r="182" spans="1:12" s="88" customFormat="1" ht="24" customHeight="1" hidden="1">
      <c r="A182" s="918">
        <v>7</v>
      </c>
      <c r="B182" s="919"/>
      <c r="C182" s="919" t="s">
        <v>45</v>
      </c>
      <c r="D182" s="920" t="s">
        <v>281</v>
      </c>
      <c r="E182" s="918" t="s">
        <v>282</v>
      </c>
      <c r="F182" s="89" t="s">
        <v>13</v>
      </c>
      <c r="G182" s="90">
        <v>150000</v>
      </c>
      <c r="H182" s="91">
        <v>0</v>
      </c>
      <c r="I182" s="90">
        <f>J182+K182</f>
        <v>150000</v>
      </c>
      <c r="J182" s="90">
        <v>150000</v>
      </c>
      <c r="K182" s="90">
        <v>0</v>
      </c>
      <c r="L182" s="920" t="s">
        <v>229</v>
      </c>
    </row>
    <row r="183" spans="1:12" s="88" customFormat="1" ht="24" customHeight="1" hidden="1">
      <c r="A183" s="918"/>
      <c r="B183" s="919"/>
      <c r="C183" s="919"/>
      <c r="D183" s="920"/>
      <c r="E183" s="918"/>
      <c r="F183" s="89" t="s">
        <v>14</v>
      </c>
      <c r="G183" s="90"/>
      <c r="H183" s="91"/>
      <c r="I183" s="90">
        <f>J183+K183</f>
        <v>0</v>
      </c>
      <c r="J183" s="90"/>
      <c r="K183" s="90"/>
      <c r="L183" s="920"/>
    </row>
    <row r="184" spans="1:12" s="88" customFormat="1" ht="24" customHeight="1" hidden="1" thickBot="1">
      <c r="A184" s="918"/>
      <c r="B184" s="919"/>
      <c r="C184" s="919"/>
      <c r="D184" s="920"/>
      <c r="E184" s="918"/>
      <c r="F184" s="89" t="s">
        <v>15</v>
      </c>
      <c r="G184" s="90">
        <f>G182+G183</f>
        <v>150000</v>
      </c>
      <c r="H184" s="90">
        <f>H182+H183</f>
        <v>0</v>
      </c>
      <c r="I184" s="90">
        <f>I182+I183</f>
        <v>150000</v>
      </c>
      <c r="J184" s="90">
        <f>J182+J183</f>
        <v>150000</v>
      </c>
      <c r="K184" s="90">
        <f>K182+K183</f>
        <v>0</v>
      </c>
      <c r="L184" s="920"/>
    </row>
    <row r="185" spans="1:12" s="85" customFormat="1" ht="12.75" hidden="1">
      <c r="A185" s="924"/>
      <c r="B185" s="922" t="s">
        <v>22</v>
      </c>
      <c r="C185" s="922"/>
      <c r="D185" s="923" t="s">
        <v>23</v>
      </c>
      <c r="E185" s="924" t="s">
        <v>76</v>
      </c>
      <c r="F185" s="86" t="s">
        <v>13</v>
      </c>
      <c r="G185" s="87">
        <f aca="true" t="shared" si="15" ref="G185:K186">G188+G191+G194</f>
        <v>4400877</v>
      </c>
      <c r="H185" s="87">
        <f t="shared" si="15"/>
        <v>2065577</v>
      </c>
      <c r="I185" s="87">
        <f t="shared" si="15"/>
        <v>1117400</v>
      </c>
      <c r="J185" s="87">
        <f t="shared" si="15"/>
        <v>1117400</v>
      </c>
      <c r="K185" s="87">
        <f t="shared" si="15"/>
        <v>0</v>
      </c>
      <c r="L185" s="924" t="s">
        <v>76</v>
      </c>
    </row>
    <row r="186" spans="1:12" s="85" customFormat="1" ht="14.25" customHeight="1" hidden="1">
      <c r="A186" s="924"/>
      <c r="B186" s="922"/>
      <c r="C186" s="922"/>
      <c r="D186" s="923"/>
      <c r="E186" s="924"/>
      <c r="F186" s="86" t="s">
        <v>14</v>
      </c>
      <c r="G186" s="87">
        <f t="shared" si="15"/>
        <v>0</v>
      </c>
      <c r="H186" s="87">
        <f t="shared" si="15"/>
        <v>0</v>
      </c>
      <c r="I186" s="87">
        <f t="shared" si="15"/>
        <v>0</v>
      </c>
      <c r="J186" s="87">
        <f t="shared" si="15"/>
        <v>0</v>
      </c>
      <c r="K186" s="87">
        <f t="shared" si="15"/>
        <v>0</v>
      </c>
      <c r="L186" s="924"/>
    </row>
    <row r="187" spans="1:12" s="85" customFormat="1" ht="14.25" customHeight="1" hidden="1" thickBot="1">
      <c r="A187" s="924"/>
      <c r="B187" s="922"/>
      <c r="C187" s="922"/>
      <c r="D187" s="923"/>
      <c r="E187" s="924"/>
      <c r="F187" s="86" t="s">
        <v>15</v>
      </c>
      <c r="G187" s="87">
        <f>G185+G186</f>
        <v>4400877</v>
      </c>
      <c r="H187" s="87">
        <f>H185+H186</f>
        <v>2065577</v>
      </c>
      <c r="I187" s="87">
        <f>I185+I186</f>
        <v>1117400</v>
      </c>
      <c r="J187" s="87">
        <f>J185+J186</f>
        <v>1117400</v>
      </c>
      <c r="K187" s="87">
        <f>K185+K186</f>
        <v>0</v>
      </c>
      <c r="L187" s="924"/>
    </row>
    <row r="188" spans="1:12" s="88" customFormat="1" ht="12.75" hidden="1">
      <c r="A188" s="918">
        <v>8</v>
      </c>
      <c r="B188" s="919"/>
      <c r="C188" s="919" t="s">
        <v>24</v>
      </c>
      <c r="D188" s="920" t="s">
        <v>283</v>
      </c>
      <c r="E188" s="918" t="s">
        <v>284</v>
      </c>
      <c r="F188" s="89" t="s">
        <v>13</v>
      </c>
      <c r="G188" s="90">
        <v>231277</v>
      </c>
      <c r="H188" s="91">
        <v>216517</v>
      </c>
      <c r="I188" s="90">
        <f>J188+K188</f>
        <v>14760</v>
      </c>
      <c r="J188" s="90">
        <v>14760</v>
      </c>
      <c r="K188" s="90">
        <v>0</v>
      </c>
      <c r="L188" s="920" t="s">
        <v>229</v>
      </c>
    </row>
    <row r="189" spans="1:12" s="88" customFormat="1" ht="12.75" hidden="1">
      <c r="A189" s="918"/>
      <c r="B189" s="919"/>
      <c r="C189" s="919"/>
      <c r="D189" s="920"/>
      <c r="E189" s="918"/>
      <c r="F189" s="89" t="s">
        <v>14</v>
      </c>
      <c r="G189" s="90"/>
      <c r="H189" s="91"/>
      <c r="I189" s="90">
        <f>J189+K189</f>
        <v>0</v>
      </c>
      <c r="J189" s="90"/>
      <c r="K189" s="90"/>
      <c r="L189" s="920"/>
    </row>
    <row r="190" spans="1:12" s="88" customFormat="1" ht="12.75" hidden="1">
      <c r="A190" s="918"/>
      <c r="B190" s="919"/>
      <c r="C190" s="919"/>
      <c r="D190" s="920"/>
      <c r="E190" s="918"/>
      <c r="F190" s="89" t="s">
        <v>15</v>
      </c>
      <c r="G190" s="90">
        <f>G188+G189</f>
        <v>231277</v>
      </c>
      <c r="H190" s="90">
        <f>H188+H189</f>
        <v>216517</v>
      </c>
      <c r="I190" s="90">
        <f>I188+I189</f>
        <v>14760</v>
      </c>
      <c r="J190" s="90">
        <f>J188+J189</f>
        <v>14760</v>
      </c>
      <c r="K190" s="90">
        <f>K188+K189</f>
        <v>0</v>
      </c>
      <c r="L190" s="920"/>
    </row>
    <row r="191" spans="1:12" s="88" customFormat="1" ht="12.75" hidden="1">
      <c r="A191" s="918">
        <v>9</v>
      </c>
      <c r="B191" s="919"/>
      <c r="C191" s="919" t="s">
        <v>24</v>
      </c>
      <c r="D191" s="920" t="s">
        <v>285</v>
      </c>
      <c r="E191" s="918" t="s">
        <v>286</v>
      </c>
      <c r="F191" s="89" t="s">
        <v>13</v>
      </c>
      <c r="G191" s="90">
        <v>339600</v>
      </c>
      <c r="H191" s="91">
        <f>3780+22640+22640</f>
        <v>49060</v>
      </c>
      <c r="I191" s="90">
        <f>J191+K191</f>
        <v>22640</v>
      </c>
      <c r="J191" s="90">
        <v>22640</v>
      </c>
      <c r="K191" s="90">
        <v>0</v>
      </c>
      <c r="L191" s="920" t="s">
        <v>229</v>
      </c>
    </row>
    <row r="192" spans="1:12" s="88" customFormat="1" ht="12.75" hidden="1">
      <c r="A192" s="918"/>
      <c r="B192" s="919"/>
      <c r="C192" s="919"/>
      <c r="D192" s="920"/>
      <c r="E192" s="918"/>
      <c r="F192" s="89" t="s">
        <v>14</v>
      </c>
      <c r="G192" s="90"/>
      <c r="H192" s="91"/>
      <c r="I192" s="90">
        <f>J192+K192</f>
        <v>0</v>
      </c>
      <c r="J192" s="90"/>
      <c r="K192" s="90"/>
      <c r="L192" s="920"/>
    </row>
    <row r="193" spans="1:12" s="88" customFormat="1" ht="12.75" hidden="1">
      <c r="A193" s="918"/>
      <c r="B193" s="919"/>
      <c r="C193" s="919"/>
      <c r="D193" s="920"/>
      <c r="E193" s="918"/>
      <c r="F193" s="89" t="s">
        <v>15</v>
      </c>
      <c r="G193" s="90">
        <f>G191+G192</f>
        <v>339600</v>
      </c>
      <c r="H193" s="90">
        <f>H191+H192</f>
        <v>49060</v>
      </c>
      <c r="I193" s="90">
        <f>I191+I192</f>
        <v>22640</v>
      </c>
      <c r="J193" s="90">
        <f>J191+J192</f>
        <v>22640</v>
      </c>
      <c r="K193" s="90">
        <f>K191+K192</f>
        <v>0</v>
      </c>
      <c r="L193" s="920"/>
    </row>
    <row r="194" spans="1:12" s="88" customFormat="1" ht="12.75" hidden="1">
      <c r="A194" s="918">
        <v>10</v>
      </c>
      <c r="B194" s="919"/>
      <c r="C194" s="919" t="s">
        <v>24</v>
      </c>
      <c r="D194" s="920" t="s">
        <v>287</v>
      </c>
      <c r="E194" s="918" t="s">
        <v>278</v>
      </c>
      <c r="F194" s="89" t="s">
        <v>13</v>
      </c>
      <c r="G194" s="90">
        <v>3830000</v>
      </c>
      <c r="H194" s="91">
        <v>1800000</v>
      </c>
      <c r="I194" s="90">
        <f>J194+K194</f>
        <v>1080000</v>
      </c>
      <c r="J194" s="90">
        <v>1080000</v>
      </c>
      <c r="K194" s="90">
        <v>0</v>
      </c>
      <c r="L194" s="920" t="s">
        <v>229</v>
      </c>
    </row>
    <row r="195" spans="1:12" s="88" customFormat="1" ht="12.75" hidden="1">
      <c r="A195" s="918"/>
      <c r="B195" s="919"/>
      <c r="C195" s="919"/>
      <c r="D195" s="920"/>
      <c r="E195" s="918"/>
      <c r="F195" s="89" t="s">
        <v>14</v>
      </c>
      <c r="G195" s="90"/>
      <c r="H195" s="91"/>
      <c r="I195" s="90">
        <f>J195+K195</f>
        <v>0</v>
      </c>
      <c r="J195" s="90"/>
      <c r="K195" s="90"/>
      <c r="L195" s="920"/>
    </row>
    <row r="196" spans="1:12" s="88" customFormat="1" ht="12.75" hidden="1">
      <c r="A196" s="918"/>
      <c r="B196" s="919"/>
      <c r="C196" s="919"/>
      <c r="D196" s="920"/>
      <c r="E196" s="918"/>
      <c r="F196" s="89" t="s">
        <v>15</v>
      </c>
      <c r="G196" s="90">
        <f>G194+G195</f>
        <v>3830000</v>
      </c>
      <c r="H196" s="90">
        <f>H194+H195</f>
        <v>1800000</v>
      </c>
      <c r="I196" s="90">
        <f>I194+I195</f>
        <v>1080000</v>
      </c>
      <c r="J196" s="90">
        <f>J194+J195</f>
        <v>1080000</v>
      </c>
      <c r="K196" s="90">
        <f>K194+K195</f>
        <v>0</v>
      </c>
      <c r="L196" s="920"/>
    </row>
    <row r="197" spans="1:12" s="85" customFormat="1" ht="12.75">
      <c r="A197" s="924"/>
      <c r="B197" s="922" t="s">
        <v>71</v>
      </c>
      <c r="C197" s="922"/>
      <c r="D197" s="923" t="s">
        <v>72</v>
      </c>
      <c r="E197" s="924" t="s">
        <v>76</v>
      </c>
      <c r="F197" s="86" t="s">
        <v>13</v>
      </c>
      <c r="G197" s="92">
        <f aca="true" t="shared" si="16" ref="G197:K198">G200</f>
        <v>918263</v>
      </c>
      <c r="H197" s="92">
        <f t="shared" si="16"/>
        <v>138791</v>
      </c>
      <c r="I197" s="92">
        <f t="shared" si="16"/>
        <v>779472</v>
      </c>
      <c r="J197" s="92">
        <f t="shared" si="16"/>
        <v>779472</v>
      </c>
      <c r="K197" s="92">
        <f t="shared" si="16"/>
        <v>0</v>
      </c>
      <c r="L197" s="930" t="s">
        <v>76</v>
      </c>
    </row>
    <row r="198" spans="1:12" s="85" customFormat="1" ht="14.25" customHeight="1">
      <c r="A198" s="924"/>
      <c r="B198" s="922"/>
      <c r="C198" s="922"/>
      <c r="D198" s="923"/>
      <c r="E198" s="924"/>
      <c r="F198" s="86" t="s">
        <v>14</v>
      </c>
      <c r="G198" s="92">
        <f t="shared" si="16"/>
        <v>-4038</v>
      </c>
      <c r="H198" s="92">
        <f t="shared" si="16"/>
        <v>-121238</v>
      </c>
      <c r="I198" s="92">
        <f t="shared" si="16"/>
        <v>117200</v>
      </c>
      <c r="J198" s="92">
        <f t="shared" si="16"/>
        <v>117200</v>
      </c>
      <c r="K198" s="92">
        <f t="shared" si="16"/>
        <v>0</v>
      </c>
      <c r="L198" s="930"/>
    </row>
    <row r="199" spans="1:12" s="85" customFormat="1" ht="14.25" customHeight="1">
      <c r="A199" s="924"/>
      <c r="B199" s="922"/>
      <c r="C199" s="922"/>
      <c r="D199" s="923"/>
      <c r="E199" s="924"/>
      <c r="F199" s="86" t="s">
        <v>15</v>
      </c>
      <c r="G199" s="92">
        <f>G197+G198</f>
        <v>914225</v>
      </c>
      <c r="H199" s="92">
        <f>H197+H198</f>
        <v>17553</v>
      </c>
      <c r="I199" s="92">
        <f>I197+I198</f>
        <v>896672</v>
      </c>
      <c r="J199" s="92">
        <f>J197+J198</f>
        <v>896672</v>
      </c>
      <c r="K199" s="92">
        <f>K197+K198</f>
        <v>0</v>
      </c>
      <c r="L199" s="930"/>
    </row>
    <row r="200" spans="1:12" s="88" customFormat="1" ht="12.75">
      <c r="A200" s="918">
        <v>9</v>
      </c>
      <c r="B200" s="919"/>
      <c r="C200" s="919" t="s">
        <v>73</v>
      </c>
      <c r="D200" s="920" t="s">
        <v>288</v>
      </c>
      <c r="E200" s="918" t="s">
        <v>282</v>
      </c>
      <c r="F200" s="89" t="s">
        <v>13</v>
      </c>
      <c r="G200" s="90">
        <v>918263</v>
      </c>
      <c r="H200" s="91">
        <v>138791</v>
      </c>
      <c r="I200" s="90">
        <f>J200+K200</f>
        <v>779472</v>
      </c>
      <c r="J200" s="90">
        <v>779472</v>
      </c>
      <c r="K200" s="90">
        <v>0</v>
      </c>
      <c r="L200" s="920" t="s">
        <v>229</v>
      </c>
    </row>
    <row r="201" spans="1:12" s="88" customFormat="1" ht="12.75">
      <c r="A201" s="918"/>
      <c r="B201" s="919"/>
      <c r="C201" s="919"/>
      <c r="D201" s="920"/>
      <c r="E201" s="918"/>
      <c r="F201" s="89" t="s">
        <v>14</v>
      </c>
      <c r="G201" s="90">
        <v>-4038</v>
      </c>
      <c r="H201" s="91">
        <v>-121238</v>
      </c>
      <c r="I201" s="90">
        <f>J201+K201</f>
        <v>117200</v>
      </c>
      <c r="J201" s="90">
        <v>117200</v>
      </c>
      <c r="K201" s="90"/>
      <c r="L201" s="920"/>
    </row>
    <row r="202" spans="1:12" s="88" customFormat="1" ht="12.75">
      <c r="A202" s="918"/>
      <c r="B202" s="919"/>
      <c r="C202" s="919"/>
      <c r="D202" s="920"/>
      <c r="E202" s="918"/>
      <c r="F202" s="89" t="s">
        <v>15</v>
      </c>
      <c r="G202" s="90">
        <f>G200+G201</f>
        <v>914225</v>
      </c>
      <c r="H202" s="90">
        <f>H200+H201</f>
        <v>17553</v>
      </c>
      <c r="I202" s="90">
        <f>I200+I201</f>
        <v>896672</v>
      </c>
      <c r="J202" s="90">
        <f>J200+J201</f>
        <v>896672</v>
      </c>
      <c r="K202" s="90">
        <f>K200+K201</f>
        <v>0</v>
      </c>
      <c r="L202" s="920"/>
    </row>
    <row r="203" spans="1:12" s="85" customFormat="1" ht="12.75" hidden="1">
      <c r="A203" s="924"/>
      <c r="B203" s="922" t="s">
        <v>333</v>
      </c>
      <c r="C203" s="922"/>
      <c r="D203" s="923" t="s">
        <v>334</v>
      </c>
      <c r="E203" s="924" t="s">
        <v>76</v>
      </c>
      <c r="F203" s="86" t="s">
        <v>13</v>
      </c>
      <c r="G203" s="87">
        <f aca="true" t="shared" si="17" ref="G203:K204">G206</f>
        <v>9106050</v>
      </c>
      <c r="H203" s="87">
        <f t="shared" si="17"/>
        <v>15000</v>
      </c>
      <c r="I203" s="87">
        <f t="shared" si="17"/>
        <v>2100000</v>
      </c>
      <c r="J203" s="87">
        <f t="shared" si="17"/>
        <v>2100000</v>
      </c>
      <c r="K203" s="87">
        <f t="shared" si="17"/>
        <v>0</v>
      </c>
      <c r="L203" s="924" t="s">
        <v>76</v>
      </c>
    </row>
    <row r="204" spans="1:12" s="85" customFormat="1" ht="14.25" customHeight="1" hidden="1">
      <c r="A204" s="924"/>
      <c r="B204" s="922"/>
      <c r="C204" s="922"/>
      <c r="D204" s="923"/>
      <c r="E204" s="924"/>
      <c r="F204" s="86" t="s">
        <v>14</v>
      </c>
      <c r="G204" s="87">
        <f t="shared" si="17"/>
        <v>0</v>
      </c>
      <c r="H204" s="87">
        <f t="shared" si="17"/>
        <v>0</v>
      </c>
      <c r="I204" s="87">
        <f t="shared" si="17"/>
        <v>0</v>
      </c>
      <c r="J204" s="87">
        <f t="shared" si="17"/>
        <v>0</v>
      </c>
      <c r="K204" s="87">
        <f t="shared" si="17"/>
        <v>0</v>
      </c>
      <c r="L204" s="924"/>
    </row>
    <row r="205" spans="1:12" s="85" customFormat="1" ht="14.25" customHeight="1" hidden="1" thickBot="1">
      <c r="A205" s="924"/>
      <c r="B205" s="922"/>
      <c r="C205" s="922"/>
      <c r="D205" s="923"/>
      <c r="E205" s="924"/>
      <c r="F205" s="86" t="s">
        <v>15</v>
      </c>
      <c r="G205" s="87">
        <f>G203+G204</f>
        <v>9106050</v>
      </c>
      <c r="H205" s="87">
        <f>H203+H204</f>
        <v>15000</v>
      </c>
      <c r="I205" s="87">
        <f>I203+I204</f>
        <v>2100000</v>
      </c>
      <c r="J205" s="87">
        <f>J203+J204</f>
        <v>2100000</v>
      </c>
      <c r="K205" s="87">
        <f>K203+K204</f>
        <v>0</v>
      </c>
      <c r="L205" s="924"/>
    </row>
    <row r="206" spans="1:12" s="88" customFormat="1" ht="12.75" hidden="1">
      <c r="A206" s="918">
        <v>1</v>
      </c>
      <c r="B206" s="919"/>
      <c r="C206" s="919" t="s">
        <v>335</v>
      </c>
      <c r="D206" s="920" t="s">
        <v>293</v>
      </c>
      <c r="E206" s="918" t="s">
        <v>294</v>
      </c>
      <c r="F206" s="89" t="s">
        <v>13</v>
      </c>
      <c r="G206" s="90">
        <v>9106050</v>
      </c>
      <c r="H206" s="91">
        <v>15000</v>
      </c>
      <c r="I206" s="90">
        <f>J206+K206</f>
        <v>2100000</v>
      </c>
      <c r="J206" s="90">
        <v>2100000</v>
      </c>
      <c r="K206" s="90">
        <v>0</v>
      </c>
      <c r="L206" s="920" t="s">
        <v>229</v>
      </c>
    </row>
    <row r="207" spans="1:12" s="88" customFormat="1" ht="12.75" hidden="1">
      <c r="A207" s="918"/>
      <c r="B207" s="919"/>
      <c r="C207" s="919"/>
      <c r="D207" s="920"/>
      <c r="E207" s="918"/>
      <c r="F207" s="89" t="s">
        <v>14</v>
      </c>
      <c r="G207" s="90"/>
      <c r="H207" s="91"/>
      <c r="I207" s="90">
        <f>J207+K207</f>
        <v>0</v>
      </c>
      <c r="J207" s="90"/>
      <c r="K207" s="90"/>
      <c r="L207" s="920"/>
    </row>
    <row r="208" spans="1:12" s="88" customFormat="1" ht="12.75" hidden="1">
      <c r="A208" s="918"/>
      <c r="B208" s="919"/>
      <c r="C208" s="919"/>
      <c r="D208" s="920"/>
      <c r="E208" s="918"/>
      <c r="F208" s="89" t="s">
        <v>15</v>
      </c>
      <c r="G208" s="90">
        <f>G206+G207</f>
        <v>9106050</v>
      </c>
      <c r="H208" s="90">
        <f>H206+H207</f>
        <v>15000</v>
      </c>
      <c r="I208" s="90">
        <f>I206+I207</f>
        <v>2100000</v>
      </c>
      <c r="J208" s="90">
        <f>J206+J207</f>
        <v>2100000</v>
      </c>
      <c r="K208" s="90">
        <f>K206+K207</f>
        <v>0</v>
      </c>
      <c r="L208" s="920"/>
    </row>
    <row r="209" spans="1:12" s="85" customFormat="1" ht="12.75">
      <c r="A209" s="924"/>
      <c r="B209" s="922" t="s">
        <v>28</v>
      </c>
      <c r="C209" s="922"/>
      <c r="D209" s="923" t="s">
        <v>29</v>
      </c>
      <c r="E209" s="924" t="s">
        <v>76</v>
      </c>
      <c r="F209" s="86" t="s">
        <v>13</v>
      </c>
      <c r="G209" s="87">
        <f aca="true" t="shared" si="18" ref="G209:K210">G212</f>
        <v>2738304</v>
      </c>
      <c r="H209" s="87">
        <f t="shared" si="18"/>
        <v>2388304</v>
      </c>
      <c r="I209" s="87">
        <f t="shared" si="18"/>
        <v>350000</v>
      </c>
      <c r="J209" s="87">
        <f t="shared" si="18"/>
        <v>350000</v>
      </c>
      <c r="K209" s="87">
        <f t="shared" si="18"/>
        <v>0</v>
      </c>
      <c r="L209" s="924" t="s">
        <v>76</v>
      </c>
    </row>
    <row r="210" spans="1:12" s="85" customFormat="1" ht="14.25" customHeight="1">
      <c r="A210" s="924"/>
      <c r="B210" s="922"/>
      <c r="C210" s="922"/>
      <c r="D210" s="923"/>
      <c r="E210" s="924"/>
      <c r="F210" s="86" t="s">
        <v>14</v>
      </c>
      <c r="G210" s="87">
        <f t="shared" si="18"/>
        <v>50741</v>
      </c>
      <c r="H210" s="87">
        <f t="shared" si="18"/>
        <v>-621777</v>
      </c>
      <c r="I210" s="87">
        <f t="shared" si="18"/>
        <v>672518</v>
      </c>
      <c r="J210" s="87">
        <f t="shared" si="18"/>
        <v>672518</v>
      </c>
      <c r="K210" s="87">
        <f t="shared" si="18"/>
        <v>0</v>
      </c>
      <c r="L210" s="924"/>
    </row>
    <row r="211" spans="1:12" s="85" customFormat="1" ht="14.25" customHeight="1">
      <c r="A211" s="924"/>
      <c r="B211" s="922"/>
      <c r="C211" s="922"/>
      <c r="D211" s="923"/>
      <c r="E211" s="924"/>
      <c r="F211" s="86" t="s">
        <v>15</v>
      </c>
      <c r="G211" s="87">
        <f>G209+G210</f>
        <v>2789045</v>
      </c>
      <c r="H211" s="87">
        <f>H209+H210</f>
        <v>1766527</v>
      </c>
      <c r="I211" s="87">
        <f>I209+I210</f>
        <v>1022518</v>
      </c>
      <c r="J211" s="87">
        <f>J209+J210</f>
        <v>1022518</v>
      </c>
      <c r="K211" s="87">
        <f>K209+K210</f>
        <v>0</v>
      </c>
      <c r="L211" s="924"/>
    </row>
    <row r="212" spans="1:12" s="88" customFormat="1" ht="12.75">
      <c r="A212" s="918">
        <v>10</v>
      </c>
      <c r="B212" s="919"/>
      <c r="C212" s="919" t="s">
        <v>30</v>
      </c>
      <c r="D212" s="920" t="s">
        <v>289</v>
      </c>
      <c r="E212" s="918" t="s">
        <v>290</v>
      </c>
      <c r="F212" s="89" t="s">
        <v>13</v>
      </c>
      <c r="G212" s="90">
        <v>2738304</v>
      </c>
      <c r="H212" s="91">
        <f>849330+476748+406397+4428+651401</f>
        <v>2388304</v>
      </c>
      <c r="I212" s="90">
        <f>J212+K212</f>
        <v>350000</v>
      </c>
      <c r="J212" s="90">
        <v>350000</v>
      </c>
      <c r="K212" s="90">
        <v>0</v>
      </c>
      <c r="L212" s="920" t="s">
        <v>229</v>
      </c>
    </row>
    <row r="213" spans="1:12" s="88" customFormat="1" ht="12.75">
      <c r="A213" s="918"/>
      <c r="B213" s="919"/>
      <c r="C213" s="919"/>
      <c r="D213" s="920"/>
      <c r="E213" s="918"/>
      <c r="F213" s="89" t="s">
        <v>14</v>
      </c>
      <c r="G213" s="90">
        <v>50741</v>
      </c>
      <c r="H213" s="91">
        <v>-621777</v>
      </c>
      <c r="I213" s="90">
        <f>J213+K213</f>
        <v>672518</v>
      </c>
      <c r="J213" s="90">
        <v>672518</v>
      </c>
      <c r="K213" s="90"/>
      <c r="L213" s="920"/>
    </row>
    <row r="214" spans="1:12" s="88" customFormat="1" ht="12.75">
      <c r="A214" s="918"/>
      <c r="B214" s="919"/>
      <c r="C214" s="919"/>
      <c r="D214" s="920"/>
      <c r="E214" s="918"/>
      <c r="F214" s="89" t="s">
        <v>15</v>
      </c>
      <c r="G214" s="90">
        <f>G212+G213</f>
        <v>2789045</v>
      </c>
      <c r="H214" s="90">
        <f>H212+H213</f>
        <v>1766527</v>
      </c>
      <c r="I214" s="90">
        <f>I212+I213</f>
        <v>1022518</v>
      </c>
      <c r="J214" s="90">
        <f>J212+J213</f>
        <v>1022518</v>
      </c>
      <c r="K214" s="90">
        <f>K212+K213</f>
        <v>0</v>
      </c>
      <c r="L214" s="920"/>
    </row>
    <row r="215" spans="1:12" s="85" customFormat="1" ht="12.75" hidden="1">
      <c r="A215" s="924"/>
      <c r="B215" s="922" t="s">
        <v>31</v>
      </c>
      <c r="C215" s="922"/>
      <c r="D215" s="923" t="s">
        <v>32</v>
      </c>
      <c r="E215" s="924" t="s">
        <v>76</v>
      </c>
      <c r="F215" s="86" t="s">
        <v>13</v>
      </c>
      <c r="G215" s="87">
        <f aca="true" t="shared" si="19" ref="G215:K216">G218</f>
        <v>300000</v>
      </c>
      <c r="H215" s="87">
        <f t="shared" si="19"/>
        <v>0</v>
      </c>
      <c r="I215" s="87">
        <f t="shared" si="19"/>
        <v>300000</v>
      </c>
      <c r="J215" s="87">
        <f t="shared" si="19"/>
        <v>300000</v>
      </c>
      <c r="K215" s="87">
        <f t="shared" si="19"/>
        <v>0</v>
      </c>
      <c r="L215" s="924" t="s">
        <v>76</v>
      </c>
    </row>
    <row r="216" spans="1:12" s="85" customFormat="1" ht="14.25" customHeight="1" hidden="1">
      <c r="A216" s="924"/>
      <c r="B216" s="922"/>
      <c r="C216" s="922"/>
      <c r="D216" s="923"/>
      <c r="E216" s="924"/>
      <c r="F216" s="86" t="s">
        <v>14</v>
      </c>
      <c r="G216" s="87">
        <f t="shared" si="19"/>
        <v>0</v>
      </c>
      <c r="H216" s="87">
        <f t="shared" si="19"/>
        <v>0</v>
      </c>
      <c r="I216" s="87">
        <f t="shared" si="19"/>
        <v>0</v>
      </c>
      <c r="J216" s="87">
        <f t="shared" si="19"/>
        <v>0</v>
      </c>
      <c r="K216" s="87">
        <f t="shared" si="19"/>
        <v>0</v>
      </c>
      <c r="L216" s="924"/>
    </row>
    <row r="217" spans="1:12" s="85" customFormat="1" ht="14.25" customHeight="1" hidden="1" thickBot="1">
      <c r="A217" s="924"/>
      <c r="B217" s="922"/>
      <c r="C217" s="922"/>
      <c r="D217" s="923"/>
      <c r="E217" s="924"/>
      <c r="F217" s="86" t="s">
        <v>15</v>
      </c>
      <c r="G217" s="87">
        <f>G215+G216</f>
        <v>300000</v>
      </c>
      <c r="H217" s="87">
        <f>H215+H216</f>
        <v>0</v>
      </c>
      <c r="I217" s="87">
        <f>I215+I216</f>
        <v>300000</v>
      </c>
      <c r="J217" s="87">
        <f>J215+J216</f>
        <v>300000</v>
      </c>
      <c r="K217" s="87">
        <f>K215+K216</f>
        <v>0</v>
      </c>
      <c r="L217" s="924"/>
    </row>
    <row r="218" spans="1:12" s="88" customFormat="1" ht="12.75" hidden="1">
      <c r="A218" s="918">
        <v>13</v>
      </c>
      <c r="B218" s="919"/>
      <c r="C218" s="919" t="s">
        <v>74</v>
      </c>
      <c r="D218" s="920" t="s">
        <v>291</v>
      </c>
      <c r="E218" s="918" t="s">
        <v>282</v>
      </c>
      <c r="F218" s="89" t="s">
        <v>13</v>
      </c>
      <c r="G218" s="90">
        <v>300000</v>
      </c>
      <c r="H218" s="91">
        <v>0</v>
      </c>
      <c r="I218" s="90">
        <f>J218+K218</f>
        <v>300000</v>
      </c>
      <c r="J218" s="90">
        <v>300000</v>
      </c>
      <c r="K218" s="90">
        <v>0</v>
      </c>
      <c r="L218" s="920" t="s">
        <v>229</v>
      </c>
    </row>
    <row r="219" spans="1:12" s="88" customFormat="1" ht="12.75" hidden="1">
      <c r="A219" s="918"/>
      <c r="B219" s="919"/>
      <c r="C219" s="919"/>
      <c r="D219" s="920"/>
      <c r="E219" s="918"/>
      <c r="F219" s="89" t="s">
        <v>14</v>
      </c>
      <c r="G219" s="90"/>
      <c r="H219" s="91"/>
      <c r="I219" s="90">
        <f>J219+K219</f>
        <v>0</v>
      </c>
      <c r="J219" s="90"/>
      <c r="K219" s="90"/>
      <c r="L219" s="920"/>
    </row>
    <row r="220" spans="1:12" s="88" customFormat="1" ht="12.75" hidden="1">
      <c r="A220" s="918"/>
      <c r="B220" s="919"/>
      <c r="C220" s="919"/>
      <c r="D220" s="920"/>
      <c r="E220" s="918"/>
      <c r="F220" s="89" t="s">
        <v>15</v>
      </c>
      <c r="G220" s="90">
        <f>G218+G219</f>
        <v>300000</v>
      </c>
      <c r="H220" s="90">
        <f>H218+H219</f>
        <v>0</v>
      </c>
      <c r="I220" s="90">
        <f>I218+I219</f>
        <v>300000</v>
      </c>
      <c r="J220" s="90">
        <f>J218+J219</f>
        <v>300000</v>
      </c>
      <c r="K220" s="90">
        <f>K218+K219</f>
        <v>0</v>
      </c>
      <c r="L220" s="920"/>
    </row>
    <row r="221" spans="1:12" s="85" customFormat="1" ht="12.75" hidden="1">
      <c r="A221" s="924"/>
      <c r="B221" s="922" t="s">
        <v>85</v>
      </c>
      <c r="C221" s="922"/>
      <c r="D221" s="923" t="s">
        <v>86</v>
      </c>
      <c r="E221" s="924" t="s">
        <v>76</v>
      </c>
      <c r="F221" s="86" t="s">
        <v>13</v>
      </c>
      <c r="G221" s="87">
        <f aca="true" t="shared" si="20" ref="G221:K222">G224</f>
        <v>0</v>
      </c>
      <c r="H221" s="87">
        <f t="shared" si="20"/>
        <v>0</v>
      </c>
      <c r="I221" s="87">
        <f t="shared" si="20"/>
        <v>0</v>
      </c>
      <c r="J221" s="87">
        <f t="shared" si="20"/>
        <v>0</v>
      </c>
      <c r="K221" s="87">
        <f t="shared" si="20"/>
        <v>0</v>
      </c>
      <c r="L221" s="924" t="s">
        <v>76</v>
      </c>
    </row>
    <row r="222" spans="1:12" s="85" customFormat="1" ht="14.25" customHeight="1" hidden="1">
      <c r="A222" s="924"/>
      <c r="B222" s="922"/>
      <c r="C222" s="922"/>
      <c r="D222" s="923"/>
      <c r="E222" s="924"/>
      <c r="F222" s="86" t="s">
        <v>14</v>
      </c>
      <c r="G222" s="87">
        <f t="shared" si="20"/>
        <v>0</v>
      </c>
      <c r="H222" s="87">
        <f t="shared" si="20"/>
        <v>0</v>
      </c>
      <c r="I222" s="87">
        <f t="shared" si="20"/>
        <v>0</v>
      </c>
      <c r="J222" s="87">
        <f t="shared" si="20"/>
        <v>0</v>
      </c>
      <c r="K222" s="87">
        <f t="shared" si="20"/>
        <v>0</v>
      </c>
      <c r="L222" s="924"/>
    </row>
    <row r="223" spans="1:12" s="85" customFormat="1" ht="14.25" customHeight="1" hidden="1" thickBot="1">
      <c r="A223" s="924"/>
      <c r="B223" s="922"/>
      <c r="C223" s="922"/>
      <c r="D223" s="923"/>
      <c r="E223" s="924"/>
      <c r="F223" s="86" t="s">
        <v>15</v>
      </c>
      <c r="G223" s="87">
        <f>G221+G222</f>
        <v>0</v>
      </c>
      <c r="H223" s="87">
        <f>H221+H222</f>
        <v>0</v>
      </c>
      <c r="I223" s="87">
        <f>I221+I222</f>
        <v>0</v>
      </c>
      <c r="J223" s="87">
        <f>J221+J222</f>
        <v>0</v>
      </c>
      <c r="K223" s="87">
        <f>K221+K222</f>
        <v>0</v>
      </c>
      <c r="L223" s="924"/>
    </row>
    <row r="224" spans="1:12" s="88" customFormat="1" ht="12.75" hidden="1">
      <c r="A224" s="918">
        <v>2</v>
      </c>
      <c r="B224" s="919"/>
      <c r="C224" s="919" t="s">
        <v>292</v>
      </c>
      <c r="D224" s="920" t="s">
        <v>293</v>
      </c>
      <c r="E224" s="918" t="s">
        <v>294</v>
      </c>
      <c r="F224" s="89" t="s">
        <v>13</v>
      </c>
      <c r="G224" s="90">
        <v>0</v>
      </c>
      <c r="H224" s="91">
        <v>0</v>
      </c>
      <c r="I224" s="90">
        <f>J224+K224</f>
        <v>0</v>
      </c>
      <c r="J224" s="90">
        <v>0</v>
      </c>
      <c r="K224" s="90">
        <v>0</v>
      </c>
      <c r="L224" s="920" t="s">
        <v>229</v>
      </c>
    </row>
    <row r="225" spans="1:12" s="88" customFormat="1" ht="12.75" hidden="1">
      <c r="A225" s="918"/>
      <c r="B225" s="919"/>
      <c r="C225" s="919"/>
      <c r="D225" s="920"/>
      <c r="E225" s="918"/>
      <c r="F225" s="89" t="s">
        <v>14</v>
      </c>
      <c r="G225" s="90"/>
      <c r="H225" s="91"/>
      <c r="I225" s="90">
        <f>J225+K225</f>
        <v>0</v>
      </c>
      <c r="J225" s="90"/>
      <c r="K225" s="90"/>
      <c r="L225" s="920"/>
    </row>
    <row r="226" spans="1:12" s="88" customFormat="1" ht="12.75" hidden="1">
      <c r="A226" s="918"/>
      <c r="B226" s="919"/>
      <c r="C226" s="919"/>
      <c r="D226" s="920"/>
      <c r="E226" s="918"/>
      <c r="F226" s="89" t="s">
        <v>15</v>
      </c>
      <c r="G226" s="90">
        <f>G224+G225</f>
        <v>0</v>
      </c>
      <c r="H226" s="90">
        <f>H224+H225</f>
        <v>0</v>
      </c>
      <c r="I226" s="90">
        <f>I224+I225</f>
        <v>0</v>
      </c>
      <c r="J226" s="90">
        <f>J224+J225</f>
        <v>0</v>
      </c>
      <c r="K226" s="90">
        <f>K224+K225</f>
        <v>0</v>
      </c>
      <c r="L226" s="920"/>
    </row>
    <row r="227" spans="1:12" s="85" customFormat="1" ht="12.75" hidden="1">
      <c r="A227" s="924"/>
      <c r="B227" s="922" t="s">
        <v>34</v>
      </c>
      <c r="C227" s="922"/>
      <c r="D227" s="927" t="s">
        <v>35</v>
      </c>
      <c r="E227" s="924" t="s">
        <v>76</v>
      </c>
      <c r="F227" s="86" t="s">
        <v>13</v>
      </c>
      <c r="G227" s="87">
        <f aca="true" t="shared" si="21" ref="G227:K228">G230+G233+G236+G239</f>
        <v>7206721</v>
      </c>
      <c r="H227" s="87">
        <f t="shared" si="21"/>
        <v>4531818</v>
      </c>
      <c r="I227" s="87">
        <f t="shared" si="21"/>
        <v>2650691</v>
      </c>
      <c r="J227" s="87">
        <f t="shared" si="21"/>
        <v>2650691</v>
      </c>
      <c r="K227" s="87">
        <f t="shared" si="21"/>
        <v>0</v>
      </c>
      <c r="L227" s="924" t="s">
        <v>76</v>
      </c>
    </row>
    <row r="228" spans="1:12" s="85" customFormat="1" ht="14.25" customHeight="1" hidden="1">
      <c r="A228" s="924"/>
      <c r="B228" s="922"/>
      <c r="C228" s="922"/>
      <c r="D228" s="927"/>
      <c r="E228" s="924"/>
      <c r="F228" s="86" t="s">
        <v>14</v>
      </c>
      <c r="G228" s="87">
        <f t="shared" si="21"/>
        <v>0</v>
      </c>
      <c r="H228" s="87">
        <f t="shared" si="21"/>
        <v>0</v>
      </c>
      <c r="I228" s="87">
        <f t="shared" si="21"/>
        <v>0</v>
      </c>
      <c r="J228" s="87">
        <f t="shared" si="21"/>
        <v>0</v>
      </c>
      <c r="K228" s="87">
        <f t="shared" si="21"/>
        <v>0</v>
      </c>
      <c r="L228" s="924"/>
    </row>
    <row r="229" spans="1:12" s="85" customFormat="1" ht="14.25" customHeight="1" hidden="1" thickBot="1">
      <c r="A229" s="924"/>
      <c r="B229" s="922"/>
      <c r="C229" s="922"/>
      <c r="D229" s="927"/>
      <c r="E229" s="924"/>
      <c r="F229" s="86" t="s">
        <v>15</v>
      </c>
      <c r="G229" s="87">
        <f>G227+G228</f>
        <v>7206721</v>
      </c>
      <c r="H229" s="87">
        <f>H227+H228</f>
        <v>4531818</v>
      </c>
      <c r="I229" s="87">
        <f>I227+I228</f>
        <v>2650691</v>
      </c>
      <c r="J229" s="87">
        <f>J227+J228</f>
        <v>2650691</v>
      </c>
      <c r="K229" s="87">
        <f>K227+K228</f>
        <v>0</v>
      </c>
      <c r="L229" s="924"/>
    </row>
    <row r="230" spans="1:12" s="88" customFormat="1" ht="21" customHeight="1" hidden="1">
      <c r="A230" s="918">
        <v>15</v>
      </c>
      <c r="B230" s="919"/>
      <c r="C230" s="919" t="s">
        <v>295</v>
      </c>
      <c r="D230" s="920" t="s">
        <v>296</v>
      </c>
      <c r="E230" s="918" t="s">
        <v>297</v>
      </c>
      <c r="F230" s="89" t="s">
        <v>13</v>
      </c>
      <c r="G230" s="90">
        <v>1278853</v>
      </c>
      <c r="H230" s="91">
        <f>106206+316956+316956+316956</f>
        <v>1057074</v>
      </c>
      <c r="I230" s="90">
        <f>J230+K230</f>
        <v>221779</v>
      </c>
      <c r="J230" s="90">
        <v>221779</v>
      </c>
      <c r="K230" s="90">
        <v>0</v>
      </c>
      <c r="L230" s="920" t="s">
        <v>298</v>
      </c>
    </row>
    <row r="231" spans="1:12" s="88" customFormat="1" ht="21" customHeight="1" hidden="1">
      <c r="A231" s="918"/>
      <c r="B231" s="919"/>
      <c r="C231" s="919"/>
      <c r="D231" s="920"/>
      <c r="E231" s="918"/>
      <c r="F231" s="89" t="s">
        <v>14</v>
      </c>
      <c r="G231" s="90"/>
      <c r="H231" s="91"/>
      <c r="I231" s="90">
        <f>J231+K231</f>
        <v>0</v>
      </c>
      <c r="J231" s="90"/>
      <c r="K231" s="90"/>
      <c r="L231" s="920"/>
    </row>
    <row r="232" spans="1:12" s="88" customFormat="1" ht="21" customHeight="1" hidden="1">
      <c r="A232" s="918"/>
      <c r="B232" s="919"/>
      <c r="C232" s="919"/>
      <c r="D232" s="920"/>
      <c r="E232" s="918"/>
      <c r="F232" s="89" t="s">
        <v>15</v>
      </c>
      <c r="G232" s="90">
        <f>G230+G231</f>
        <v>1278853</v>
      </c>
      <c r="H232" s="90">
        <f>H230+H231</f>
        <v>1057074</v>
      </c>
      <c r="I232" s="90">
        <f>I230+I231</f>
        <v>221779</v>
      </c>
      <c r="J232" s="90">
        <f>J230+J231</f>
        <v>221779</v>
      </c>
      <c r="K232" s="90">
        <f>K230+K231</f>
        <v>0</v>
      </c>
      <c r="L232" s="920"/>
    </row>
    <row r="233" spans="1:12" s="88" customFormat="1" ht="21" customHeight="1" hidden="1">
      <c r="A233" s="918">
        <v>16</v>
      </c>
      <c r="B233" s="919"/>
      <c r="C233" s="919" t="s">
        <v>295</v>
      </c>
      <c r="D233" s="920" t="s">
        <v>299</v>
      </c>
      <c r="E233" s="918" t="s">
        <v>297</v>
      </c>
      <c r="F233" s="89" t="s">
        <v>13</v>
      </c>
      <c r="G233" s="90">
        <v>1282988</v>
      </c>
      <c r="H233" s="91">
        <f>86234+317990+317990+317990</f>
        <v>1040204</v>
      </c>
      <c r="I233" s="90">
        <f>J233+K233</f>
        <v>242784</v>
      </c>
      <c r="J233" s="90">
        <v>242784</v>
      </c>
      <c r="K233" s="90">
        <v>0</v>
      </c>
      <c r="L233" s="920" t="s">
        <v>300</v>
      </c>
    </row>
    <row r="234" spans="1:12" s="88" customFormat="1" ht="21" customHeight="1" hidden="1">
      <c r="A234" s="918"/>
      <c r="B234" s="919"/>
      <c r="C234" s="919"/>
      <c r="D234" s="920"/>
      <c r="E234" s="918"/>
      <c r="F234" s="89" t="s">
        <v>14</v>
      </c>
      <c r="G234" s="90"/>
      <c r="H234" s="91"/>
      <c r="I234" s="90">
        <f>J234+K234</f>
        <v>0</v>
      </c>
      <c r="J234" s="90"/>
      <c r="K234" s="90"/>
      <c r="L234" s="920"/>
    </row>
    <row r="235" spans="1:12" s="88" customFormat="1" ht="21" customHeight="1" hidden="1">
      <c r="A235" s="918"/>
      <c r="B235" s="919"/>
      <c r="C235" s="919"/>
      <c r="D235" s="920"/>
      <c r="E235" s="918"/>
      <c r="F235" s="89" t="s">
        <v>15</v>
      </c>
      <c r="G235" s="90">
        <f>G233+G234</f>
        <v>1282988</v>
      </c>
      <c r="H235" s="90">
        <f>H233+H234</f>
        <v>1040204</v>
      </c>
      <c r="I235" s="90">
        <f>I233+I234</f>
        <v>242784</v>
      </c>
      <c r="J235" s="90">
        <f>J233+J234</f>
        <v>242784</v>
      </c>
      <c r="K235" s="90">
        <f>K233+K234</f>
        <v>0</v>
      </c>
      <c r="L235" s="920"/>
    </row>
    <row r="236" spans="1:12" s="88" customFormat="1" ht="15" customHeight="1" hidden="1">
      <c r="A236" s="918">
        <v>17</v>
      </c>
      <c r="B236" s="919"/>
      <c r="C236" s="919" t="s">
        <v>301</v>
      </c>
      <c r="D236" s="920" t="s">
        <v>302</v>
      </c>
      <c r="E236" s="918" t="s">
        <v>303</v>
      </c>
      <c r="F236" s="89" t="s">
        <v>13</v>
      </c>
      <c r="G236" s="90">
        <v>1144880</v>
      </c>
      <c r="H236" s="91">
        <f>262284+286128+286128</f>
        <v>834540</v>
      </c>
      <c r="I236" s="90">
        <f>J236+K236</f>
        <v>286128</v>
      </c>
      <c r="J236" s="90">
        <v>286128</v>
      </c>
      <c r="K236" s="90">
        <v>0</v>
      </c>
      <c r="L236" s="920" t="s">
        <v>304</v>
      </c>
    </row>
    <row r="237" spans="1:12" s="88" customFormat="1" ht="15" customHeight="1" hidden="1">
      <c r="A237" s="918"/>
      <c r="B237" s="919"/>
      <c r="C237" s="919"/>
      <c r="D237" s="920"/>
      <c r="E237" s="918"/>
      <c r="F237" s="89" t="s">
        <v>14</v>
      </c>
      <c r="G237" s="90"/>
      <c r="H237" s="91"/>
      <c r="I237" s="90">
        <f>J237+K237</f>
        <v>0</v>
      </c>
      <c r="J237" s="90"/>
      <c r="K237" s="90"/>
      <c r="L237" s="920"/>
    </row>
    <row r="238" spans="1:12" s="88" customFormat="1" ht="15" customHeight="1" hidden="1">
      <c r="A238" s="918"/>
      <c r="B238" s="919"/>
      <c r="C238" s="919"/>
      <c r="D238" s="920"/>
      <c r="E238" s="918"/>
      <c r="F238" s="89" t="s">
        <v>15</v>
      </c>
      <c r="G238" s="90">
        <f>G236+G237</f>
        <v>1144880</v>
      </c>
      <c r="H238" s="90">
        <f>H236+H237</f>
        <v>834540</v>
      </c>
      <c r="I238" s="90">
        <f>I236+I237</f>
        <v>286128</v>
      </c>
      <c r="J238" s="90">
        <f>J236+J237</f>
        <v>286128</v>
      </c>
      <c r="K238" s="90">
        <f>K236+K237</f>
        <v>0</v>
      </c>
      <c r="L238" s="920"/>
    </row>
    <row r="239" spans="1:12" s="88" customFormat="1" ht="12.75" hidden="1">
      <c r="A239" s="918">
        <v>18</v>
      </c>
      <c r="B239" s="919"/>
      <c r="C239" s="919" t="s">
        <v>305</v>
      </c>
      <c r="D239" s="926" t="s">
        <v>306</v>
      </c>
      <c r="E239" s="918" t="s">
        <v>307</v>
      </c>
      <c r="F239" s="89" t="s">
        <v>13</v>
      </c>
      <c r="G239" s="90">
        <v>3500000</v>
      </c>
      <c r="H239" s="91">
        <f>600000+1000000</f>
        <v>1600000</v>
      </c>
      <c r="I239" s="90">
        <f>J239+K239</f>
        <v>1900000</v>
      </c>
      <c r="J239" s="90">
        <v>1900000</v>
      </c>
      <c r="K239" s="90">
        <v>0</v>
      </c>
      <c r="L239" s="926" t="s">
        <v>308</v>
      </c>
    </row>
    <row r="240" spans="1:12" s="88" customFormat="1" ht="12.75" hidden="1">
      <c r="A240" s="918"/>
      <c r="B240" s="919"/>
      <c r="C240" s="919"/>
      <c r="D240" s="926"/>
      <c r="E240" s="918"/>
      <c r="F240" s="89" t="s">
        <v>14</v>
      </c>
      <c r="G240" s="90"/>
      <c r="H240" s="91"/>
      <c r="I240" s="90">
        <f>J240+K240</f>
        <v>0</v>
      </c>
      <c r="J240" s="90"/>
      <c r="K240" s="90"/>
      <c r="L240" s="926"/>
    </row>
    <row r="241" spans="1:12" s="88" customFormat="1" ht="12.75" hidden="1">
      <c r="A241" s="918"/>
      <c r="B241" s="919"/>
      <c r="C241" s="919"/>
      <c r="D241" s="926"/>
      <c r="E241" s="918"/>
      <c r="F241" s="89" t="s">
        <v>15</v>
      </c>
      <c r="G241" s="90">
        <f>G239+G240</f>
        <v>3500000</v>
      </c>
      <c r="H241" s="90">
        <f>H239+H240</f>
        <v>1600000</v>
      </c>
      <c r="I241" s="90">
        <f>I239+I240</f>
        <v>1900000</v>
      </c>
      <c r="J241" s="90">
        <f>J239+J240</f>
        <v>1900000</v>
      </c>
      <c r="K241" s="90">
        <f>K239+K240</f>
        <v>0</v>
      </c>
      <c r="L241" s="926"/>
    </row>
    <row r="242" spans="1:12" s="85" customFormat="1" ht="15" customHeight="1">
      <c r="A242" s="924"/>
      <c r="B242" s="922" t="s">
        <v>79</v>
      </c>
      <c r="C242" s="922"/>
      <c r="D242" s="927" t="s">
        <v>38</v>
      </c>
      <c r="E242" s="924" t="s">
        <v>76</v>
      </c>
      <c r="F242" s="86" t="s">
        <v>13</v>
      </c>
      <c r="G242" s="87">
        <f aca="true" t="shared" si="22" ref="G242:K243">G248+G245+G251</f>
        <v>10000</v>
      </c>
      <c r="H242" s="87">
        <f t="shared" si="22"/>
        <v>0</v>
      </c>
      <c r="I242" s="87">
        <f t="shared" si="22"/>
        <v>10000</v>
      </c>
      <c r="J242" s="87">
        <f t="shared" si="22"/>
        <v>10000</v>
      </c>
      <c r="K242" s="87">
        <f t="shared" si="22"/>
        <v>0</v>
      </c>
      <c r="L242" s="924" t="s">
        <v>76</v>
      </c>
    </row>
    <row r="243" spans="1:12" s="85" customFormat="1" ht="15" customHeight="1">
      <c r="A243" s="924"/>
      <c r="B243" s="922"/>
      <c r="C243" s="922"/>
      <c r="D243" s="927"/>
      <c r="E243" s="924"/>
      <c r="F243" s="86" t="s">
        <v>14</v>
      </c>
      <c r="G243" s="87">
        <f t="shared" si="22"/>
        <v>1100160</v>
      </c>
      <c r="H243" s="87">
        <f t="shared" si="22"/>
        <v>1048541</v>
      </c>
      <c r="I243" s="87">
        <f t="shared" si="22"/>
        <v>51619</v>
      </c>
      <c r="J243" s="87">
        <f t="shared" si="22"/>
        <v>51619</v>
      </c>
      <c r="K243" s="87">
        <f t="shared" si="22"/>
        <v>0</v>
      </c>
      <c r="L243" s="924"/>
    </row>
    <row r="244" spans="1:12" s="85" customFormat="1" ht="15" customHeight="1">
      <c r="A244" s="924"/>
      <c r="B244" s="922"/>
      <c r="C244" s="922"/>
      <c r="D244" s="927"/>
      <c r="E244" s="924"/>
      <c r="F244" s="86" t="s">
        <v>15</v>
      </c>
      <c r="G244" s="87">
        <f>G242+G243</f>
        <v>1110160</v>
      </c>
      <c r="H244" s="87">
        <f>H242+H243</f>
        <v>1048541</v>
      </c>
      <c r="I244" s="87">
        <f>I242+I243</f>
        <v>61619</v>
      </c>
      <c r="J244" s="87">
        <f>J242+J243</f>
        <v>61619</v>
      </c>
      <c r="K244" s="87">
        <f>K242+K243</f>
        <v>0</v>
      </c>
      <c r="L244" s="924"/>
    </row>
    <row r="245" spans="1:12" s="88" customFormat="1" ht="18" customHeight="1">
      <c r="A245" s="918">
        <v>11</v>
      </c>
      <c r="B245" s="919"/>
      <c r="C245" s="919" t="s">
        <v>342</v>
      </c>
      <c r="D245" s="926" t="s">
        <v>269</v>
      </c>
      <c r="E245" s="918" t="s">
        <v>270</v>
      </c>
      <c r="F245" s="89" t="s">
        <v>13</v>
      </c>
      <c r="G245" s="90">
        <v>0</v>
      </c>
      <c r="H245" s="91">
        <v>0</v>
      </c>
      <c r="I245" s="90">
        <f>J245+K245</f>
        <v>0</v>
      </c>
      <c r="J245" s="90">
        <v>0</v>
      </c>
      <c r="K245" s="90">
        <v>0</v>
      </c>
      <c r="L245" s="920" t="s">
        <v>229</v>
      </c>
    </row>
    <row r="246" spans="1:12" s="88" customFormat="1" ht="18" customHeight="1">
      <c r="A246" s="918"/>
      <c r="B246" s="919"/>
      <c r="C246" s="919"/>
      <c r="D246" s="926"/>
      <c r="E246" s="918"/>
      <c r="F246" s="89" t="s">
        <v>14</v>
      </c>
      <c r="G246" s="90">
        <v>1052649</v>
      </c>
      <c r="H246" s="91">
        <v>1006939</v>
      </c>
      <c r="I246" s="90">
        <f>J246+K246</f>
        <v>45710</v>
      </c>
      <c r="J246" s="90">
        <v>45710</v>
      </c>
      <c r="K246" s="90"/>
      <c r="L246" s="920"/>
    </row>
    <row r="247" spans="1:12" s="88" customFormat="1" ht="18" customHeight="1">
      <c r="A247" s="918"/>
      <c r="B247" s="919"/>
      <c r="C247" s="919"/>
      <c r="D247" s="926"/>
      <c r="E247" s="918"/>
      <c r="F247" s="89" t="s">
        <v>15</v>
      </c>
      <c r="G247" s="90">
        <f>G245+G246</f>
        <v>1052649</v>
      </c>
      <c r="H247" s="90">
        <f>H245+H246</f>
        <v>1006939</v>
      </c>
      <c r="I247" s="90">
        <f>I245+I246</f>
        <v>45710</v>
      </c>
      <c r="J247" s="90">
        <f>J245+J246</f>
        <v>45710</v>
      </c>
      <c r="K247" s="90">
        <f>K245+K246</f>
        <v>0</v>
      </c>
      <c r="L247" s="920"/>
    </row>
    <row r="248" spans="1:12" s="88" customFormat="1" ht="20.25" customHeight="1">
      <c r="A248" s="918">
        <v>12</v>
      </c>
      <c r="B248" s="919"/>
      <c r="C248" s="919" t="s">
        <v>209</v>
      </c>
      <c r="D248" s="926" t="s">
        <v>269</v>
      </c>
      <c r="E248" s="918" t="s">
        <v>270</v>
      </c>
      <c r="F248" s="89" t="s">
        <v>13</v>
      </c>
      <c r="G248" s="90">
        <v>10000</v>
      </c>
      <c r="H248" s="91">
        <v>0</v>
      </c>
      <c r="I248" s="90">
        <f>J248+K248</f>
        <v>10000</v>
      </c>
      <c r="J248" s="90">
        <v>10000</v>
      </c>
      <c r="K248" s="90">
        <v>0</v>
      </c>
      <c r="L248" s="920" t="s">
        <v>229</v>
      </c>
    </row>
    <row r="249" spans="1:12" s="88" customFormat="1" ht="20.25" customHeight="1">
      <c r="A249" s="918"/>
      <c r="B249" s="919"/>
      <c r="C249" s="919"/>
      <c r="D249" s="926"/>
      <c r="E249" s="918"/>
      <c r="F249" s="89" t="s">
        <v>14</v>
      </c>
      <c r="G249" s="90">
        <v>-10000</v>
      </c>
      <c r="H249" s="91">
        <v>0</v>
      </c>
      <c r="I249" s="90">
        <f>J249+K249</f>
        <v>-10000</v>
      </c>
      <c r="J249" s="90">
        <v>-10000</v>
      </c>
      <c r="K249" s="90"/>
      <c r="L249" s="920"/>
    </row>
    <row r="250" spans="1:12" s="88" customFormat="1" ht="20.25" customHeight="1">
      <c r="A250" s="918"/>
      <c r="B250" s="919"/>
      <c r="C250" s="919"/>
      <c r="D250" s="926"/>
      <c r="E250" s="918"/>
      <c r="F250" s="89" t="s">
        <v>15</v>
      </c>
      <c r="G250" s="90">
        <f>G248+G249</f>
        <v>0</v>
      </c>
      <c r="H250" s="90">
        <f>H248+H249</f>
        <v>0</v>
      </c>
      <c r="I250" s="90">
        <f>I248+I249</f>
        <v>0</v>
      </c>
      <c r="J250" s="90">
        <f>J248+J249</f>
        <v>0</v>
      </c>
      <c r="K250" s="90">
        <f>K248+K249</f>
        <v>0</v>
      </c>
      <c r="L250" s="920"/>
    </row>
    <row r="251" spans="1:12" s="88" customFormat="1" ht="20.25" customHeight="1">
      <c r="A251" s="918">
        <v>13</v>
      </c>
      <c r="B251" s="919"/>
      <c r="C251" s="919" t="s">
        <v>343</v>
      </c>
      <c r="D251" s="926" t="s">
        <v>269</v>
      </c>
      <c r="E251" s="918" t="s">
        <v>270</v>
      </c>
      <c r="F251" s="89" t="s">
        <v>13</v>
      </c>
      <c r="G251" s="90">
        <v>0</v>
      </c>
      <c r="H251" s="91">
        <v>0</v>
      </c>
      <c r="I251" s="90">
        <f>J251+K251</f>
        <v>0</v>
      </c>
      <c r="J251" s="90">
        <v>0</v>
      </c>
      <c r="K251" s="90">
        <v>0</v>
      </c>
      <c r="L251" s="920" t="s">
        <v>229</v>
      </c>
    </row>
    <row r="252" spans="1:12" s="88" customFormat="1" ht="20.25" customHeight="1">
      <c r="A252" s="918"/>
      <c r="B252" s="919"/>
      <c r="C252" s="919"/>
      <c r="D252" s="926"/>
      <c r="E252" s="918"/>
      <c r="F252" s="89" t="s">
        <v>14</v>
      </c>
      <c r="G252" s="90">
        <v>57511</v>
      </c>
      <c r="H252" s="91">
        <v>41602</v>
      </c>
      <c r="I252" s="90">
        <f>J252+K252</f>
        <v>15909</v>
      </c>
      <c r="J252" s="90">
        <v>15909</v>
      </c>
      <c r="K252" s="90"/>
      <c r="L252" s="920"/>
    </row>
    <row r="253" spans="1:12" s="88" customFormat="1" ht="20.25" customHeight="1">
      <c r="A253" s="918"/>
      <c r="B253" s="919"/>
      <c r="C253" s="919"/>
      <c r="D253" s="926"/>
      <c r="E253" s="918"/>
      <c r="F253" s="89" t="s">
        <v>15</v>
      </c>
      <c r="G253" s="90">
        <f>G251+G252</f>
        <v>57511</v>
      </c>
      <c r="H253" s="90">
        <f>H251+H252</f>
        <v>41602</v>
      </c>
      <c r="I253" s="90">
        <f>I251+I252</f>
        <v>15909</v>
      </c>
      <c r="J253" s="90">
        <f>J251+J252</f>
        <v>15909</v>
      </c>
      <c r="K253" s="90">
        <f>K251+K252</f>
        <v>0</v>
      </c>
      <c r="L253" s="920"/>
    </row>
    <row r="254" spans="1:12" s="85" customFormat="1" ht="15" customHeight="1">
      <c r="A254" s="924"/>
      <c r="B254" s="922" t="s">
        <v>250</v>
      </c>
      <c r="C254" s="922"/>
      <c r="D254" s="927" t="s">
        <v>39</v>
      </c>
      <c r="E254" s="924" t="s">
        <v>76</v>
      </c>
      <c r="F254" s="86" t="s">
        <v>13</v>
      </c>
      <c r="G254" s="87">
        <f aca="true" t="shared" si="23" ref="G254:K255">G257+G260+G263+G266+G269+G272</f>
        <v>23639418</v>
      </c>
      <c r="H254" s="87">
        <f t="shared" si="23"/>
        <v>8067168</v>
      </c>
      <c r="I254" s="87">
        <f t="shared" si="23"/>
        <v>6028050</v>
      </c>
      <c r="J254" s="87">
        <f t="shared" si="23"/>
        <v>5028050</v>
      </c>
      <c r="K254" s="87">
        <f t="shared" si="23"/>
        <v>1000000</v>
      </c>
      <c r="L254" s="924" t="s">
        <v>76</v>
      </c>
    </row>
    <row r="255" spans="1:12" s="85" customFormat="1" ht="15" customHeight="1">
      <c r="A255" s="924"/>
      <c r="B255" s="922"/>
      <c r="C255" s="922"/>
      <c r="D255" s="927"/>
      <c r="E255" s="924"/>
      <c r="F255" s="86" t="s">
        <v>14</v>
      </c>
      <c r="G255" s="87">
        <f t="shared" si="23"/>
        <v>68452</v>
      </c>
      <c r="H255" s="87">
        <f t="shared" si="23"/>
        <v>-2146333</v>
      </c>
      <c r="I255" s="87">
        <f t="shared" si="23"/>
        <v>2214755</v>
      </c>
      <c r="J255" s="87">
        <f t="shared" si="23"/>
        <v>1869767</v>
      </c>
      <c r="K255" s="87">
        <f t="shared" si="23"/>
        <v>344988</v>
      </c>
      <c r="L255" s="924"/>
    </row>
    <row r="256" spans="1:12" s="85" customFormat="1" ht="15" customHeight="1">
      <c r="A256" s="924"/>
      <c r="B256" s="922"/>
      <c r="C256" s="922"/>
      <c r="D256" s="927"/>
      <c r="E256" s="924"/>
      <c r="F256" s="86" t="s">
        <v>15</v>
      </c>
      <c r="G256" s="87">
        <f>G254+G255</f>
        <v>23707870</v>
      </c>
      <c r="H256" s="87">
        <f>H254+H255</f>
        <v>5920835</v>
      </c>
      <c r="I256" s="87">
        <f>I254+I255</f>
        <v>8242805</v>
      </c>
      <c r="J256" s="87">
        <f>J254+J255</f>
        <v>6897817</v>
      </c>
      <c r="K256" s="87">
        <f>K254+K255</f>
        <v>1344988</v>
      </c>
      <c r="L256" s="924"/>
    </row>
    <row r="257" spans="1:12" s="88" customFormat="1" ht="12.75">
      <c r="A257" s="918">
        <v>14</v>
      </c>
      <c r="B257" s="919"/>
      <c r="C257" s="928" t="s">
        <v>309</v>
      </c>
      <c r="D257" s="920" t="s">
        <v>310</v>
      </c>
      <c r="E257" s="918" t="s">
        <v>282</v>
      </c>
      <c r="F257" s="89" t="s">
        <v>13</v>
      </c>
      <c r="G257" s="90">
        <v>2700000</v>
      </c>
      <c r="H257" s="91">
        <v>700000</v>
      </c>
      <c r="I257" s="90">
        <f>J257+K257</f>
        <v>2000000</v>
      </c>
      <c r="J257" s="90">
        <v>1000000</v>
      </c>
      <c r="K257" s="90">
        <v>1000000</v>
      </c>
      <c r="L257" s="920" t="s">
        <v>311</v>
      </c>
    </row>
    <row r="258" spans="1:12" s="88" customFormat="1" ht="12.75">
      <c r="A258" s="918"/>
      <c r="B258" s="919"/>
      <c r="C258" s="928"/>
      <c r="D258" s="920"/>
      <c r="E258" s="918"/>
      <c r="F258" s="89" t="s">
        <v>14</v>
      </c>
      <c r="G258" s="90"/>
      <c r="H258" s="91">
        <v>-344988</v>
      </c>
      <c r="I258" s="90">
        <f>J258+K258</f>
        <v>344988</v>
      </c>
      <c r="J258" s="90"/>
      <c r="K258" s="90">
        <v>344988</v>
      </c>
      <c r="L258" s="920"/>
    </row>
    <row r="259" spans="1:12" s="88" customFormat="1" ht="12.75">
      <c r="A259" s="918"/>
      <c r="B259" s="919"/>
      <c r="C259" s="928"/>
      <c r="D259" s="920"/>
      <c r="E259" s="918"/>
      <c r="F259" s="89" t="s">
        <v>15</v>
      </c>
      <c r="G259" s="90">
        <f>G257+G258</f>
        <v>2700000</v>
      </c>
      <c r="H259" s="90">
        <f>H257+H258</f>
        <v>355012</v>
      </c>
      <c r="I259" s="90">
        <f>I257+I258</f>
        <v>2344988</v>
      </c>
      <c r="J259" s="90">
        <f>J257+J258</f>
        <v>1000000</v>
      </c>
      <c r="K259" s="90">
        <f>K257+K258</f>
        <v>1344988</v>
      </c>
      <c r="L259" s="920"/>
    </row>
    <row r="260" spans="1:12" s="88" customFormat="1" ht="24" customHeight="1" hidden="1">
      <c r="A260" s="918">
        <v>21</v>
      </c>
      <c r="B260" s="919"/>
      <c r="C260" s="919" t="s">
        <v>251</v>
      </c>
      <c r="D260" s="920" t="s">
        <v>312</v>
      </c>
      <c r="E260" s="918" t="s">
        <v>313</v>
      </c>
      <c r="F260" s="89" t="s">
        <v>13</v>
      </c>
      <c r="G260" s="90">
        <v>9575438</v>
      </c>
      <c r="H260" s="91">
        <v>0</v>
      </c>
      <c r="I260" s="90">
        <f>J260+K260</f>
        <v>116783</v>
      </c>
      <c r="J260" s="90">
        <v>116783</v>
      </c>
      <c r="K260" s="90">
        <v>0</v>
      </c>
      <c r="L260" s="920" t="s">
        <v>314</v>
      </c>
    </row>
    <row r="261" spans="1:12" s="88" customFormat="1" ht="24" customHeight="1" hidden="1">
      <c r="A261" s="918"/>
      <c r="B261" s="919"/>
      <c r="C261" s="919"/>
      <c r="D261" s="920"/>
      <c r="E261" s="918"/>
      <c r="F261" s="89" t="s">
        <v>14</v>
      </c>
      <c r="G261" s="90"/>
      <c r="H261" s="91"/>
      <c r="I261" s="90">
        <f>J261+K261</f>
        <v>0</v>
      </c>
      <c r="J261" s="90"/>
      <c r="K261" s="90"/>
      <c r="L261" s="920"/>
    </row>
    <row r="262" spans="1:12" s="88" customFormat="1" ht="24" customHeight="1" hidden="1">
      <c r="A262" s="918"/>
      <c r="B262" s="919"/>
      <c r="C262" s="919"/>
      <c r="D262" s="920"/>
      <c r="E262" s="918"/>
      <c r="F262" s="89" t="s">
        <v>15</v>
      </c>
      <c r="G262" s="90">
        <f>G260+G261</f>
        <v>9575438</v>
      </c>
      <c r="H262" s="90">
        <f>H260+H261</f>
        <v>0</v>
      </c>
      <c r="I262" s="90">
        <f>I260+I261</f>
        <v>116783</v>
      </c>
      <c r="J262" s="90">
        <f>J260+J261</f>
        <v>116783</v>
      </c>
      <c r="K262" s="90">
        <f>K260+K261</f>
        <v>0</v>
      </c>
      <c r="L262" s="920"/>
    </row>
    <row r="263" spans="1:12" s="88" customFormat="1" ht="12.75">
      <c r="A263" s="918">
        <v>15</v>
      </c>
      <c r="B263" s="919"/>
      <c r="C263" s="919" t="s">
        <v>251</v>
      </c>
      <c r="D263" s="920" t="s">
        <v>315</v>
      </c>
      <c r="E263" s="918" t="s">
        <v>316</v>
      </c>
      <c r="F263" s="89" t="s">
        <v>13</v>
      </c>
      <c r="G263" s="90">
        <v>4713706</v>
      </c>
      <c r="H263" s="91">
        <f>12300+110700+1005427+3471219</f>
        <v>4599646</v>
      </c>
      <c r="I263" s="90">
        <f>J263+K263</f>
        <v>28515</v>
      </c>
      <c r="J263" s="90">
        <v>28515</v>
      </c>
      <c r="K263" s="90">
        <v>0</v>
      </c>
      <c r="L263" s="920" t="s">
        <v>314</v>
      </c>
    </row>
    <row r="264" spans="1:12" s="88" customFormat="1" ht="12.75">
      <c r="A264" s="918"/>
      <c r="B264" s="919"/>
      <c r="C264" s="919"/>
      <c r="D264" s="920"/>
      <c r="E264" s="918"/>
      <c r="F264" s="89" t="s">
        <v>14</v>
      </c>
      <c r="G264" s="90">
        <v>853488</v>
      </c>
      <c r="H264" s="91">
        <v>-446542</v>
      </c>
      <c r="I264" s="90">
        <f>J264+K264</f>
        <v>1300000</v>
      </c>
      <c r="J264" s="90">
        <v>1300000</v>
      </c>
      <c r="K264" s="90"/>
      <c r="L264" s="920"/>
    </row>
    <row r="265" spans="1:12" s="88" customFormat="1" ht="12.75">
      <c r="A265" s="918"/>
      <c r="B265" s="919"/>
      <c r="C265" s="919"/>
      <c r="D265" s="920"/>
      <c r="E265" s="918"/>
      <c r="F265" s="89" t="s">
        <v>15</v>
      </c>
      <c r="G265" s="90">
        <f>G263+G264</f>
        <v>5567194</v>
      </c>
      <c r="H265" s="90">
        <f>H263+H264</f>
        <v>4153104</v>
      </c>
      <c r="I265" s="90">
        <f>I263+I264</f>
        <v>1328515</v>
      </c>
      <c r="J265" s="90">
        <f>J263+J264</f>
        <v>1328515</v>
      </c>
      <c r="K265" s="90">
        <f>K263+K264</f>
        <v>0</v>
      </c>
      <c r="L265" s="920"/>
    </row>
    <row r="266" spans="1:12" s="88" customFormat="1" ht="15.75" customHeight="1">
      <c r="A266" s="918">
        <v>16</v>
      </c>
      <c r="B266" s="919"/>
      <c r="C266" s="919" t="s">
        <v>317</v>
      </c>
      <c r="D266" s="920" t="s">
        <v>318</v>
      </c>
      <c r="E266" s="918" t="s">
        <v>272</v>
      </c>
      <c r="F266" s="89" t="s">
        <v>13</v>
      </c>
      <c r="G266" s="90">
        <v>4470111</v>
      </c>
      <c r="H266" s="91">
        <v>2237359</v>
      </c>
      <c r="I266" s="90">
        <f>J266+K266</f>
        <v>2232752</v>
      </c>
      <c r="J266" s="90">
        <v>2232752</v>
      </c>
      <c r="K266" s="90">
        <v>0</v>
      </c>
      <c r="L266" s="920" t="s">
        <v>319</v>
      </c>
    </row>
    <row r="267" spans="1:12" s="88" customFormat="1" ht="15.75" customHeight="1">
      <c r="A267" s="918"/>
      <c r="B267" s="919"/>
      <c r="C267" s="919"/>
      <c r="D267" s="920"/>
      <c r="E267" s="918"/>
      <c r="F267" s="89" t="s">
        <v>14</v>
      </c>
      <c r="G267" s="90">
        <v>-789286</v>
      </c>
      <c r="H267" s="91">
        <v>-1354803</v>
      </c>
      <c r="I267" s="90">
        <f>J267+K267</f>
        <v>565517</v>
      </c>
      <c r="J267" s="90">
        <v>565517</v>
      </c>
      <c r="K267" s="90"/>
      <c r="L267" s="920"/>
    </row>
    <row r="268" spans="1:12" s="88" customFormat="1" ht="15.75" customHeight="1">
      <c r="A268" s="918"/>
      <c r="B268" s="919"/>
      <c r="C268" s="919"/>
      <c r="D268" s="920"/>
      <c r="E268" s="918"/>
      <c r="F268" s="89" t="s">
        <v>15</v>
      </c>
      <c r="G268" s="90">
        <f>G266+G267</f>
        <v>3680825</v>
      </c>
      <c r="H268" s="90">
        <f>H266+H267</f>
        <v>882556</v>
      </c>
      <c r="I268" s="90">
        <f>I266+I267</f>
        <v>2798269</v>
      </c>
      <c r="J268" s="90">
        <f>J266+J267</f>
        <v>2798269</v>
      </c>
      <c r="K268" s="90">
        <f>K266+K267</f>
        <v>0</v>
      </c>
      <c r="L268" s="920"/>
    </row>
    <row r="269" spans="1:12" s="88" customFormat="1" ht="12.75" hidden="1">
      <c r="A269" s="918">
        <v>24</v>
      </c>
      <c r="B269" s="919"/>
      <c r="C269" s="919" t="s">
        <v>317</v>
      </c>
      <c r="D269" s="920" t="s">
        <v>320</v>
      </c>
      <c r="E269" s="918" t="s">
        <v>272</v>
      </c>
      <c r="F269" s="89" t="s">
        <v>13</v>
      </c>
      <c r="G269" s="90">
        <v>2180163</v>
      </c>
      <c r="H269" s="91">
        <f>180163+350000</f>
        <v>530163</v>
      </c>
      <c r="I269" s="90">
        <f>J269+K269</f>
        <v>1650000</v>
      </c>
      <c r="J269" s="90">
        <v>1650000</v>
      </c>
      <c r="K269" s="90">
        <v>0</v>
      </c>
      <c r="L269" s="920" t="s">
        <v>319</v>
      </c>
    </row>
    <row r="270" spans="1:12" s="88" customFormat="1" ht="12.75" hidden="1">
      <c r="A270" s="918"/>
      <c r="B270" s="919"/>
      <c r="C270" s="919"/>
      <c r="D270" s="920"/>
      <c r="E270" s="918"/>
      <c r="F270" s="89" t="s">
        <v>14</v>
      </c>
      <c r="G270" s="90"/>
      <c r="H270" s="91"/>
      <c r="I270" s="90">
        <f>J270+K270</f>
        <v>0</v>
      </c>
      <c r="J270" s="90"/>
      <c r="K270" s="90"/>
      <c r="L270" s="920"/>
    </row>
    <row r="271" spans="1:12" s="88" customFormat="1" ht="12.75" hidden="1">
      <c r="A271" s="918"/>
      <c r="B271" s="919"/>
      <c r="C271" s="919"/>
      <c r="D271" s="920"/>
      <c r="E271" s="918"/>
      <c r="F271" s="89" t="s">
        <v>15</v>
      </c>
      <c r="G271" s="90">
        <f>G269+G270</f>
        <v>2180163</v>
      </c>
      <c r="H271" s="90">
        <f>H269+H270</f>
        <v>530163</v>
      </c>
      <c r="I271" s="90">
        <f>I269+I270</f>
        <v>1650000</v>
      </c>
      <c r="J271" s="90">
        <f>J269+J270</f>
        <v>1650000</v>
      </c>
      <c r="K271" s="90">
        <f>K269+K270</f>
        <v>0</v>
      </c>
      <c r="L271" s="920"/>
    </row>
    <row r="272" spans="1:12" s="88" customFormat="1" ht="20.25" customHeight="1">
      <c r="A272" s="918">
        <v>17</v>
      </c>
      <c r="B272" s="919"/>
      <c r="C272" s="919" t="s">
        <v>254</v>
      </c>
      <c r="D272" s="926" t="s">
        <v>269</v>
      </c>
      <c r="E272" s="918" t="s">
        <v>270</v>
      </c>
      <c r="F272" s="89" t="s">
        <v>13</v>
      </c>
      <c r="G272" s="90">
        <v>0</v>
      </c>
      <c r="H272" s="91">
        <v>0</v>
      </c>
      <c r="I272" s="90">
        <f>J272+K272</f>
        <v>0</v>
      </c>
      <c r="J272" s="90">
        <v>0</v>
      </c>
      <c r="K272" s="90">
        <v>0</v>
      </c>
      <c r="L272" s="920" t="s">
        <v>229</v>
      </c>
    </row>
    <row r="273" spans="1:12" s="88" customFormat="1" ht="20.25" customHeight="1">
      <c r="A273" s="918"/>
      <c r="B273" s="919"/>
      <c r="C273" s="919"/>
      <c r="D273" s="926"/>
      <c r="E273" s="918"/>
      <c r="F273" s="89" t="s">
        <v>14</v>
      </c>
      <c r="G273" s="90">
        <v>4250</v>
      </c>
      <c r="H273" s="91"/>
      <c r="I273" s="90">
        <f>J273+K273</f>
        <v>4250</v>
      </c>
      <c r="J273" s="90">
        <v>4250</v>
      </c>
      <c r="K273" s="90"/>
      <c r="L273" s="920"/>
    </row>
    <row r="274" spans="1:12" s="88" customFormat="1" ht="20.25" customHeight="1">
      <c r="A274" s="918"/>
      <c r="B274" s="919"/>
      <c r="C274" s="919"/>
      <c r="D274" s="926"/>
      <c r="E274" s="918"/>
      <c r="F274" s="89" t="s">
        <v>15</v>
      </c>
      <c r="G274" s="90">
        <f>G272+G273</f>
        <v>4250</v>
      </c>
      <c r="H274" s="90">
        <f>H272+H273</f>
        <v>0</v>
      </c>
      <c r="I274" s="90">
        <f>I272+I273</f>
        <v>4250</v>
      </c>
      <c r="J274" s="90">
        <f>J272+J273</f>
        <v>4250</v>
      </c>
      <c r="K274" s="90">
        <f>K272+K273</f>
        <v>0</v>
      </c>
      <c r="L274" s="920"/>
    </row>
    <row r="275" spans="1:12" s="88" customFormat="1" ht="12.75">
      <c r="A275" s="89"/>
      <c r="B275" s="696"/>
      <c r="C275" s="696"/>
      <c r="D275" s="695"/>
      <c r="E275" s="89"/>
      <c r="F275" s="89"/>
      <c r="G275" s="90"/>
      <c r="H275" s="91"/>
      <c r="I275" s="90"/>
      <c r="J275" s="90"/>
      <c r="K275" s="90"/>
      <c r="L275" s="697"/>
    </row>
    <row r="276" spans="1:12" s="85" customFormat="1" ht="15.75" customHeight="1">
      <c r="A276" s="931" t="s">
        <v>266</v>
      </c>
      <c r="B276" s="931"/>
      <c r="C276" s="931"/>
      <c r="D276" s="931"/>
      <c r="E276" s="932" t="s">
        <v>76</v>
      </c>
      <c r="F276" s="82" t="s">
        <v>13</v>
      </c>
      <c r="G276" s="731">
        <f aca="true" t="shared" si="24" ref="G276:K277">G143+G155+G185+G197+G209+G215+G221+G227+G242+G254+G203+G149</f>
        <v>149353515</v>
      </c>
      <c r="H276" s="731">
        <f t="shared" si="24"/>
        <v>59898495</v>
      </c>
      <c r="I276" s="731">
        <f t="shared" si="24"/>
        <v>41857658</v>
      </c>
      <c r="J276" s="731">
        <f t="shared" si="24"/>
        <v>40557658</v>
      </c>
      <c r="K276" s="731">
        <f t="shared" si="24"/>
        <v>1300000</v>
      </c>
      <c r="L276" s="931" t="s">
        <v>76</v>
      </c>
    </row>
    <row r="277" spans="1:12" s="85" customFormat="1" ht="15.75">
      <c r="A277" s="931"/>
      <c r="B277" s="931"/>
      <c r="C277" s="931"/>
      <c r="D277" s="931"/>
      <c r="E277" s="932"/>
      <c r="F277" s="82" t="s">
        <v>14</v>
      </c>
      <c r="G277" s="731">
        <f t="shared" si="24"/>
        <v>13327489</v>
      </c>
      <c r="H277" s="731">
        <f t="shared" si="24"/>
        <v>-6178784</v>
      </c>
      <c r="I277" s="731">
        <f t="shared" si="24"/>
        <v>14464644</v>
      </c>
      <c r="J277" s="731">
        <f t="shared" si="24"/>
        <v>13641431</v>
      </c>
      <c r="K277" s="731">
        <f t="shared" si="24"/>
        <v>823213</v>
      </c>
      <c r="L277" s="931"/>
    </row>
    <row r="278" spans="1:12" s="85" customFormat="1" ht="15.75">
      <c r="A278" s="931"/>
      <c r="B278" s="931"/>
      <c r="C278" s="931"/>
      <c r="D278" s="931"/>
      <c r="E278" s="932"/>
      <c r="F278" s="82" t="s">
        <v>15</v>
      </c>
      <c r="G278" s="731">
        <f>G276+G277</f>
        <v>162681004</v>
      </c>
      <c r="H278" s="731">
        <f>H276+H277</f>
        <v>53719711</v>
      </c>
      <c r="I278" s="731">
        <f>I276+I277</f>
        <v>56322302</v>
      </c>
      <c r="J278" s="731">
        <f>J276+J277</f>
        <v>54199089</v>
      </c>
      <c r="K278" s="731">
        <f>K276+K277</f>
        <v>2123213</v>
      </c>
      <c r="L278" s="931"/>
    </row>
    <row r="279" spans="1:12" s="88" customFormat="1" ht="12.75">
      <c r="A279" s="921"/>
      <c r="B279" s="921"/>
      <c r="C279" s="921"/>
      <c r="D279" s="921"/>
      <c r="E279" s="921"/>
      <c r="F279" s="921"/>
      <c r="G279" s="921"/>
      <c r="H279" s="921"/>
      <c r="I279" s="921"/>
      <c r="J279" s="921"/>
      <c r="K279" s="921"/>
      <c r="L279" s="921"/>
    </row>
    <row r="280" spans="1:12" s="93" customFormat="1" ht="15.75">
      <c r="A280" s="82" t="s">
        <v>321</v>
      </c>
      <c r="B280" s="935" t="s">
        <v>322</v>
      </c>
      <c r="C280" s="935"/>
      <c r="D280" s="935"/>
      <c r="E280" s="935"/>
      <c r="F280" s="935"/>
      <c r="G280" s="935"/>
      <c r="H280" s="935"/>
      <c r="I280" s="935"/>
      <c r="J280" s="935"/>
      <c r="K280" s="935"/>
      <c r="L280" s="935"/>
    </row>
    <row r="281" spans="1:12" s="85" customFormat="1" ht="12.75">
      <c r="A281" s="940"/>
      <c r="B281" s="940"/>
      <c r="C281" s="940"/>
      <c r="D281" s="940"/>
      <c r="E281" s="940"/>
      <c r="F281" s="940"/>
      <c r="G281" s="940"/>
      <c r="H281" s="940"/>
      <c r="I281" s="940"/>
      <c r="J281" s="940"/>
      <c r="K281" s="940"/>
      <c r="L281" s="940"/>
    </row>
    <row r="282" spans="1:12" s="85" customFormat="1" ht="12.75">
      <c r="A282" s="924" t="s">
        <v>76</v>
      </c>
      <c r="B282" s="924" t="s">
        <v>76</v>
      </c>
      <c r="C282" s="924" t="s">
        <v>76</v>
      </c>
      <c r="D282" s="924" t="s">
        <v>76</v>
      </c>
      <c r="E282" s="924" t="s">
        <v>76</v>
      </c>
      <c r="F282" s="86" t="s">
        <v>13</v>
      </c>
      <c r="G282" s="924" t="s">
        <v>76</v>
      </c>
      <c r="H282" s="924" t="s">
        <v>76</v>
      </c>
      <c r="I282" s="92">
        <f>J282+K282</f>
        <v>359062306</v>
      </c>
      <c r="J282" s="92">
        <v>43881343</v>
      </c>
      <c r="K282" s="92">
        <v>315180963</v>
      </c>
      <c r="L282" s="924" t="s">
        <v>76</v>
      </c>
    </row>
    <row r="283" spans="1:12" s="85" customFormat="1" ht="12.75">
      <c r="A283" s="924"/>
      <c r="B283" s="924"/>
      <c r="C283" s="924"/>
      <c r="D283" s="924"/>
      <c r="E283" s="924"/>
      <c r="F283" s="86" t="s">
        <v>14</v>
      </c>
      <c r="G283" s="924"/>
      <c r="H283" s="924"/>
      <c r="I283" s="92">
        <f>J283+K283</f>
        <v>-50776780</v>
      </c>
      <c r="J283" s="92">
        <v>6561643</v>
      </c>
      <c r="K283" s="92">
        <v>-57338423</v>
      </c>
      <c r="L283" s="924"/>
    </row>
    <row r="284" spans="1:12" s="85" customFormat="1" ht="12.75">
      <c r="A284" s="924"/>
      <c r="B284" s="924"/>
      <c r="C284" s="924"/>
      <c r="D284" s="924"/>
      <c r="E284" s="924"/>
      <c r="F284" s="86" t="s">
        <v>15</v>
      </c>
      <c r="G284" s="924"/>
      <c r="H284" s="924"/>
      <c r="I284" s="92">
        <f>I282+I283</f>
        <v>308285526</v>
      </c>
      <c r="J284" s="92">
        <f>J282+J283</f>
        <v>50442986</v>
      </c>
      <c r="K284" s="92">
        <f>K282+K283</f>
        <v>257842540</v>
      </c>
      <c r="L284" s="924"/>
    </row>
    <row r="285" spans="1:12" s="85" customFormat="1" ht="5.25" customHeight="1" hidden="1" thickBot="1">
      <c r="A285" s="925" t="s">
        <v>323</v>
      </c>
      <c r="B285" s="925"/>
      <c r="C285" s="925"/>
      <c r="D285" s="925"/>
      <c r="E285" s="925"/>
      <c r="F285" s="925"/>
      <c r="G285" s="925"/>
      <c r="H285" s="925"/>
      <c r="I285" s="925"/>
      <c r="J285" s="925"/>
      <c r="K285" s="925"/>
      <c r="L285" s="925"/>
    </row>
    <row r="286" spans="1:12" s="93" customFormat="1" ht="15.75" hidden="1">
      <c r="A286" s="82" t="s">
        <v>324</v>
      </c>
      <c r="B286" s="935" t="s">
        <v>325</v>
      </c>
      <c r="C286" s="935"/>
      <c r="D286" s="935"/>
      <c r="E286" s="935"/>
      <c r="F286" s="935"/>
      <c r="G286" s="935"/>
      <c r="H286" s="935"/>
      <c r="I286" s="935"/>
      <c r="J286" s="935"/>
      <c r="K286" s="935"/>
      <c r="L286" s="935"/>
    </row>
    <row r="287" spans="1:12" s="85" customFormat="1" ht="6" customHeight="1" hidden="1" thickBot="1">
      <c r="A287" s="940"/>
      <c r="B287" s="940"/>
      <c r="C287" s="940"/>
      <c r="D287" s="940"/>
      <c r="E287" s="940"/>
      <c r="F287" s="940"/>
      <c r="G287" s="940"/>
      <c r="H287" s="940"/>
      <c r="I287" s="940"/>
      <c r="J287" s="940"/>
      <c r="K287" s="940"/>
      <c r="L287" s="940"/>
    </row>
    <row r="288" spans="1:12" s="85" customFormat="1" ht="12.75" hidden="1">
      <c r="A288" s="924" t="s">
        <v>76</v>
      </c>
      <c r="B288" s="924" t="s">
        <v>76</v>
      </c>
      <c r="C288" s="924" t="s">
        <v>76</v>
      </c>
      <c r="D288" s="924" t="s">
        <v>76</v>
      </c>
      <c r="E288" s="924" t="s">
        <v>76</v>
      </c>
      <c r="F288" s="86" t="s">
        <v>13</v>
      </c>
      <c r="G288" s="924" t="s">
        <v>76</v>
      </c>
      <c r="H288" s="924" t="s">
        <v>76</v>
      </c>
      <c r="I288" s="92">
        <f>J288+K288</f>
        <v>16113679</v>
      </c>
      <c r="J288" s="92">
        <v>4974609</v>
      </c>
      <c r="K288" s="92">
        <v>11139070</v>
      </c>
      <c r="L288" s="924" t="s">
        <v>76</v>
      </c>
    </row>
    <row r="289" spans="1:12" s="85" customFormat="1" ht="12.75" hidden="1">
      <c r="A289" s="924"/>
      <c r="B289" s="924"/>
      <c r="C289" s="924"/>
      <c r="D289" s="924"/>
      <c r="E289" s="924"/>
      <c r="F289" s="86" t="s">
        <v>14</v>
      </c>
      <c r="G289" s="924"/>
      <c r="H289" s="924"/>
      <c r="I289" s="92">
        <f>J289+K289</f>
        <v>0</v>
      </c>
      <c r="J289" s="92"/>
      <c r="K289" s="92"/>
      <c r="L289" s="924"/>
    </row>
    <row r="290" spans="1:12" s="85" customFormat="1" ht="12.75" hidden="1">
      <c r="A290" s="924"/>
      <c r="B290" s="924"/>
      <c r="C290" s="924"/>
      <c r="D290" s="924"/>
      <c r="E290" s="924"/>
      <c r="F290" s="86" t="s">
        <v>15</v>
      </c>
      <c r="G290" s="924"/>
      <c r="H290" s="924"/>
      <c r="I290" s="92">
        <f>I288+I289</f>
        <v>16113679</v>
      </c>
      <c r="J290" s="92">
        <f>J288+J289</f>
        <v>4974609</v>
      </c>
      <c r="K290" s="92">
        <f>K288+K289</f>
        <v>11139070</v>
      </c>
      <c r="L290" s="924"/>
    </row>
    <row r="291" spans="1:12" s="85" customFormat="1" ht="3" customHeight="1" hidden="1" thickBot="1">
      <c r="A291" s="925" t="s">
        <v>323</v>
      </c>
      <c r="B291" s="925"/>
      <c r="C291" s="925"/>
      <c r="D291" s="925"/>
      <c r="E291" s="925"/>
      <c r="F291" s="925"/>
      <c r="G291" s="925"/>
      <c r="H291" s="925"/>
      <c r="I291" s="925"/>
      <c r="J291" s="925"/>
      <c r="K291" s="925"/>
      <c r="L291" s="925"/>
    </row>
    <row r="292" spans="1:12" s="93" customFormat="1" ht="15.75" hidden="1">
      <c r="A292" s="82" t="s">
        <v>336</v>
      </c>
      <c r="B292" s="935" t="s">
        <v>337</v>
      </c>
      <c r="C292" s="935"/>
      <c r="D292" s="935"/>
      <c r="E292" s="935"/>
      <c r="F292" s="935"/>
      <c r="G292" s="935"/>
      <c r="H292" s="935"/>
      <c r="I292" s="935"/>
      <c r="J292" s="935"/>
      <c r="K292" s="935"/>
      <c r="L292" s="935"/>
    </row>
    <row r="293" spans="1:12" s="85" customFormat="1" ht="3.75" customHeight="1" hidden="1" thickBot="1">
      <c r="A293" s="940"/>
      <c r="B293" s="940"/>
      <c r="C293" s="940"/>
      <c r="D293" s="940"/>
      <c r="E293" s="940"/>
      <c r="F293" s="940"/>
      <c r="G293" s="940"/>
      <c r="H293" s="940"/>
      <c r="I293" s="940"/>
      <c r="J293" s="940"/>
      <c r="K293" s="940"/>
      <c r="L293" s="940"/>
    </row>
    <row r="294" spans="1:12" s="99" customFormat="1" ht="12.75" hidden="1">
      <c r="A294" s="942">
        <v>1</v>
      </c>
      <c r="B294" s="942">
        <v>150</v>
      </c>
      <c r="C294" s="942">
        <v>15011</v>
      </c>
      <c r="D294" s="941" t="s">
        <v>338</v>
      </c>
      <c r="E294" s="942">
        <v>2019</v>
      </c>
      <c r="F294" s="100" t="s">
        <v>13</v>
      </c>
      <c r="G294" s="101">
        <v>14909</v>
      </c>
      <c r="H294" s="943" t="s">
        <v>76</v>
      </c>
      <c r="I294" s="101">
        <f>J294+K294</f>
        <v>14909</v>
      </c>
      <c r="J294" s="101">
        <v>0</v>
      </c>
      <c r="K294" s="101">
        <v>14909</v>
      </c>
      <c r="L294" s="920" t="s">
        <v>229</v>
      </c>
    </row>
    <row r="295" spans="1:12" s="99" customFormat="1" ht="13.5" customHeight="1" hidden="1">
      <c r="A295" s="942"/>
      <c r="B295" s="942"/>
      <c r="C295" s="942"/>
      <c r="D295" s="941"/>
      <c r="E295" s="942"/>
      <c r="F295" s="100" t="s">
        <v>14</v>
      </c>
      <c r="G295" s="101"/>
      <c r="H295" s="943"/>
      <c r="I295" s="101">
        <f>J295+K295</f>
        <v>0</v>
      </c>
      <c r="J295" s="101"/>
      <c r="K295" s="101"/>
      <c r="L295" s="920"/>
    </row>
    <row r="296" spans="1:12" s="99" customFormat="1" ht="14.25" customHeight="1" hidden="1" thickBot="1">
      <c r="A296" s="942"/>
      <c r="B296" s="942"/>
      <c r="C296" s="942"/>
      <c r="D296" s="941"/>
      <c r="E296" s="942"/>
      <c r="F296" s="100" t="s">
        <v>15</v>
      </c>
      <c r="G296" s="101">
        <f>G294+G295</f>
        <v>14909</v>
      </c>
      <c r="H296" s="943"/>
      <c r="I296" s="101">
        <f>I294+I295</f>
        <v>14909</v>
      </c>
      <c r="J296" s="101">
        <f>J294+J295</f>
        <v>0</v>
      </c>
      <c r="K296" s="101">
        <f>K294+K295</f>
        <v>14909</v>
      </c>
      <c r="L296" s="920"/>
    </row>
    <row r="297" spans="1:12" s="85" customFormat="1" ht="12.75">
      <c r="A297" s="924"/>
      <c r="B297" s="924"/>
      <c r="C297" s="924"/>
      <c r="D297" s="924"/>
      <c r="E297" s="924"/>
      <c r="F297" s="924"/>
      <c r="G297" s="924"/>
      <c r="H297" s="924"/>
      <c r="I297" s="924"/>
      <c r="J297" s="924"/>
      <c r="K297" s="924"/>
      <c r="L297" s="924"/>
    </row>
    <row r="298" spans="1:12" s="81" customFormat="1" ht="16.5">
      <c r="A298" s="931" t="s">
        <v>12</v>
      </c>
      <c r="B298" s="931"/>
      <c r="C298" s="931"/>
      <c r="D298" s="931"/>
      <c r="E298" s="932" t="s">
        <v>76</v>
      </c>
      <c r="F298" s="82" t="s">
        <v>13</v>
      </c>
      <c r="G298" s="932" t="s">
        <v>76</v>
      </c>
      <c r="H298" s="932" t="s">
        <v>76</v>
      </c>
      <c r="I298" s="83">
        <f aca="true" t="shared" si="25" ref="I298:K299">I13</f>
        <v>441570339</v>
      </c>
      <c r="J298" s="83">
        <f t="shared" si="25"/>
        <v>107935397</v>
      </c>
      <c r="K298" s="83">
        <f t="shared" si="25"/>
        <v>333634942</v>
      </c>
      <c r="L298" s="931" t="s">
        <v>76</v>
      </c>
    </row>
    <row r="299" spans="1:12" s="81" customFormat="1" ht="16.5">
      <c r="A299" s="931"/>
      <c r="B299" s="931"/>
      <c r="C299" s="931"/>
      <c r="D299" s="931"/>
      <c r="E299" s="932"/>
      <c r="F299" s="82" t="s">
        <v>14</v>
      </c>
      <c r="G299" s="932"/>
      <c r="H299" s="932"/>
      <c r="I299" s="83">
        <f t="shared" si="25"/>
        <v>-34872735</v>
      </c>
      <c r="J299" s="83">
        <f t="shared" si="25"/>
        <v>21642475</v>
      </c>
      <c r="K299" s="83">
        <f t="shared" si="25"/>
        <v>-56515210</v>
      </c>
      <c r="L299" s="931"/>
    </row>
    <row r="300" spans="1:12" s="81" customFormat="1" ht="16.5">
      <c r="A300" s="931"/>
      <c r="B300" s="931"/>
      <c r="C300" s="931"/>
      <c r="D300" s="931"/>
      <c r="E300" s="932"/>
      <c r="F300" s="82" t="s">
        <v>15</v>
      </c>
      <c r="G300" s="932"/>
      <c r="H300" s="932"/>
      <c r="I300" s="83">
        <f>I298+I299</f>
        <v>406697604</v>
      </c>
      <c r="J300" s="83">
        <f>J298+J299</f>
        <v>129577872</v>
      </c>
      <c r="K300" s="83">
        <f>K298+K299</f>
        <v>277119732</v>
      </c>
      <c r="L300" s="931"/>
    </row>
    <row r="301" ht="6" customHeight="1"/>
    <row r="302" ht="12.75">
      <c r="A302" s="44" t="s">
        <v>11</v>
      </c>
    </row>
    <row r="303" ht="12.75">
      <c r="A303" s="44" t="s">
        <v>41</v>
      </c>
    </row>
    <row r="304" ht="12.75">
      <c r="A304" s="44" t="s">
        <v>42</v>
      </c>
    </row>
    <row r="305" ht="12.75">
      <c r="A305" s="44" t="s">
        <v>43</v>
      </c>
    </row>
    <row r="307" spans="7:11" ht="12.75">
      <c r="G307" s="76"/>
      <c r="H307" s="76"/>
      <c r="I307" s="76"/>
      <c r="J307" s="76"/>
      <c r="K307" s="76"/>
    </row>
  </sheetData>
  <sheetProtection password="C25B" sheet="1"/>
  <mergeCells count="608">
    <mergeCell ref="H115:H117"/>
    <mergeCell ref="L115:L117"/>
    <mergeCell ref="C121:C123"/>
    <mergeCell ref="D121:D123"/>
    <mergeCell ref="E121:E123"/>
    <mergeCell ref="H121:H123"/>
    <mergeCell ref="L121:L123"/>
    <mergeCell ref="A115:A117"/>
    <mergeCell ref="B115:B117"/>
    <mergeCell ref="C115:C117"/>
    <mergeCell ref="D115:D117"/>
    <mergeCell ref="E115:E117"/>
    <mergeCell ref="L91:L93"/>
    <mergeCell ref="A112:A114"/>
    <mergeCell ref="B112:B114"/>
    <mergeCell ref="C112:C114"/>
    <mergeCell ref="D112:D114"/>
    <mergeCell ref="E112:E114"/>
    <mergeCell ref="H112:H114"/>
    <mergeCell ref="L112:L114"/>
    <mergeCell ref="A91:A93"/>
    <mergeCell ref="B91:B93"/>
    <mergeCell ref="C91:C93"/>
    <mergeCell ref="D91:D93"/>
    <mergeCell ref="E91:E93"/>
    <mergeCell ref="H91:H93"/>
    <mergeCell ref="H100:H102"/>
    <mergeCell ref="D170:D172"/>
    <mergeCell ref="E170:E172"/>
    <mergeCell ref="L170:L172"/>
    <mergeCell ref="A173:A175"/>
    <mergeCell ref="B173:B175"/>
    <mergeCell ref="C173:C175"/>
    <mergeCell ref="D173:D175"/>
    <mergeCell ref="E173:E175"/>
    <mergeCell ref="L173:L175"/>
    <mergeCell ref="A294:A296"/>
    <mergeCell ref="B294:B296"/>
    <mergeCell ref="C294:C296"/>
    <mergeCell ref="A170:A172"/>
    <mergeCell ref="B170:B172"/>
    <mergeCell ref="C170:C172"/>
    <mergeCell ref="A282:A284"/>
    <mergeCell ref="B282:B284"/>
    <mergeCell ref="C282:C284"/>
    <mergeCell ref="A269:A271"/>
    <mergeCell ref="A297:L297"/>
    <mergeCell ref="A298:D300"/>
    <mergeCell ref="E298:E300"/>
    <mergeCell ref="G298:G300"/>
    <mergeCell ref="H298:H300"/>
    <mergeCell ref="L298:L300"/>
    <mergeCell ref="D282:D284"/>
    <mergeCell ref="D294:D296"/>
    <mergeCell ref="E294:E296"/>
    <mergeCell ref="H294:H296"/>
    <mergeCell ref="G288:G290"/>
    <mergeCell ref="H288:H290"/>
    <mergeCell ref="A291:L291"/>
    <mergeCell ref="B292:L292"/>
    <mergeCell ref="A293:L293"/>
    <mergeCell ref="L294:L296"/>
    <mergeCell ref="A285:L285"/>
    <mergeCell ref="B286:L286"/>
    <mergeCell ref="A287:L287"/>
    <mergeCell ref="A288:A290"/>
    <mergeCell ref="B288:B290"/>
    <mergeCell ref="C288:C290"/>
    <mergeCell ref="D288:D290"/>
    <mergeCell ref="E288:E290"/>
    <mergeCell ref="L288:L290"/>
    <mergeCell ref="E282:E284"/>
    <mergeCell ref="G282:G284"/>
    <mergeCell ref="A276:D278"/>
    <mergeCell ref="E276:E278"/>
    <mergeCell ref="L276:L278"/>
    <mergeCell ref="A279:L279"/>
    <mergeCell ref="B280:L280"/>
    <mergeCell ref="A281:L281"/>
    <mergeCell ref="H282:H284"/>
    <mergeCell ref="L282:L284"/>
    <mergeCell ref="B269:B271"/>
    <mergeCell ref="C269:C271"/>
    <mergeCell ref="D269:D271"/>
    <mergeCell ref="E269:E271"/>
    <mergeCell ref="L269:L271"/>
    <mergeCell ref="A266:A268"/>
    <mergeCell ref="B266:B268"/>
    <mergeCell ref="C266:C268"/>
    <mergeCell ref="D266:D268"/>
    <mergeCell ref="E266:E268"/>
    <mergeCell ref="L266:L268"/>
    <mergeCell ref="A263:A265"/>
    <mergeCell ref="B263:B265"/>
    <mergeCell ref="C263:C265"/>
    <mergeCell ref="D263:D265"/>
    <mergeCell ref="E263:E265"/>
    <mergeCell ref="L263:L265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L7:L10"/>
    <mergeCell ref="I8:I10"/>
    <mergeCell ref="J8:K8"/>
    <mergeCell ref="J9:J10"/>
    <mergeCell ref="K9:K10"/>
    <mergeCell ref="A13:A15"/>
    <mergeCell ref="B13:B15"/>
    <mergeCell ref="C13:C15"/>
    <mergeCell ref="D13:D15"/>
    <mergeCell ref="E13:E15"/>
    <mergeCell ref="G13:G15"/>
    <mergeCell ref="H13:H15"/>
    <mergeCell ref="L13:L15"/>
    <mergeCell ref="B17:L17"/>
    <mergeCell ref="A19:A21"/>
    <mergeCell ref="B19:B21"/>
    <mergeCell ref="C19:C21"/>
    <mergeCell ref="D19:D21"/>
    <mergeCell ref="E19:E21"/>
    <mergeCell ref="H19:H21"/>
    <mergeCell ref="L19:L21"/>
    <mergeCell ref="H25:H27"/>
    <mergeCell ref="L25:L27"/>
    <mergeCell ref="A22:A24"/>
    <mergeCell ref="B22:B24"/>
    <mergeCell ref="C22:C24"/>
    <mergeCell ref="D22:D24"/>
    <mergeCell ref="E22:E24"/>
    <mergeCell ref="H22:H24"/>
    <mergeCell ref="C28:C30"/>
    <mergeCell ref="D28:D30"/>
    <mergeCell ref="E28:E30"/>
    <mergeCell ref="H28:H30"/>
    <mergeCell ref="L22:L24"/>
    <mergeCell ref="A25:A27"/>
    <mergeCell ref="B25:B27"/>
    <mergeCell ref="C25:C27"/>
    <mergeCell ref="D25:D27"/>
    <mergeCell ref="E25:E27"/>
    <mergeCell ref="L28:L30"/>
    <mergeCell ref="A31:A33"/>
    <mergeCell ref="B31:B33"/>
    <mergeCell ref="C31:C33"/>
    <mergeCell ref="D31:D33"/>
    <mergeCell ref="E31:E33"/>
    <mergeCell ref="H31:H33"/>
    <mergeCell ref="L31:L33"/>
    <mergeCell ref="A28:A30"/>
    <mergeCell ref="B28:B30"/>
    <mergeCell ref="H37:H39"/>
    <mergeCell ref="L37:L39"/>
    <mergeCell ref="A34:A36"/>
    <mergeCell ref="B34:B36"/>
    <mergeCell ref="C34:C36"/>
    <mergeCell ref="D34:D36"/>
    <mergeCell ref="E34:E36"/>
    <mergeCell ref="H34:H36"/>
    <mergeCell ref="C40:C42"/>
    <mergeCell ref="D40:D42"/>
    <mergeCell ref="E40:E42"/>
    <mergeCell ref="H40:H42"/>
    <mergeCell ref="L34:L36"/>
    <mergeCell ref="A37:A39"/>
    <mergeCell ref="B37:B39"/>
    <mergeCell ref="C37:C39"/>
    <mergeCell ref="D37:D39"/>
    <mergeCell ref="E37:E39"/>
    <mergeCell ref="L40:L42"/>
    <mergeCell ref="A43:A45"/>
    <mergeCell ref="B43:B45"/>
    <mergeCell ref="C43:C45"/>
    <mergeCell ref="D43:D45"/>
    <mergeCell ref="E43:E45"/>
    <mergeCell ref="H43:H45"/>
    <mergeCell ref="L43:L45"/>
    <mergeCell ref="A40:A42"/>
    <mergeCell ref="B40:B42"/>
    <mergeCell ref="H49:H51"/>
    <mergeCell ref="L49:L51"/>
    <mergeCell ref="A46:A48"/>
    <mergeCell ref="B46:B48"/>
    <mergeCell ref="C46:C48"/>
    <mergeCell ref="D46:D48"/>
    <mergeCell ref="E46:E48"/>
    <mergeCell ref="H46:H48"/>
    <mergeCell ref="C52:C54"/>
    <mergeCell ref="D52:D54"/>
    <mergeCell ref="E52:E54"/>
    <mergeCell ref="H52:H54"/>
    <mergeCell ref="L46:L48"/>
    <mergeCell ref="A49:A51"/>
    <mergeCell ref="B49:B51"/>
    <mergeCell ref="C49:C51"/>
    <mergeCell ref="D49:D51"/>
    <mergeCell ref="E49:E51"/>
    <mergeCell ref="L52:L54"/>
    <mergeCell ref="A61:A63"/>
    <mergeCell ref="B61:B63"/>
    <mergeCell ref="C61:C63"/>
    <mergeCell ref="D61:D63"/>
    <mergeCell ref="E61:E63"/>
    <mergeCell ref="H61:H63"/>
    <mergeCell ref="L61:L63"/>
    <mergeCell ref="A52:A54"/>
    <mergeCell ref="B52:B54"/>
    <mergeCell ref="H73:H75"/>
    <mergeCell ref="L73:L75"/>
    <mergeCell ref="A64:A66"/>
    <mergeCell ref="B64:B66"/>
    <mergeCell ref="C64:C66"/>
    <mergeCell ref="D64:D66"/>
    <mergeCell ref="E64:E66"/>
    <mergeCell ref="H64:H66"/>
    <mergeCell ref="A67:A69"/>
    <mergeCell ref="B67:B69"/>
    <mergeCell ref="C76:C78"/>
    <mergeCell ref="D76:D78"/>
    <mergeCell ref="E76:E78"/>
    <mergeCell ref="H76:H78"/>
    <mergeCell ref="L64:L66"/>
    <mergeCell ref="A73:A75"/>
    <mergeCell ref="B73:B75"/>
    <mergeCell ref="C73:C75"/>
    <mergeCell ref="D73:D75"/>
    <mergeCell ref="E73:E75"/>
    <mergeCell ref="L76:L78"/>
    <mergeCell ref="A79:A81"/>
    <mergeCell ref="B79:B81"/>
    <mergeCell ref="C79:C81"/>
    <mergeCell ref="D79:D81"/>
    <mergeCell ref="E79:E81"/>
    <mergeCell ref="H79:H81"/>
    <mergeCell ref="L79:L81"/>
    <mergeCell ref="A76:A78"/>
    <mergeCell ref="B76:B78"/>
    <mergeCell ref="H85:H87"/>
    <mergeCell ref="L85:L87"/>
    <mergeCell ref="A82:A84"/>
    <mergeCell ref="B82:B84"/>
    <mergeCell ref="C82:C84"/>
    <mergeCell ref="D82:D84"/>
    <mergeCell ref="E82:E84"/>
    <mergeCell ref="H82:H84"/>
    <mergeCell ref="C88:C90"/>
    <mergeCell ref="D88:D90"/>
    <mergeCell ref="E88:E90"/>
    <mergeCell ref="H88:H90"/>
    <mergeCell ref="L82:L84"/>
    <mergeCell ref="A85:A87"/>
    <mergeCell ref="B85:B87"/>
    <mergeCell ref="C85:C87"/>
    <mergeCell ref="D85:D87"/>
    <mergeCell ref="E85:E87"/>
    <mergeCell ref="L88:L90"/>
    <mergeCell ref="A94:A96"/>
    <mergeCell ref="B94:B96"/>
    <mergeCell ref="C94:C96"/>
    <mergeCell ref="D94:D96"/>
    <mergeCell ref="E94:E96"/>
    <mergeCell ref="H94:H96"/>
    <mergeCell ref="L94:L96"/>
    <mergeCell ref="A88:A90"/>
    <mergeCell ref="B88:B90"/>
    <mergeCell ref="A97:A99"/>
    <mergeCell ref="B97:B99"/>
    <mergeCell ref="C97:C99"/>
    <mergeCell ref="D97:D99"/>
    <mergeCell ref="E97:E99"/>
    <mergeCell ref="H97:H99"/>
    <mergeCell ref="D103:D105"/>
    <mergeCell ref="E103:E105"/>
    <mergeCell ref="H103:H105"/>
    <mergeCell ref="L97:L99"/>
    <mergeCell ref="A100:A102"/>
    <mergeCell ref="B100:B102"/>
    <mergeCell ref="C100:C102"/>
    <mergeCell ref="D100:D102"/>
    <mergeCell ref="E100:E102"/>
    <mergeCell ref="L100:L102"/>
    <mergeCell ref="L103:L105"/>
    <mergeCell ref="A109:A111"/>
    <mergeCell ref="B109:B111"/>
    <mergeCell ref="C109:C111"/>
    <mergeCell ref="D109:D111"/>
    <mergeCell ref="E109:E111"/>
    <mergeCell ref="H109:H111"/>
    <mergeCell ref="L109:L111"/>
    <mergeCell ref="A103:A105"/>
    <mergeCell ref="B103:B105"/>
    <mergeCell ref="H127:H129"/>
    <mergeCell ref="L127:L129"/>
    <mergeCell ref="A118:A120"/>
    <mergeCell ref="B118:B120"/>
    <mergeCell ref="C118:C120"/>
    <mergeCell ref="D118:D120"/>
    <mergeCell ref="E118:E120"/>
    <mergeCell ref="H118:H120"/>
    <mergeCell ref="A121:A123"/>
    <mergeCell ref="B121:B123"/>
    <mergeCell ref="C130:C132"/>
    <mergeCell ref="D130:D132"/>
    <mergeCell ref="E130:E132"/>
    <mergeCell ref="H130:H132"/>
    <mergeCell ref="L118:L120"/>
    <mergeCell ref="A127:A129"/>
    <mergeCell ref="B127:B129"/>
    <mergeCell ref="C127:C129"/>
    <mergeCell ref="D127:D129"/>
    <mergeCell ref="E127:E129"/>
    <mergeCell ref="L130:L132"/>
    <mergeCell ref="A133:A135"/>
    <mergeCell ref="B133:B135"/>
    <mergeCell ref="C133:C135"/>
    <mergeCell ref="D133:D135"/>
    <mergeCell ref="E133:E135"/>
    <mergeCell ref="H133:H135"/>
    <mergeCell ref="L133:L135"/>
    <mergeCell ref="A130:A132"/>
    <mergeCell ref="B130:B132"/>
    <mergeCell ref="A137:D139"/>
    <mergeCell ref="E137:E139"/>
    <mergeCell ref="H137:H139"/>
    <mergeCell ref="L137:L139"/>
    <mergeCell ref="A140:L140"/>
    <mergeCell ref="B141:L141"/>
    <mergeCell ref="A143:A145"/>
    <mergeCell ref="B143:B145"/>
    <mergeCell ref="C143:C145"/>
    <mergeCell ref="D143:D145"/>
    <mergeCell ref="E143:E145"/>
    <mergeCell ref="L143:L145"/>
    <mergeCell ref="A146:A148"/>
    <mergeCell ref="B146:B148"/>
    <mergeCell ref="C146:C148"/>
    <mergeCell ref="D146:D148"/>
    <mergeCell ref="E146:E148"/>
    <mergeCell ref="L146:L148"/>
    <mergeCell ref="A155:A157"/>
    <mergeCell ref="B155:B157"/>
    <mergeCell ref="C155:C157"/>
    <mergeCell ref="D155:D157"/>
    <mergeCell ref="E155:E157"/>
    <mergeCell ref="L155:L157"/>
    <mergeCell ref="A158:A160"/>
    <mergeCell ref="B158:B160"/>
    <mergeCell ref="C158:C160"/>
    <mergeCell ref="D158:D160"/>
    <mergeCell ref="E158:E160"/>
    <mergeCell ref="L158:L160"/>
    <mergeCell ref="A161:A163"/>
    <mergeCell ref="B161:B163"/>
    <mergeCell ref="C161:C163"/>
    <mergeCell ref="D161:D163"/>
    <mergeCell ref="E161:E163"/>
    <mergeCell ref="L161:L163"/>
    <mergeCell ref="A164:A166"/>
    <mergeCell ref="B164:B166"/>
    <mergeCell ref="C164:C166"/>
    <mergeCell ref="D164:D166"/>
    <mergeCell ref="E164:E166"/>
    <mergeCell ref="L164:L166"/>
    <mergeCell ref="A167:A169"/>
    <mergeCell ref="B167:B169"/>
    <mergeCell ref="C167:C169"/>
    <mergeCell ref="D167:D169"/>
    <mergeCell ref="E167:E169"/>
    <mergeCell ref="L167:L169"/>
    <mergeCell ref="A179:A181"/>
    <mergeCell ref="B179:B181"/>
    <mergeCell ref="C179:C181"/>
    <mergeCell ref="D179:D181"/>
    <mergeCell ref="E179:E181"/>
    <mergeCell ref="L179:L181"/>
    <mergeCell ref="A182:A184"/>
    <mergeCell ref="B182:B184"/>
    <mergeCell ref="C182:C184"/>
    <mergeCell ref="D182:D184"/>
    <mergeCell ref="E182:E184"/>
    <mergeCell ref="L182:L184"/>
    <mergeCell ref="A185:A187"/>
    <mergeCell ref="B185:B187"/>
    <mergeCell ref="C185:C187"/>
    <mergeCell ref="D185:D187"/>
    <mergeCell ref="E185:E187"/>
    <mergeCell ref="L185:L187"/>
    <mergeCell ref="A188:A190"/>
    <mergeCell ref="B188:B190"/>
    <mergeCell ref="C188:C190"/>
    <mergeCell ref="D188:D190"/>
    <mergeCell ref="E188:E190"/>
    <mergeCell ref="L188:L190"/>
    <mergeCell ref="A191:A193"/>
    <mergeCell ref="B191:B193"/>
    <mergeCell ref="C191:C193"/>
    <mergeCell ref="D191:D193"/>
    <mergeCell ref="E191:E193"/>
    <mergeCell ref="L191:L193"/>
    <mergeCell ref="A194:A196"/>
    <mergeCell ref="B194:B196"/>
    <mergeCell ref="C194:C196"/>
    <mergeCell ref="D194:D196"/>
    <mergeCell ref="E194:E196"/>
    <mergeCell ref="L194:L196"/>
    <mergeCell ref="A197:A199"/>
    <mergeCell ref="B197:B199"/>
    <mergeCell ref="C197:C199"/>
    <mergeCell ref="D197:D199"/>
    <mergeCell ref="E197:E199"/>
    <mergeCell ref="L197:L199"/>
    <mergeCell ref="A200:A202"/>
    <mergeCell ref="B200:B202"/>
    <mergeCell ref="C200:C202"/>
    <mergeCell ref="D200:D202"/>
    <mergeCell ref="E200:E202"/>
    <mergeCell ref="L200:L202"/>
    <mergeCell ref="A203:A205"/>
    <mergeCell ref="B203:B205"/>
    <mergeCell ref="C203:C205"/>
    <mergeCell ref="D203:D205"/>
    <mergeCell ref="E203:E205"/>
    <mergeCell ref="L203:L205"/>
    <mergeCell ref="A206:A208"/>
    <mergeCell ref="B206:B208"/>
    <mergeCell ref="C206:C208"/>
    <mergeCell ref="D206:D208"/>
    <mergeCell ref="E206:E208"/>
    <mergeCell ref="L206:L208"/>
    <mergeCell ref="A209:A211"/>
    <mergeCell ref="B209:B211"/>
    <mergeCell ref="C209:C211"/>
    <mergeCell ref="D209:D211"/>
    <mergeCell ref="E209:E211"/>
    <mergeCell ref="L209:L211"/>
    <mergeCell ref="A212:A214"/>
    <mergeCell ref="B212:B214"/>
    <mergeCell ref="C212:C214"/>
    <mergeCell ref="D212:D214"/>
    <mergeCell ref="E212:E214"/>
    <mergeCell ref="L212:L214"/>
    <mergeCell ref="A215:A217"/>
    <mergeCell ref="B215:B217"/>
    <mergeCell ref="C215:C217"/>
    <mergeCell ref="D215:D217"/>
    <mergeCell ref="E215:E217"/>
    <mergeCell ref="L215:L217"/>
    <mergeCell ref="A218:A220"/>
    <mergeCell ref="B218:B220"/>
    <mergeCell ref="C218:C220"/>
    <mergeCell ref="D218:D220"/>
    <mergeCell ref="E218:E220"/>
    <mergeCell ref="L218:L220"/>
    <mergeCell ref="A221:A223"/>
    <mergeCell ref="B221:B223"/>
    <mergeCell ref="C221:C223"/>
    <mergeCell ref="D221:D223"/>
    <mergeCell ref="E221:E223"/>
    <mergeCell ref="L221:L223"/>
    <mergeCell ref="A224:A226"/>
    <mergeCell ref="B224:B226"/>
    <mergeCell ref="C224:C226"/>
    <mergeCell ref="D224:D226"/>
    <mergeCell ref="E224:E226"/>
    <mergeCell ref="L224:L226"/>
    <mergeCell ref="A227:A229"/>
    <mergeCell ref="B227:B229"/>
    <mergeCell ref="C227:C229"/>
    <mergeCell ref="D227:D229"/>
    <mergeCell ref="E227:E229"/>
    <mergeCell ref="L227:L229"/>
    <mergeCell ref="A230:A232"/>
    <mergeCell ref="B230:B232"/>
    <mergeCell ref="C230:C232"/>
    <mergeCell ref="D230:D232"/>
    <mergeCell ref="E230:E232"/>
    <mergeCell ref="L230:L232"/>
    <mergeCell ref="A5:L5"/>
    <mergeCell ref="A233:A235"/>
    <mergeCell ref="B233:B235"/>
    <mergeCell ref="C233:C235"/>
    <mergeCell ref="D233:D235"/>
    <mergeCell ref="E233:E235"/>
    <mergeCell ref="L233:L235"/>
    <mergeCell ref="A149:A151"/>
    <mergeCell ref="B149:B151"/>
    <mergeCell ref="C149:C151"/>
    <mergeCell ref="A236:A238"/>
    <mergeCell ref="B236:B238"/>
    <mergeCell ref="C236:C238"/>
    <mergeCell ref="D236:D238"/>
    <mergeCell ref="E236:E238"/>
    <mergeCell ref="L236:L238"/>
    <mergeCell ref="A239:A241"/>
    <mergeCell ref="B239:B241"/>
    <mergeCell ref="C239:C241"/>
    <mergeCell ref="D239:D241"/>
    <mergeCell ref="E239:E241"/>
    <mergeCell ref="L239:L241"/>
    <mergeCell ref="A242:A244"/>
    <mergeCell ref="B242:B244"/>
    <mergeCell ref="C242:C244"/>
    <mergeCell ref="D242:D244"/>
    <mergeCell ref="E242:E244"/>
    <mergeCell ref="L242:L244"/>
    <mergeCell ref="A248:A250"/>
    <mergeCell ref="B248:B250"/>
    <mergeCell ref="C248:C250"/>
    <mergeCell ref="D248:D250"/>
    <mergeCell ref="E248:E250"/>
    <mergeCell ref="L248:L250"/>
    <mergeCell ref="A254:A256"/>
    <mergeCell ref="B254:B256"/>
    <mergeCell ref="C254:C256"/>
    <mergeCell ref="D254:D256"/>
    <mergeCell ref="E254:E256"/>
    <mergeCell ref="L254:L256"/>
    <mergeCell ref="D260:D262"/>
    <mergeCell ref="E260:E262"/>
    <mergeCell ref="L260:L262"/>
    <mergeCell ref="A257:A259"/>
    <mergeCell ref="B257:B259"/>
    <mergeCell ref="C257:C259"/>
    <mergeCell ref="D257:D259"/>
    <mergeCell ref="E257:E259"/>
    <mergeCell ref="L257:L259"/>
    <mergeCell ref="D149:D151"/>
    <mergeCell ref="E149:E151"/>
    <mergeCell ref="L149:L151"/>
    <mergeCell ref="A152:A154"/>
    <mergeCell ref="B152:B154"/>
    <mergeCell ref="C152:C154"/>
    <mergeCell ref="D152:D154"/>
    <mergeCell ref="E152:E154"/>
    <mergeCell ref="L152:L154"/>
    <mergeCell ref="A245:A247"/>
    <mergeCell ref="B245:B247"/>
    <mergeCell ref="C245:C247"/>
    <mergeCell ref="D245:D247"/>
    <mergeCell ref="E245:E247"/>
    <mergeCell ref="L245:L247"/>
    <mergeCell ref="L272:L274"/>
    <mergeCell ref="A251:A253"/>
    <mergeCell ref="B251:B253"/>
    <mergeCell ref="C251:C253"/>
    <mergeCell ref="D251:D253"/>
    <mergeCell ref="E251:E253"/>
    <mergeCell ref="L251:L253"/>
    <mergeCell ref="A260:A262"/>
    <mergeCell ref="B260:B262"/>
    <mergeCell ref="C260:C262"/>
    <mergeCell ref="A70:A72"/>
    <mergeCell ref="B70:B72"/>
    <mergeCell ref="C70:C72"/>
    <mergeCell ref="D70:D72"/>
    <mergeCell ref="E70:E72"/>
    <mergeCell ref="A272:A274"/>
    <mergeCell ref="B272:B274"/>
    <mergeCell ref="C272:C274"/>
    <mergeCell ref="D272:D274"/>
    <mergeCell ref="E272:E274"/>
    <mergeCell ref="C67:C69"/>
    <mergeCell ref="D67:D69"/>
    <mergeCell ref="E67:E69"/>
    <mergeCell ref="H67:H69"/>
    <mergeCell ref="L67:L69"/>
    <mergeCell ref="L58:L60"/>
    <mergeCell ref="H70:H72"/>
    <mergeCell ref="L70:L72"/>
    <mergeCell ref="A55:A57"/>
    <mergeCell ref="B55:B57"/>
    <mergeCell ref="C55:C57"/>
    <mergeCell ref="D55:D57"/>
    <mergeCell ref="E55:E57"/>
    <mergeCell ref="H55:H57"/>
    <mergeCell ref="L55:L57"/>
    <mergeCell ref="A58:A60"/>
    <mergeCell ref="C106:C108"/>
    <mergeCell ref="D106:D108"/>
    <mergeCell ref="E106:E108"/>
    <mergeCell ref="H106:H108"/>
    <mergeCell ref="B58:B60"/>
    <mergeCell ref="C58:C60"/>
    <mergeCell ref="D58:D60"/>
    <mergeCell ref="E58:E60"/>
    <mergeCell ref="H58:H60"/>
    <mergeCell ref="C103:C105"/>
    <mergeCell ref="L106:L108"/>
    <mergeCell ref="A124:A126"/>
    <mergeCell ref="B124:B126"/>
    <mergeCell ref="C124:C126"/>
    <mergeCell ref="D124:D126"/>
    <mergeCell ref="E124:E126"/>
    <mergeCell ref="H124:H126"/>
    <mergeCell ref="L124:L126"/>
    <mergeCell ref="A106:A108"/>
    <mergeCell ref="B106:B108"/>
    <mergeCell ref="A176:A178"/>
    <mergeCell ref="B176:B178"/>
    <mergeCell ref="C176:C178"/>
    <mergeCell ref="D176:D178"/>
    <mergeCell ref="E176:E178"/>
    <mergeCell ref="L176:L17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54"/>
  <sheetViews>
    <sheetView view="pageBreakPreview" zoomScaleNormal="75" zoomScaleSheetLayoutView="100" zoomScalePageLayoutView="0" workbookViewId="0" topLeftCell="A582">
      <selection activeCell="E642" sqref="E642:F644"/>
    </sheetView>
  </sheetViews>
  <sheetFormatPr defaultColWidth="8" defaultRowHeight="14.25"/>
  <cols>
    <col min="1" max="1" width="2.19921875" style="637" customWidth="1"/>
    <col min="2" max="2" width="3.3984375" style="637" customWidth="1"/>
    <col min="3" max="3" width="3.5" style="637" customWidth="1"/>
    <col min="4" max="4" width="5.3984375" style="637" customWidth="1"/>
    <col min="5" max="5" width="9.59765625" style="630" customWidth="1"/>
    <col min="6" max="6" width="49.3984375" style="629" customWidth="1"/>
    <col min="7" max="7" width="2.3984375" style="630" customWidth="1"/>
    <col min="8" max="8" width="12.3984375" style="631" customWidth="1"/>
    <col min="9" max="9" width="12.59765625" style="632" customWidth="1"/>
    <col min="10" max="14" width="12.19921875" style="632" customWidth="1"/>
    <col min="15" max="16384" width="8" style="633" customWidth="1"/>
  </cols>
  <sheetData>
    <row r="1" spans="4:14" s="504" customFormat="1" ht="18" customHeight="1">
      <c r="D1" s="505"/>
      <c r="E1" s="506"/>
      <c r="F1" s="507"/>
      <c r="G1" s="506"/>
      <c r="H1" s="508"/>
      <c r="I1" s="507"/>
      <c r="J1" s="507"/>
      <c r="K1" s="507"/>
      <c r="L1" s="1062" t="s">
        <v>916</v>
      </c>
      <c r="M1" s="1062"/>
      <c r="N1" s="1062"/>
    </row>
    <row r="2" spans="3:14" s="504" customFormat="1" ht="18" customHeight="1">
      <c r="C2" s="509" t="s">
        <v>689</v>
      </c>
      <c r="D2" s="509"/>
      <c r="E2" s="506"/>
      <c r="F2" s="507"/>
      <c r="G2" s="506"/>
      <c r="H2" s="508"/>
      <c r="I2" s="507"/>
      <c r="J2" s="510"/>
      <c r="K2" s="510"/>
      <c r="L2" s="507" t="s">
        <v>690</v>
      </c>
      <c r="M2" s="510"/>
      <c r="N2" s="510"/>
    </row>
    <row r="3" spans="4:14" s="504" customFormat="1" ht="3" customHeight="1">
      <c r="D3" s="509"/>
      <c r="E3" s="506"/>
      <c r="F3" s="507"/>
      <c r="G3" s="506"/>
      <c r="H3" s="508"/>
      <c r="I3" s="507"/>
      <c r="J3" s="510"/>
      <c r="K3" s="510"/>
      <c r="L3" s="507"/>
      <c r="M3" s="510"/>
      <c r="N3" s="510"/>
    </row>
    <row r="4" spans="1:14" s="504" customFormat="1" ht="33.75" customHeight="1">
      <c r="A4" s="1063" t="s">
        <v>691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</row>
    <row r="5" spans="1:14" s="504" customFormat="1" ht="12" customHeight="1">
      <c r="A5" s="511"/>
      <c r="B5" s="511"/>
      <c r="C5" s="511"/>
      <c r="D5" s="511"/>
      <c r="E5" s="512"/>
      <c r="F5" s="510"/>
      <c r="G5" s="512"/>
      <c r="H5" s="513"/>
      <c r="I5" s="505"/>
      <c r="J5" s="505"/>
      <c r="K5" s="505"/>
      <c r="L5" s="505"/>
      <c r="M5" s="505"/>
      <c r="N5" s="505" t="s">
        <v>0</v>
      </c>
    </row>
    <row r="6" spans="1:14" s="516" customFormat="1" ht="30.75" customHeight="1">
      <c r="A6" s="1065" t="s">
        <v>692</v>
      </c>
      <c r="B6" s="1066"/>
      <c r="C6" s="1065" t="s">
        <v>8</v>
      </c>
      <c r="D6" s="1066"/>
      <c r="E6" s="1065" t="s">
        <v>693</v>
      </c>
      <c r="F6" s="1071"/>
      <c r="G6" s="1074" t="s">
        <v>11</v>
      </c>
      <c r="H6" s="1077" t="s">
        <v>90</v>
      </c>
      <c r="I6" s="1080" t="s">
        <v>694</v>
      </c>
      <c r="J6" s="1081"/>
      <c r="K6" s="1082"/>
      <c r="L6" s="1080" t="s">
        <v>695</v>
      </c>
      <c r="M6" s="1081"/>
      <c r="N6" s="1082"/>
    </row>
    <row r="7" spans="1:14" s="516" customFormat="1" ht="15.75" customHeight="1">
      <c r="A7" s="1067"/>
      <c r="B7" s="1068"/>
      <c r="C7" s="1067"/>
      <c r="D7" s="1068"/>
      <c r="E7" s="1072"/>
      <c r="F7" s="1073"/>
      <c r="G7" s="1075"/>
      <c r="H7" s="1078"/>
      <c r="I7" s="1053" t="s">
        <v>696</v>
      </c>
      <c r="J7" s="514" t="s">
        <v>46</v>
      </c>
      <c r="K7" s="515"/>
      <c r="L7" s="1053" t="s">
        <v>696</v>
      </c>
      <c r="M7" s="514" t="s">
        <v>46</v>
      </c>
      <c r="N7" s="515"/>
    </row>
    <row r="8" spans="1:14" s="516" customFormat="1" ht="17.25" customHeight="1">
      <c r="A8" s="1069"/>
      <c r="B8" s="1070"/>
      <c r="C8" s="1069"/>
      <c r="D8" s="1070"/>
      <c r="E8" s="517" t="s">
        <v>697</v>
      </c>
      <c r="F8" s="518"/>
      <c r="G8" s="1076"/>
      <c r="H8" s="1079"/>
      <c r="I8" s="1054"/>
      <c r="J8" s="515" t="s">
        <v>698</v>
      </c>
      <c r="K8" s="519" t="s">
        <v>699</v>
      </c>
      <c r="L8" s="1054"/>
      <c r="M8" s="515" t="s">
        <v>698</v>
      </c>
      <c r="N8" s="519" t="s">
        <v>699</v>
      </c>
    </row>
    <row r="9" spans="1:14" s="522" customFormat="1" ht="11.25">
      <c r="A9" s="1055">
        <v>1</v>
      </c>
      <c r="B9" s="1056"/>
      <c r="C9" s="1055">
        <v>2</v>
      </c>
      <c r="D9" s="1056"/>
      <c r="E9" s="520">
        <v>3</v>
      </c>
      <c r="F9" s="520">
        <v>4</v>
      </c>
      <c r="G9" s="520"/>
      <c r="H9" s="520">
        <v>5</v>
      </c>
      <c r="I9" s="521">
        <v>6</v>
      </c>
      <c r="J9" s="521">
        <v>7</v>
      </c>
      <c r="K9" s="521">
        <v>8</v>
      </c>
      <c r="L9" s="521">
        <v>9</v>
      </c>
      <c r="M9" s="521">
        <v>10</v>
      </c>
      <c r="N9" s="521">
        <v>11</v>
      </c>
    </row>
    <row r="10" spans="1:14" s="529" customFormat="1" ht="3.75" customHeight="1">
      <c r="A10" s="523"/>
      <c r="B10" s="524"/>
      <c r="C10" s="524"/>
      <c r="D10" s="524"/>
      <c r="E10" s="525"/>
      <c r="F10" s="525"/>
      <c r="G10" s="525"/>
      <c r="H10" s="526"/>
      <c r="I10" s="527"/>
      <c r="J10" s="527"/>
      <c r="K10" s="527"/>
      <c r="L10" s="527"/>
      <c r="M10" s="527"/>
      <c r="N10" s="528"/>
    </row>
    <row r="11" spans="1:14" s="532" customFormat="1" ht="18" customHeight="1">
      <c r="A11" s="1057" t="s">
        <v>12</v>
      </c>
      <c r="B11" s="1057"/>
      <c r="C11" s="1057"/>
      <c r="D11" s="1057"/>
      <c r="E11" s="1057"/>
      <c r="F11" s="1057"/>
      <c r="G11" s="530" t="s">
        <v>13</v>
      </c>
      <c r="H11" s="531">
        <f>I11+L11</f>
        <v>348993721</v>
      </c>
      <c r="I11" s="531">
        <f>J11+K11</f>
        <v>204284232</v>
      </c>
      <c r="J11" s="531">
        <f aca="true" t="shared" si="0" ref="J11:K13">J15+J23+J179</f>
        <v>95762930</v>
      </c>
      <c r="K11" s="531">
        <f t="shared" si="0"/>
        <v>108521302</v>
      </c>
      <c r="L11" s="531">
        <f>M11+N11</f>
        <v>144709489</v>
      </c>
      <c r="M11" s="531">
        <f aca="true" t="shared" si="1" ref="M11:N13">M15+M23+M179</f>
        <v>4804120</v>
      </c>
      <c r="N11" s="531">
        <f t="shared" si="1"/>
        <v>139905369</v>
      </c>
    </row>
    <row r="12" spans="1:14" s="532" customFormat="1" ht="18" customHeight="1">
      <c r="A12" s="945"/>
      <c r="B12" s="945"/>
      <c r="C12" s="945"/>
      <c r="D12" s="945"/>
      <c r="E12" s="945"/>
      <c r="F12" s="945"/>
      <c r="G12" s="530" t="s">
        <v>14</v>
      </c>
      <c r="H12" s="531">
        <f>I12+L12</f>
        <v>13000280</v>
      </c>
      <c r="I12" s="531">
        <f>J12+K12</f>
        <v>15174576</v>
      </c>
      <c r="J12" s="531">
        <f t="shared" si="0"/>
        <v>11656394</v>
      </c>
      <c r="K12" s="531">
        <f t="shared" si="0"/>
        <v>3518182</v>
      </c>
      <c r="L12" s="531">
        <f>M12+N12</f>
        <v>-2174296</v>
      </c>
      <c r="M12" s="531">
        <f t="shared" si="1"/>
        <v>-4125079</v>
      </c>
      <c r="N12" s="531">
        <f t="shared" si="1"/>
        <v>1950783</v>
      </c>
    </row>
    <row r="13" spans="1:14" s="532" customFormat="1" ht="18" customHeight="1">
      <c r="A13" s="945"/>
      <c r="B13" s="945"/>
      <c r="C13" s="945"/>
      <c r="D13" s="945"/>
      <c r="E13" s="945"/>
      <c r="F13" s="945"/>
      <c r="G13" s="530" t="s">
        <v>15</v>
      </c>
      <c r="H13" s="531">
        <f>I13+L13</f>
        <v>361994001</v>
      </c>
      <c r="I13" s="531">
        <f>J13+K13</f>
        <v>219458808</v>
      </c>
      <c r="J13" s="531">
        <f t="shared" si="0"/>
        <v>107419324</v>
      </c>
      <c r="K13" s="531">
        <f t="shared" si="0"/>
        <v>112039484</v>
      </c>
      <c r="L13" s="531">
        <f>M13+N13</f>
        <v>142535193</v>
      </c>
      <c r="M13" s="531">
        <f t="shared" si="1"/>
        <v>679041</v>
      </c>
      <c r="N13" s="531">
        <f t="shared" si="1"/>
        <v>141856152</v>
      </c>
    </row>
    <row r="14" spans="1:14" s="540" customFormat="1" ht="6.75" customHeight="1">
      <c r="A14" s="533"/>
      <c r="B14" s="534"/>
      <c r="C14" s="534"/>
      <c r="D14" s="534"/>
      <c r="E14" s="535"/>
      <c r="F14" s="536"/>
      <c r="G14" s="535"/>
      <c r="H14" s="537"/>
      <c r="I14" s="538"/>
      <c r="J14" s="538"/>
      <c r="K14" s="538"/>
      <c r="L14" s="538"/>
      <c r="M14" s="538"/>
      <c r="N14" s="539"/>
    </row>
    <row r="15" spans="1:14" s="544" customFormat="1" ht="15" customHeight="1" hidden="1">
      <c r="A15" s="1058" t="s">
        <v>700</v>
      </c>
      <c r="B15" s="1059"/>
      <c r="C15" s="1059"/>
      <c r="D15" s="1059"/>
      <c r="E15" s="1059"/>
      <c r="F15" s="1059"/>
      <c r="G15" s="541" t="s">
        <v>13</v>
      </c>
      <c r="H15" s="542">
        <f>I15+L15</f>
        <v>97016302</v>
      </c>
      <c r="I15" s="543">
        <f>J15+K15</f>
        <v>0</v>
      </c>
      <c r="J15" s="542">
        <f aca="true" t="shared" si="2" ref="J15:K17">J19</f>
        <v>0</v>
      </c>
      <c r="K15" s="542">
        <f t="shared" si="2"/>
        <v>0</v>
      </c>
      <c r="L15" s="542">
        <f>M15+N15</f>
        <v>97016302</v>
      </c>
      <c r="M15" s="542">
        <f aca="true" t="shared" si="3" ref="M15:N17">M19</f>
        <v>0</v>
      </c>
      <c r="N15" s="542">
        <f t="shared" si="3"/>
        <v>97016302</v>
      </c>
    </row>
    <row r="16" spans="1:14" s="544" customFormat="1" ht="15" customHeight="1" hidden="1">
      <c r="A16" s="1060"/>
      <c r="B16" s="1061"/>
      <c r="C16" s="1061"/>
      <c r="D16" s="1061"/>
      <c r="E16" s="1061"/>
      <c r="F16" s="1061"/>
      <c r="G16" s="541" t="s">
        <v>14</v>
      </c>
      <c r="H16" s="542">
        <f>I16+L16</f>
        <v>0</v>
      </c>
      <c r="I16" s="543">
        <f>J16+K16</f>
        <v>0</v>
      </c>
      <c r="J16" s="542">
        <f t="shared" si="2"/>
        <v>0</v>
      </c>
      <c r="K16" s="542">
        <f t="shared" si="2"/>
        <v>0</v>
      </c>
      <c r="L16" s="542">
        <f>M16+N16</f>
        <v>0</v>
      </c>
      <c r="M16" s="542">
        <f t="shared" si="3"/>
        <v>0</v>
      </c>
      <c r="N16" s="542">
        <f t="shared" si="3"/>
        <v>0</v>
      </c>
    </row>
    <row r="17" spans="1:14" s="544" customFormat="1" ht="15" customHeight="1" hidden="1">
      <c r="A17" s="1060"/>
      <c r="B17" s="1061"/>
      <c r="C17" s="1061"/>
      <c r="D17" s="1061"/>
      <c r="E17" s="1061"/>
      <c r="F17" s="1061"/>
      <c r="G17" s="541" t="s">
        <v>15</v>
      </c>
      <c r="H17" s="542">
        <f>I17+L17</f>
        <v>97016302</v>
      </c>
      <c r="I17" s="542">
        <f>J17+K17</f>
        <v>0</v>
      </c>
      <c r="J17" s="542">
        <f t="shared" si="2"/>
        <v>0</v>
      </c>
      <c r="K17" s="542">
        <f t="shared" si="2"/>
        <v>0</v>
      </c>
      <c r="L17" s="542">
        <f>M17+N17</f>
        <v>97016302</v>
      </c>
      <c r="M17" s="542">
        <f t="shared" si="3"/>
        <v>0</v>
      </c>
      <c r="N17" s="542">
        <f t="shared" si="3"/>
        <v>97016302</v>
      </c>
    </row>
    <row r="18" spans="1:14" s="540" customFormat="1" ht="5.25" customHeight="1" hidden="1">
      <c r="A18" s="545"/>
      <c r="B18" s="546"/>
      <c r="C18" s="546"/>
      <c r="D18" s="546"/>
      <c r="E18" s="547"/>
      <c r="F18" s="547"/>
      <c r="G18" s="547"/>
      <c r="H18" s="548"/>
      <c r="I18" s="549"/>
      <c r="J18" s="549"/>
      <c r="K18" s="549"/>
      <c r="L18" s="549"/>
      <c r="M18" s="549"/>
      <c r="N18" s="550"/>
    </row>
    <row r="19" spans="1:14" s="554" customFormat="1" ht="15" customHeight="1" hidden="1">
      <c r="A19" s="948" t="s">
        <v>19</v>
      </c>
      <c r="B19" s="949"/>
      <c r="C19" s="948" t="s">
        <v>119</v>
      </c>
      <c r="D19" s="949"/>
      <c r="E19" s="964" t="s">
        <v>701</v>
      </c>
      <c r="F19" s="951"/>
      <c r="G19" s="551" t="s">
        <v>13</v>
      </c>
      <c r="H19" s="552">
        <f>I19+L19</f>
        <v>97016302</v>
      </c>
      <c r="I19" s="553">
        <f>J19+K19</f>
        <v>0</v>
      </c>
      <c r="J19" s="553">
        <v>0</v>
      </c>
      <c r="K19" s="553">
        <v>0</v>
      </c>
      <c r="L19" s="553">
        <f>M19+N19</f>
        <v>97016302</v>
      </c>
      <c r="M19" s="553">
        <v>0</v>
      </c>
      <c r="N19" s="553">
        <v>97016302</v>
      </c>
    </row>
    <row r="20" spans="1:14" s="554" customFormat="1" ht="15" customHeight="1" hidden="1">
      <c r="A20" s="974"/>
      <c r="B20" s="975"/>
      <c r="C20" s="974"/>
      <c r="D20" s="975"/>
      <c r="E20" s="965"/>
      <c r="F20" s="953"/>
      <c r="G20" s="551" t="s">
        <v>14</v>
      </c>
      <c r="H20" s="552">
        <f>I20+L20</f>
        <v>0</v>
      </c>
      <c r="I20" s="553">
        <f>J20+K20</f>
        <v>0</v>
      </c>
      <c r="J20" s="553">
        <v>0</v>
      </c>
      <c r="K20" s="553">
        <v>0</v>
      </c>
      <c r="L20" s="553">
        <f>M20+N20</f>
        <v>0</v>
      </c>
      <c r="M20" s="553">
        <v>0</v>
      </c>
      <c r="N20" s="553">
        <v>0</v>
      </c>
    </row>
    <row r="21" spans="1:14" s="554" customFormat="1" ht="15" customHeight="1" hidden="1">
      <c r="A21" s="974"/>
      <c r="B21" s="975"/>
      <c r="C21" s="1041"/>
      <c r="D21" s="1042"/>
      <c r="E21" s="966"/>
      <c r="F21" s="955"/>
      <c r="G21" s="551" t="s">
        <v>15</v>
      </c>
      <c r="H21" s="552">
        <f>I21+L21</f>
        <v>97016302</v>
      </c>
      <c r="I21" s="553">
        <f>J21+K21</f>
        <v>0</v>
      </c>
      <c r="J21" s="553">
        <f>J19+J20</f>
        <v>0</v>
      </c>
      <c r="K21" s="553">
        <f>K19+K20</f>
        <v>0</v>
      </c>
      <c r="L21" s="553">
        <f>M21+N21</f>
        <v>97016302</v>
      </c>
      <c r="M21" s="553">
        <f>M19+M20</f>
        <v>0</v>
      </c>
      <c r="N21" s="553">
        <f>N19+N20</f>
        <v>97016302</v>
      </c>
    </row>
    <row r="22" spans="1:14" s="540" customFormat="1" ht="5.25" customHeight="1" hidden="1">
      <c r="A22" s="555"/>
      <c r="B22" s="556"/>
      <c r="C22" s="556"/>
      <c r="D22" s="556"/>
      <c r="E22" s="557"/>
      <c r="F22" s="558"/>
      <c r="G22" s="557"/>
      <c r="H22" s="559"/>
      <c r="I22" s="560"/>
      <c r="J22" s="560"/>
      <c r="K22" s="560"/>
      <c r="L22" s="560"/>
      <c r="M22" s="560"/>
      <c r="N22" s="561"/>
    </row>
    <row r="23" spans="1:14" s="544" customFormat="1" ht="15" customHeight="1">
      <c r="A23" s="1043" t="s">
        <v>702</v>
      </c>
      <c r="B23" s="1044"/>
      <c r="C23" s="1044"/>
      <c r="D23" s="1044"/>
      <c r="E23" s="1044"/>
      <c r="F23" s="1044"/>
      <c r="G23" s="562" t="s">
        <v>13</v>
      </c>
      <c r="H23" s="563">
        <f>I23+L23</f>
        <v>78003817</v>
      </c>
      <c r="I23" s="564">
        <f>J23+K23</f>
        <v>78003817</v>
      </c>
      <c r="J23" s="564">
        <f aca="true" t="shared" si="4" ref="J23:K25">J27</f>
        <v>0</v>
      </c>
      <c r="K23" s="564">
        <f t="shared" si="4"/>
        <v>78003817</v>
      </c>
      <c r="L23" s="564">
        <f>M23+N23</f>
        <v>0</v>
      </c>
      <c r="M23" s="564">
        <f aca="true" t="shared" si="5" ref="M23:N25">M27</f>
        <v>0</v>
      </c>
      <c r="N23" s="564">
        <f t="shared" si="5"/>
        <v>0</v>
      </c>
    </row>
    <row r="24" spans="1:14" s="544" customFormat="1" ht="15" customHeight="1">
      <c r="A24" s="1045"/>
      <c r="B24" s="1046"/>
      <c r="C24" s="1046"/>
      <c r="D24" s="1046"/>
      <c r="E24" s="1046"/>
      <c r="F24" s="1046"/>
      <c r="G24" s="541" t="s">
        <v>14</v>
      </c>
      <c r="H24" s="565">
        <f>I24+L24</f>
        <v>995612</v>
      </c>
      <c r="I24" s="566">
        <f>J24+K24</f>
        <v>995612</v>
      </c>
      <c r="J24" s="566">
        <f t="shared" si="4"/>
        <v>0</v>
      </c>
      <c r="K24" s="566">
        <f t="shared" si="4"/>
        <v>995612</v>
      </c>
      <c r="L24" s="566">
        <f>M24+N24</f>
        <v>0</v>
      </c>
      <c r="M24" s="566">
        <f t="shared" si="5"/>
        <v>0</v>
      </c>
      <c r="N24" s="566">
        <f t="shared" si="5"/>
        <v>0</v>
      </c>
    </row>
    <row r="25" spans="1:14" s="544" customFormat="1" ht="15" customHeight="1">
      <c r="A25" s="1047"/>
      <c r="B25" s="1048"/>
      <c r="C25" s="1048"/>
      <c r="D25" s="1048"/>
      <c r="E25" s="1048"/>
      <c r="F25" s="1048"/>
      <c r="G25" s="567" t="s">
        <v>15</v>
      </c>
      <c r="H25" s="568">
        <f>I25+L25</f>
        <v>78999429</v>
      </c>
      <c r="I25" s="569">
        <f>J25+K25</f>
        <v>78999429</v>
      </c>
      <c r="J25" s="569">
        <f t="shared" si="4"/>
        <v>0</v>
      </c>
      <c r="K25" s="569">
        <f t="shared" si="4"/>
        <v>78999429</v>
      </c>
      <c r="L25" s="569">
        <f>M25+N25</f>
        <v>0</v>
      </c>
      <c r="M25" s="569">
        <f t="shared" si="5"/>
        <v>0</v>
      </c>
      <c r="N25" s="569">
        <f t="shared" si="5"/>
        <v>0</v>
      </c>
    </row>
    <row r="26" spans="1:14" s="540" customFormat="1" ht="5.25" customHeight="1">
      <c r="A26" s="545"/>
      <c r="B26" s="546"/>
      <c r="C26" s="546"/>
      <c r="D26" s="546"/>
      <c r="E26" s="547"/>
      <c r="F26" s="547"/>
      <c r="G26" s="547"/>
      <c r="H26" s="548"/>
      <c r="I26" s="549"/>
      <c r="J26" s="549"/>
      <c r="K26" s="549"/>
      <c r="L26" s="549"/>
      <c r="M26" s="549"/>
      <c r="N26" s="550"/>
    </row>
    <row r="27" spans="1:14" s="573" customFormat="1" ht="15" customHeight="1">
      <c r="A27" s="989" t="s">
        <v>703</v>
      </c>
      <c r="B27" s="990"/>
      <c r="C27" s="990"/>
      <c r="D27" s="990"/>
      <c r="E27" s="990"/>
      <c r="F27" s="990"/>
      <c r="G27" s="570" t="s">
        <v>13</v>
      </c>
      <c r="H27" s="571">
        <f>I27+L27</f>
        <v>78003817</v>
      </c>
      <c r="I27" s="572">
        <f>J27+K27</f>
        <v>78003817</v>
      </c>
      <c r="J27" s="572">
        <f aca="true" t="shared" si="6" ref="J27:K29">J31+J43+J52+J58+J64+J70+J76+J91+J97+J103+J112+J118+J139+J154+J163+J172</f>
        <v>0</v>
      </c>
      <c r="K27" s="572">
        <f t="shared" si="6"/>
        <v>78003817</v>
      </c>
      <c r="L27" s="572">
        <f>M27+N27</f>
        <v>0</v>
      </c>
      <c r="M27" s="572">
        <f aca="true" t="shared" si="7" ref="M27:N29">M31+M43+M52+M58+M64+M70+M76+M91+M97+M103+M112+M118+M139+M154+M163+M172</f>
        <v>0</v>
      </c>
      <c r="N27" s="572">
        <f t="shared" si="7"/>
        <v>0</v>
      </c>
    </row>
    <row r="28" spans="1:14" s="573" customFormat="1" ht="15" customHeight="1">
      <c r="A28" s="1049"/>
      <c r="B28" s="1050"/>
      <c r="C28" s="1050"/>
      <c r="D28" s="1050"/>
      <c r="E28" s="1050"/>
      <c r="F28" s="1050"/>
      <c r="G28" s="570" t="s">
        <v>14</v>
      </c>
      <c r="H28" s="571">
        <f>I28+L28</f>
        <v>995612</v>
      </c>
      <c r="I28" s="572">
        <f>J28+K28</f>
        <v>995612</v>
      </c>
      <c r="J28" s="572">
        <f t="shared" si="6"/>
        <v>0</v>
      </c>
      <c r="K28" s="572">
        <f t="shared" si="6"/>
        <v>995612</v>
      </c>
      <c r="L28" s="572">
        <f>M28+N28</f>
        <v>0</v>
      </c>
      <c r="M28" s="572">
        <f t="shared" si="7"/>
        <v>0</v>
      </c>
      <c r="N28" s="572">
        <f t="shared" si="7"/>
        <v>0</v>
      </c>
    </row>
    <row r="29" spans="1:14" s="573" customFormat="1" ht="15" customHeight="1">
      <c r="A29" s="1051"/>
      <c r="B29" s="1052"/>
      <c r="C29" s="1052"/>
      <c r="D29" s="1052"/>
      <c r="E29" s="1052"/>
      <c r="F29" s="1052"/>
      <c r="G29" s="570" t="s">
        <v>15</v>
      </c>
      <c r="H29" s="571">
        <f>I29+L29</f>
        <v>78999429</v>
      </c>
      <c r="I29" s="572">
        <f>J29+K29</f>
        <v>78999429</v>
      </c>
      <c r="J29" s="572">
        <f t="shared" si="6"/>
        <v>0</v>
      </c>
      <c r="K29" s="572">
        <f t="shared" si="6"/>
        <v>78999429</v>
      </c>
      <c r="L29" s="572">
        <f>M29+N29</f>
        <v>0</v>
      </c>
      <c r="M29" s="572">
        <f t="shared" si="7"/>
        <v>0</v>
      </c>
      <c r="N29" s="572">
        <f t="shared" si="7"/>
        <v>0</v>
      </c>
    </row>
    <row r="30" spans="1:14" s="580" customFormat="1" ht="5.25" customHeight="1">
      <c r="A30" s="574"/>
      <c r="B30" s="575"/>
      <c r="C30" s="575"/>
      <c r="D30" s="575"/>
      <c r="E30" s="575"/>
      <c r="F30" s="575"/>
      <c r="G30" s="576"/>
      <c r="H30" s="577"/>
      <c r="I30" s="578"/>
      <c r="J30" s="578"/>
      <c r="K30" s="578"/>
      <c r="L30" s="578"/>
      <c r="M30" s="578"/>
      <c r="N30" s="579"/>
    </row>
    <row r="31" spans="1:14" s="516" customFormat="1" ht="15" customHeight="1">
      <c r="A31" s="1021" t="s">
        <v>253</v>
      </c>
      <c r="B31" s="1022"/>
      <c r="C31" s="1022"/>
      <c r="D31" s="1022"/>
      <c r="E31" s="1022"/>
      <c r="F31" s="1023"/>
      <c r="G31" s="581" t="s">
        <v>13</v>
      </c>
      <c r="H31" s="582">
        <f aca="true" t="shared" si="8" ref="H31:H100">I31+L31</f>
        <v>7410000</v>
      </c>
      <c r="I31" s="583">
        <f aca="true" t="shared" si="9" ref="I31:I100">J31+K31</f>
        <v>7410000</v>
      </c>
      <c r="J31" s="583">
        <f aca="true" t="shared" si="10" ref="J31:K33">J34+J37+J40</f>
        <v>0</v>
      </c>
      <c r="K31" s="583">
        <f t="shared" si="10"/>
        <v>7410000</v>
      </c>
      <c r="L31" s="583">
        <f aca="true" t="shared" si="11" ref="L31:L100">M31+N31</f>
        <v>0</v>
      </c>
      <c r="M31" s="583">
        <f aca="true" t="shared" si="12" ref="M31:N33">M34+M37+M40</f>
        <v>0</v>
      </c>
      <c r="N31" s="583">
        <f t="shared" si="12"/>
        <v>0</v>
      </c>
    </row>
    <row r="32" spans="1:14" s="516" customFormat="1" ht="15" customHeight="1">
      <c r="A32" s="1024"/>
      <c r="B32" s="1025"/>
      <c r="C32" s="1025"/>
      <c r="D32" s="1025"/>
      <c r="E32" s="1025"/>
      <c r="F32" s="1026"/>
      <c r="G32" s="581" t="s">
        <v>14</v>
      </c>
      <c r="H32" s="582">
        <f t="shared" si="8"/>
        <v>260000</v>
      </c>
      <c r="I32" s="583">
        <f t="shared" si="9"/>
        <v>260000</v>
      </c>
      <c r="J32" s="583">
        <f t="shared" si="10"/>
        <v>0</v>
      </c>
      <c r="K32" s="583">
        <f t="shared" si="10"/>
        <v>260000</v>
      </c>
      <c r="L32" s="583">
        <f t="shared" si="11"/>
        <v>0</v>
      </c>
      <c r="M32" s="583">
        <f t="shared" si="12"/>
        <v>0</v>
      </c>
      <c r="N32" s="583">
        <f t="shared" si="12"/>
        <v>0</v>
      </c>
    </row>
    <row r="33" spans="1:14" s="516" customFormat="1" ht="15" customHeight="1">
      <c r="A33" s="1027"/>
      <c r="B33" s="1028"/>
      <c r="C33" s="1028"/>
      <c r="D33" s="1028"/>
      <c r="E33" s="1028"/>
      <c r="F33" s="1029"/>
      <c r="G33" s="581" t="s">
        <v>15</v>
      </c>
      <c r="H33" s="582">
        <f t="shared" si="8"/>
        <v>7670000</v>
      </c>
      <c r="I33" s="583">
        <f t="shared" si="9"/>
        <v>7670000</v>
      </c>
      <c r="J33" s="583">
        <f t="shared" si="10"/>
        <v>0</v>
      </c>
      <c r="K33" s="583">
        <f t="shared" si="10"/>
        <v>7670000</v>
      </c>
      <c r="L33" s="583">
        <f t="shared" si="11"/>
        <v>0</v>
      </c>
      <c r="M33" s="583">
        <f t="shared" si="12"/>
        <v>0</v>
      </c>
      <c r="N33" s="583">
        <f t="shared" si="12"/>
        <v>0</v>
      </c>
    </row>
    <row r="34" spans="1:14" s="504" customFormat="1" ht="15" customHeight="1" hidden="1">
      <c r="A34" s="968" t="s">
        <v>250</v>
      </c>
      <c r="B34" s="969"/>
      <c r="C34" s="970" t="s">
        <v>251</v>
      </c>
      <c r="D34" s="971"/>
      <c r="E34" s="964" t="s">
        <v>704</v>
      </c>
      <c r="F34" s="951"/>
      <c r="G34" s="551" t="s">
        <v>13</v>
      </c>
      <c r="H34" s="584">
        <f t="shared" si="8"/>
        <v>7410000</v>
      </c>
      <c r="I34" s="585">
        <f t="shared" si="9"/>
        <v>7410000</v>
      </c>
      <c r="J34" s="585">
        <v>0</v>
      </c>
      <c r="K34" s="585">
        <v>7410000</v>
      </c>
      <c r="L34" s="585">
        <f t="shared" si="11"/>
        <v>0</v>
      </c>
      <c r="M34" s="585">
        <v>0</v>
      </c>
      <c r="N34" s="585">
        <v>0</v>
      </c>
    </row>
    <row r="35" spans="1:14" s="504" customFormat="1" ht="15" customHeight="1" hidden="1">
      <c r="A35" s="959"/>
      <c r="B35" s="960"/>
      <c r="C35" s="961"/>
      <c r="D35" s="960"/>
      <c r="E35" s="965"/>
      <c r="F35" s="953"/>
      <c r="G35" s="551" t="s">
        <v>14</v>
      </c>
      <c r="H35" s="584">
        <f t="shared" si="8"/>
        <v>0</v>
      </c>
      <c r="I35" s="585">
        <f t="shared" si="9"/>
        <v>0</v>
      </c>
      <c r="J35" s="585">
        <v>0</v>
      </c>
      <c r="K35" s="585">
        <v>0</v>
      </c>
      <c r="L35" s="585">
        <f t="shared" si="11"/>
        <v>0</v>
      </c>
      <c r="M35" s="585">
        <v>0</v>
      </c>
      <c r="N35" s="585">
        <v>0</v>
      </c>
    </row>
    <row r="36" spans="1:14" s="504" customFormat="1" ht="15" customHeight="1" hidden="1">
      <c r="A36" s="959"/>
      <c r="B36" s="962"/>
      <c r="C36" s="961"/>
      <c r="D36" s="963"/>
      <c r="E36" s="966"/>
      <c r="F36" s="955"/>
      <c r="G36" s="551" t="s">
        <v>15</v>
      </c>
      <c r="H36" s="584">
        <f t="shared" si="8"/>
        <v>7410000</v>
      </c>
      <c r="I36" s="585">
        <f t="shared" si="9"/>
        <v>7410000</v>
      </c>
      <c r="J36" s="585">
        <f>J34+J35</f>
        <v>0</v>
      </c>
      <c r="K36" s="585">
        <f>K34+K35</f>
        <v>7410000</v>
      </c>
      <c r="L36" s="585">
        <f t="shared" si="11"/>
        <v>0</v>
      </c>
      <c r="M36" s="585">
        <f>M34+M35</f>
        <v>0</v>
      </c>
      <c r="N36" s="585">
        <f>N34+N35</f>
        <v>0</v>
      </c>
    </row>
    <row r="37" spans="1:14" s="504" customFormat="1" ht="15" customHeight="1">
      <c r="A37" s="959" t="s">
        <v>250</v>
      </c>
      <c r="B37" s="962"/>
      <c r="C37" s="961" t="s">
        <v>251</v>
      </c>
      <c r="D37" s="963"/>
      <c r="E37" s="964" t="s">
        <v>705</v>
      </c>
      <c r="F37" s="951"/>
      <c r="G37" s="551" t="s">
        <v>13</v>
      </c>
      <c r="H37" s="552">
        <f t="shared" si="8"/>
        <v>0</v>
      </c>
      <c r="I37" s="553">
        <f t="shared" si="9"/>
        <v>0</v>
      </c>
      <c r="J37" s="553">
        <v>0</v>
      </c>
      <c r="K37" s="553">
        <v>0</v>
      </c>
      <c r="L37" s="553">
        <f t="shared" si="11"/>
        <v>0</v>
      </c>
      <c r="M37" s="553">
        <v>0</v>
      </c>
      <c r="N37" s="553">
        <v>0</v>
      </c>
    </row>
    <row r="38" spans="1:14" s="504" customFormat="1" ht="15" customHeight="1">
      <c r="A38" s="959"/>
      <c r="B38" s="960"/>
      <c r="C38" s="961"/>
      <c r="D38" s="960"/>
      <c r="E38" s="965"/>
      <c r="F38" s="953"/>
      <c r="G38" s="551" t="s">
        <v>14</v>
      </c>
      <c r="H38" s="552">
        <f t="shared" si="8"/>
        <v>190000</v>
      </c>
      <c r="I38" s="553">
        <f t="shared" si="9"/>
        <v>190000</v>
      </c>
      <c r="J38" s="553">
        <v>0</v>
      </c>
      <c r="K38" s="553">
        <v>190000</v>
      </c>
      <c r="L38" s="553">
        <f t="shared" si="11"/>
        <v>0</v>
      </c>
      <c r="M38" s="553">
        <v>0</v>
      </c>
      <c r="N38" s="553">
        <v>0</v>
      </c>
    </row>
    <row r="39" spans="1:14" s="504" customFormat="1" ht="15" customHeight="1">
      <c r="A39" s="959"/>
      <c r="B39" s="962"/>
      <c r="C39" s="961"/>
      <c r="D39" s="963"/>
      <c r="E39" s="966"/>
      <c r="F39" s="955"/>
      <c r="G39" s="551" t="s">
        <v>15</v>
      </c>
      <c r="H39" s="584">
        <f t="shared" si="8"/>
        <v>190000</v>
      </c>
      <c r="I39" s="585">
        <f t="shared" si="9"/>
        <v>190000</v>
      </c>
      <c r="J39" s="585">
        <f>J37+J38</f>
        <v>0</v>
      </c>
      <c r="K39" s="585">
        <f>K37+K38</f>
        <v>190000</v>
      </c>
      <c r="L39" s="585">
        <f t="shared" si="11"/>
        <v>0</v>
      </c>
      <c r="M39" s="585">
        <f>M37+M38</f>
        <v>0</v>
      </c>
      <c r="N39" s="585">
        <f>N37+N38</f>
        <v>0</v>
      </c>
    </row>
    <row r="40" spans="1:14" s="504" customFormat="1" ht="15" customHeight="1">
      <c r="A40" s="959"/>
      <c r="B40" s="962"/>
      <c r="C40" s="961"/>
      <c r="D40" s="963"/>
      <c r="E40" s="964" t="s">
        <v>706</v>
      </c>
      <c r="F40" s="951"/>
      <c r="G40" s="551" t="s">
        <v>13</v>
      </c>
      <c r="H40" s="552">
        <f>I40+L40</f>
        <v>0</v>
      </c>
      <c r="I40" s="553">
        <f>J40+K40</f>
        <v>0</v>
      </c>
      <c r="J40" s="553">
        <v>0</v>
      </c>
      <c r="K40" s="553">
        <v>0</v>
      </c>
      <c r="L40" s="553">
        <f>M40+N40</f>
        <v>0</v>
      </c>
      <c r="M40" s="553">
        <v>0</v>
      </c>
      <c r="N40" s="553">
        <v>0</v>
      </c>
    </row>
    <row r="41" spans="1:14" s="504" customFormat="1" ht="15" customHeight="1">
      <c r="A41" s="959"/>
      <c r="B41" s="960"/>
      <c r="C41" s="961"/>
      <c r="D41" s="960"/>
      <c r="E41" s="965"/>
      <c r="F41" s="953"/>
      <c r="G41" s="551" t="s">
        <v>14</v>
      </c>
      <c r="H41" s="552">
        <f>I41+L41</f>
        <v>70000</v>
      </c>
      <c r="I41" s="553">
        <f>J41+K41</f>
        <v>70000</v>
      </c>
      <c r="J41" s="553">
        <v>0</v>
      </c>
      <c r="K41" s="553">
        <v>70000</v>
      </c>
      <c r="L41" s="553">
        <f>M41+N41</f>
        <v>0</v>
      </c>
      <c r="M41" s="553">
        <v>0</v>
      </c>
      <c r="N41" s="553">
        <v>0</v>
      </c>
    </row>
    <row r="42" spans="1:14" s="504" customFormat="1" ht="15" customHeight="1">
      <c r="A42" s="977"/>
      <c r="B42" s="1033"/>
      <c r="C42" s="979"/>
      <c r="D42" s="1034"/>
      <c r="E42" s="966"/>
      <c r="F42" s="955"/>
      <c r="G42" s="551" t="s">
        <v>15</v>
      </c>
      <c r="H42" s="584">
        <f>I42+L42</f>
        <v>70000</v>
      </c>
      <c r="I42" s="585">
        <f>J42+K42</f>
        <v>70000</v>
      </c>
      <c r="J42" s="585">
        <f>J40+J41</f>
        <v>0</v>
      </c>
      <c r="K42" s="585">
        <f>K40+K41</f>
        <v>70000</v>
      </c>
      <c r="L42" s="585">
        <f>M42+N42</f>
        <v>0</v>
      </c>
      <c r="M42" s="585">
        <f>M40+M41</f>
        <v>0</v>
      </c>
      <c r="N42" s="585">
        <f>N40+N41</f>
        <v>0</v>
      </c>
    </row>
    <row r="43" spans="1:14" s="516" customFormat="1" ht="15" customHeight="1">
      <c r="A43" s="1021" t="s">
        <v>311</v>
      </c>
      <c r="B43" s="1022"/>
      <c r="C43" s="1022"/>
      <c r="D43" s="1022"/>
      <c r="E43" s="1022"/>
      <c r="F43" s="1023"/>
      <c r="G43" s="581" t="s">
        <v>13</v>
      </c>
      <c r="H43" s="582">
        <f t="shared" si="8"/>
        <v>17497300</v>
      </c>
      <c r="I43" s="583">
        <f t="shared" si="9"/>
        <v>17497300</v>
      </c>
      <c r="J43" s="583">
        <f aca="true" t="shared" si="13" ref="J43:K45">J46+J49</f>
        <v>0</v>
      </c>
      <c r="K43" s="583">
        <f t="shared" si="13"/>
        <v>17497300</v>
      </c>
      <c r="L43" s="583">
        <f t="shared" si="11"/>
        <v>0</v>
      </c>
      <c r="M43" s="583">
        <f aca="true" t="shared" si="14" ref="M43:N45">M46+M49</f>
        <v>0</v>
      </c>
      <c r="N43" s="583">
        <f t="shared" si="14"/>
        <v>0</v>
      </c>
    </row>
    <row r="44" spans="1:14" s="516" customFormat="1" ht="15" customHeight="1">
      <c r="A44" s="1024"/>
      <c r="B44" s="1025"/>
      <c r="C44" s="1025"/>
      <c r="D44" s="1025"/>
      <c r="E44" s="1025"/>
      <c r="F44" s="1026"/>
      <c r="G44" s="581" t="s">
        <v>14</v>
      </c>
      <c r="H44" s="582">
        <f t="shared" si="8"/>
        <v>500000</v>
      </c>
      <c r="I44" s="583">
        <f t="shared" si="9"/>
        <v>500000</v>
      </c>
      <c r="J44" s="583">
        <f t="shared" si="13"/>
        <v>0</v>
      </c>
      <c r="K44" s="583">
        <f t="shared" si="13"/>
        <v>500000</v>
      </c>
      <c r="L44" s="583">
        <f t="shared" si="11"/>
        <v>0</v>
      </c>
      <c r="M44" s="583">
        <f t="shared" si="14"/>
        <v>0</v>
      </c>
      <c r="N44" s="583">
        <f t="shared" si="14"/>
        <v>0</v>
      </c>
    </row>
    <row r="45" spans="1:14" s="516" customFormat="1" ht="15" customHeight="1">
      <c r="A45" s="1027"/>
      <c r="B45" s="1028"/>
      <c r="C45" s="1028"/>
      <c r="D45" s="1028"/>
      <c r="E45" s="1028"/>
      <c r="F45" s="1029"/>
      <c r="G45" s="581" t="s">
        <v>15</v>
      </c>
      <c r="H45" s="582">
        <f t="shared" si="8"/>
        <v>17997300</v>
      </c>
      <c r="I45" s="583">
        <f t="shared" si="9"/>
        <v>17997300</v>
      </c>
      <c r="J45" s="583">
        <f t="shared" si="13"/>
        <v>0</v>
      </c>
      <c r="K45" s="583">
        <f t="shared" si="13"/>
        <v>17997300</v>
      </c>
      <c r="L45" s="583">
        <f t="shared" si="11"/>
        <v>0</v>
      </c>
      <c r="M45" s="583">
        <f t="shared" si="14"/>
        <v>0</v>
      </c>
      <c r="N45" s="583">
        <f t="shared" si="14"/>
        <v>0</v>
      </c>
    </row>
    <row r="46" spans="1:14" s="504" customFormat="1" ht="15" customHeight="1">
      <c r="A46" s="968" t="s">
        <v>250</v>
      </c>
      <c r="B46" s="969"/>
      <c r="C46" s="970" t="s">
        <v>251</v>
      </c>
      <c r="D46" s="971"/>
      <c r="E46" s="964" t="s">
        <v>704</v>
      </c>
      <c r="F46" s="951"/>
      <c r="G46" s="551" t="s">
        <v>13</v>
      </c>
      <c r="H46" s="584">
        <f t="shared" si="8"/>
        <v>17457300</v>
      </c>
      <c r="I46" s="585">
        <f t="shared" si="9"/>
        <v>17457300</v>
      </c>
      <c r="J46" s="585">
        <v>0</v>
      </c>
      <c r="K46" s="585">
        <v>17457300</v>
      </c>
      <c r="L46" s="585">
        <f t="shared" si="11"/>
        <v>0</v>
      </c>
      <c r="M46" s="585">
        <v>0</v>
      </c>
      <c r="N46" s="585">
        <v>0</v>
      </c>
    </row>
    <row r="47" spans="1:14" s="504" customFormat="1" ht="15" customHeight="1">
      <c r="A47" s="959"/>
      <c r="B47" s="960"/>
      <c r="C47" s="961"/>
      <c r="D47" s="960"/>
      <c r="E47" s="985"/>
      <c r="F47" s="986"/>
      <c r="G47" s="551" t="s">
        <v>14</v>
      </c>
      <c r="H47" s="584">
        <f t="shared" si="8"/>
        <v>500000</v>
      </c>
      <c r="I47" s="585">
        <f t="shared" si="9"/>
        <v>500000</v>
      </c>
      <c r="J47" s="585">
        <v>0</v>
      </c>
      <c r="K47" s="585">
        <v>500000</v>
      </c>
      <c r="L47" s="585">
        <f t="shared" si="11"/>
        <v>0</v>
      </c>
      <c r="M47" s="585">
        <v>0</v>
      </c>
      <c r="N47" s="585">
        <v>0</v>
      </c>
    </row>
    <row r="48" spans="1:14" s="504" customFormat="1" ht="15" customHeight="1">
      <c r="A48" s="959"/>
      <c r="B48" s="962"/>
      <c r="C48" s="961"/>
      <c r="D48" s="963"/>
      <c r="E48" s="987"/>
      <c r="F48" s="988"/>
      <c r="G48" s="551" t="s">
        <v>15</v>
      </c>
      <c r="H48" s="584">
        <f t="shared" si="8"/>
        <v>17957300</v>
      </c>
      <c r="I48" s="585">
        <f t="shared" si="9"/>
        <v>17957300</v>
      </c>
      <c r="J48" s="585">
        <f>J46+J47</f>
        <v>0</v>
      </c>
      <c r="K48" s="585">
        <f>K46+K47</f>
        <v>17957300</v>
      </c>
      <c r="L48" s="585">
        <f t="shared" si="11"/>
        <v>0</v>
      </c>
      <c r="M48" s="585">
        <f>M46+M47</f>
        <v>0</v>
      </c>
      <c r="N48" s="585">
        <f>N46+N47</f>
        <v>0</v>
      </c>
    </row>
    <row r="49" spans="1:14" s="504" customFormat="1" ht="15" customHeight="1" hidden="1">
      <c r="A49" s="959"/>
      <c r="B49" s="962"/>
      <c r="C49" s="961"/>
      <c r="D49" s="963"/>
      <c r="E49" s="964" t="s">
        <v>707</v>
      </c>
      <c r="F49" s="951"/>
      <c r="G49" s="551" t="s">
        <v>13</v>
      </c>
      <c r="H49" s="552">
        <f t="shared" si="8"/>
        <v>40000</v>
      </c>
      <c r="I49" s="553">
        <f t="shared" si="9"/>
        <v>40000</v>
      </c>
      <c r="J49" s="553">
        <v>0</v>
      </c>
      <c r="K49" s="553">
        <v>40000</v>
      </c>
      <c r="L49" s="553">
        <f t="shared" si="11"/>
        <v>0</v>
      </c>
      <c r="M49" s="553">
        <v>0</v>
      </c>
      <c r="N49" s="553">
        <v>0</v>
      </c>
    </row>
    <row r="50" spans="1:14" s="504" customFormat="1" ht="15" customHeight="1" hidden="1">
      <c r="A50" s="959"/>
      <c r="B50" s="960"/>
      <c r="C50" s="961"/>
      <c r="D50" s="960"/>
      <c r="E50" s="965"/>
      <c r="F50" s="953"/>
      <c r="G50" s="551" t="s">
        <v>14</v>
      </c>
      <c r="H50" s="552">
        <f t="shared" si="8"/>
        <v>0</v>
      </c>
      <c r="I50" s="553">
        <f t="shared" si="9"/>
        <v>0</v>
      </c>
      <c r="J50" s="553">
        <v>0</v>
      </c>
      <c r="K50" s="553">
        <v>0</v>
      </c>
      <c r="L50" s="553">
        <f t="shared" si="11"/>
        <v>0</v>
      </c>
      <c r="M50" s="553">
        <v>0</v>
      </c>
      <c r="N50" s="553">
        <v>0</v>
      </c>
    </row>
    <row r="51" spans="1:14" s="504" customFormat="1" ht="15" customHeight="1" hidden="1">
      <c r="A51" s="977"/>
      <c r="B51" s="1033"/>
      <c r="C51" s="979"/>
      <c r="D51" s="1034"/>
      <c r="E51" s="966"/>
      <c r="F51" s="955"/>
      <c r="G51" s="551" t="s">
        <v>15</v>
      </c>
      <c r="H51" s="584">
        <f t="shared" si="8"/>
        <v>40000</v>
      </c>
      <c r="I51" s="585">
        <f t="shared" si="9"/>
        <v>40000</v>
      </c>
      <c r="J51" s="585">
        <f>J49+J50</f>
        <v>0</v>
      </c>
      <c r="K51" s="585">
        <f>K49+K50</f>
        <v>40000</v>
      </c>
      <c r="L51" s="585">
        <f t="shared" si="11"/>
        <v>0</v>
      </c>
      <c r="M51" s="585">
        <f>M49+M50</f>
        <v>0</v>
      </c>
      <c r="N51" s="585">
        <f>N49+N50</f>
        <v>0</v>
      </c>
    </row>
    <row r="52" spans="1:14" s="516" customFormat="1" ht="15" customHeight="1" hidden="1">
      <c r="A52" s="1021" t="s">
        <v>708</v>
      </c>
      <c r="B52" s="1022"/>
      <c r="C52" s="1022"/>
      <c r="D52" s="1022"/>
      <c r="E52" s="1022"/>
      <c r="F52" s="1023"/>
      <c r="G52" s="581" t="s">
        <v>13</v>
      </c>
      <c r="H52" s="582">
        <f t="shared" si="8"/>
        <v>2000000</v>
      </c>
      <c r="I52" s="583">
        <f t="shared" si="9"/>
        <v>2000000</v>
      </c>
      <c r="J52" s="583">
        <f aca="true" t="shared" si="15" ref="J52:K54">J55</f>
        <v>0</v>
      </c>
      <c r="K52" s="583">
        <f t="shared" si="15"/>
        <v>2000000</v>
      </c>
      <c r="L52" s="583">
        <f t="shared" si="11"/>
        <v>0</v>
      </c>
      <c r="M52" s="583">
        <f aca="true" t="shared" si="16" ref="M52:N54">M55</f>
        <v>0</v>
      </c>
      <c r="N52" s="583">
        <f t="shared" si="16"/>
        <v>0</v>
      </c>
    </row>
    <row r="53" spans="1:14" s="516" customFormat="1" ht="15" customHeight="1" hidden="1">
      <c r="A53" s="1024"/>
      <c r="B53" s="1025"/>
      <c r="C53" s="1025"/>
      <c r="D53" s="1025"/>
      <c r="E53" s="1025"/>
      <c r="F53" s="1026"/>
      <c r="G53" s="581" t="s">
        <v>14</v>
      </c>
      <c r="H53" s="582">
        <f t="shared" si="8"/>
        <v>0</v>
      </c>
      <c r="I53" s="583">
        <f t="shared" si="9"/>
        <v>0</v>
      </c>
      <c r="J53" s="583">
        <f t="shared" si="15"/>
        <v>0</v>
      </c>
      <c r="K53" s="583">
        <f t="shared" si="15"/>
        <v>0</v>
      </c>
      <c r="L53" s="583">
        <f t="shared" si="11"/>
        <v>0</v>
      </c>
      <c r="M53" s="583">
        <f t="shared" si="16"/>
        <v>0</v>
      </c>
      <c r="N53" s="583">
        <f t="shared" si="16"/>
        <v>0</v>
      </c>
    </row>
    <row r="54" spans="1:14" s="516" customFormat="1" ht="15" customHeight="1" hidden="1">
      <c r="A54" s="1027"/>
      <c r="B54" s="1028"/>
      <c r="C54" s="1028"/>
      <c r="D54" s="1028"/>
      <c r="E54" s="1028"/>
      <c r="F54" s="1029"/>
      <c r="G54" s="581" t="s">
        <v>15</v>
      </c>
      <c r="H54" s="582">
        <f t="shared" si="8"/>
        <v>2000000</v>
      </c>
      <c r="I54" s="583">
        <f t="shared" si="9"/>
        <v>2000000</v>
      </c>
      <c r="J54" s="583">
        <f t="shared" si="15"/>
        <v>0</v>
      </c>
      <c r="K54" s="583">
        <f t="shared" si="15"/>
        <v>2000000</v>
      </c>
      <c r="L54" s="583">
        <f t="shared" si="11"/>
        <v>0</v>
      </c>
      <c r="M54" s="583">
        <f t="shared" si="16"/>
        <v>0</v>
      </c>
      <c r="N54" s="583">
        <f t="shared" si="16"/>
        <v>0</v>
      </c>
    </row>
    <row r="55" spans="1:14" s="504" customFormat="1" ht="15" customHeight="1" hidden="1">
      <c r="A55" s="968" t="s">
        <v>250</v>
      </c>
      <c r="B55" s="969"/>
      <c r="C55" s="970" t="s">
        <v>251</v>
      </c>
      <c r="D55" s="971"/>
      <c r="E55" s="964" t="s">
        <v>704</v>
      </c>
      <c r="F55" s="951"/>
      <c r="G55" s="551" t="s">
        <v>13</v>
      </c>
      <c r="H55" s="584">
        <f t="shared" si="8"/>
        <v>2000000</v>
      </c>
      <c r="I55" s="585">
        <f t="shared" si="9"/>
        <v>2000000</v>
      </c>
      <c r="J55" s="585">
        <v>0</v>
      </c>
      <c r="K55" s="585">
        <v>2000000</v>
      </c>
      <c r="L55" s="585">
        <f t="shared" si="11"/>
        <v>0</v>
      </c>
      <c r="M55" s="585">
        <v>0</v>
      </c>
      <c r="N55" s="585">
        <v>0</v>
      </c>
    </row>
    <row r="56" spans="1:14" s="504" customFormat="1" ht="15" customHeight="1" hidden="1">
      <c r="A56" s="959"/>
      <c r="B56" s="960"/>
      <c r="C56" s="961"/>
      <c r="D56" s="960"/>
      <c r="E56" s="965"/>
      <c r="F56" s="953"/>
      <c r="G56" s="551" t="s">
        <v>14</v>
      </c>
      <c r="H56" s="584">
        <f t="shared" si="8"/>
        <v>0</v>
      </c>
      <c r="I56" s="585">
        <f t="shared" si="9"/>
        <v>0</v>
      </c>
      <c r="J56" s="585">
        <v>0</v>
      </c>
      <c r="K56" s="585">
        <v>0</v>
      </c>
      <c r="L56" s="585">
        <f t="shared" si="11"/>
        <v>0</v>
      </c>
      <c r="M56" s="585">
        <v>0</v>
      </c>
      <c r="N56" s="585">
        <v>0</v>
      </c>
    </row>
    <row r="57" spans="1:14" s="504" customFormat="1" ht="15" customHeight="1" hidden="1">
      <c r="A57" s="977"/>
      <c r="B57" s="1033"/>
      <c r="C57" s="979"/>
      <c r="D57" s="1034"/>
      <c r="E57" s="966"/>
      <c r="F57" s="955"/>
      <c r="G57" s="551" t="s">
        <v>15</v>
      </c>
      <c r="H57" s="584">
        <f t="shared" si="8"/>
        <v>2000000</v>
      </c>
      <c r="I57" s="585">
        <f t="shared" si="9"/>
        <v>2000000</v>
      </c>
      <c r="J57" s="585">
        <f>J55+J56</f>
        <v>0</v>
      </c>
      <c r="K57" s="585">
        <f>K55+K56</f>
        <v>2000000</v>
      </c>
      <c r="L57" s="585">
        <f t="shared" si="11"/>
        <v>0</v>
      </c>
      <c r="M57" s="585">
        <f>M55+M56</f>
        <v>0</v>
      </c>
      <c r="N57" s="585">
        <f>N55+N56</f>
        <v>0</v>
      </c>
    </row>
    <row r="58" spans="1:14" s="516" customFormat="1" ht="15" customHeight="1">
      <c r="A58" s="1021" t="s">
        <v>319</v>
      </c>
      <c r="B58" s="1022"/>
      <c r="C58" s="1022"/>
      <c r="D58" s="1022"/>
      <c r="E58" s="1022"/>
      <c r="F58" s="1023"/>
      <c r="G58" s="581" t="s">
        <v>13</v>
      </c>
      <c r="H58" s="582">
        <f t="shared" si="8"/>
        <v>8667446</v>
      </c>
      <c r="I58" s="583">
        <f t="shared" si="9"/>
        <v>8667446</v>
      </c>
      <c r="J58" s="583">
        <f aca="true" t="shared" si="17" ref="J58:K60">J61</f>
        <v>0</v>
      </c>
      <c r="K58" s="583">
        <f t="shared" si="17"/>
        <v>8667446</v>
      </c>
      <c r="L58" s="583">
        <f t="shared" si="11"/>
        <v>0</v>
      </c>
      <c r="M58" s="583">
        <f aca="true" t="shared" si="18" ref="M58:N60">M61</f>
        <v>0</v>
      </c>
      <c r="N58" s="583">
        <f t="shared" si="18"/>
        <v>0</v>
      </c>
    </row>
    <row r="59" spans="1:14" s="516" customFormat="1" ht="15" customHeight="1">
      <c r="A59" s="1024"/>
      <c r="B59" s="1025"/>
      <c r="C59" s="1025"/>
      <c r="D59" s="1025"/>
      <c r="E59" s="1025"/>
      <c r="F59" s="1026"/>
      <c r="G59" s="581" t="s">
        <v>14</v>
      </c>
      <c r="H59" s="582">
        <f t="shared" si="8"/>
        <v>67098</v>
      </c>
      <c r="I59" s="583">
        <f t="shared" si="9"/>
        <v>67098</v>
      </c>
      <c r="J59" s="583">
        <f t="shared" si="17"/>
        <v>0</v>
      </c>
      <c r="K59" s="583">
        <f t="shared" si="17"/>
        <v>67098</v>
      </c>
      <c r="L59" s="583">
        <f t="shared" si="11"/>
        <v>0</v>
      </c>
      <c r="M59" s="583">
        <f t="shared" si="18"/>
        <v>0</v>
      </c>
      <c r="N59" s="583">
        <f t="shared" si="18"/>
        <v>0</v>
      </c>
    </row>
    <row r="60" spans="1:14" s="516" customFormat="1" ht="15" customHeight="1">
      <c r="A60" s="1027"/>
      <c r="B60" s="1028"/>
      <c r="C60" s="1028"/>
      <c r="D60" s="1028"/>
      <c r="E60" s="1028"/>
      <c r="F60" s="1029"/>
      <c r="G60" s="581" t="s">
        <v>15</v>
      </c>
      <c r="H60" s="582">
        <f t="shared" si="8"/>
        <v>8734544</v>
      </c>
      <c r="I60" s="583">
        <f t="shared" si="9"/>
        <v>8734544</v>
      </c>
      <c r="J60" s="583">
        <f t="shared" si="17"/>
        <v>0</v>
      </c>
      <c r="K60" s="583">
        <f t="shared" si="17"/>
        <v>8734544</v>
      </c>
      <c r="L60" s="583">
        <f t="shared" si="11"/>
        <v>0</v>
      </c>
      <c r="M60" s="583">
        <f t="shared" si="18"/>
        <v>0</v>
      </c>
      <c r="N60" s="583">
        <f t="shared" si="18"/>
        <v>0</v>
      </c>
    </row>
    <row r="61" spans="1:14" s="504" customFormat="1" ht="15" customHeight="1">
      <c r="A61" s="968" t="s">
        <v>250</v>
      </c>
      <c r="B61" s="969"/>
      <c r="C61" s="970" t="s">
        <v>317</v>
      </c>
      <c r="D61" s="971"/>
      <c r="E61" s="964" t="s">
        <v>704</v>
      </c>
      <c r="F61" s="951"/>
      <c r="G61" s="551" t="s">
        <v>13</v>
      </c>
      <c r="H61" s="584">
        <f t="shared" si="8"/>
        <v>8667446</v>
      </c>
      <c r="I61" s="585">
        <f t="shared" si="9"/>
        <v>8667446</v>
      </c>
      <c r="J61" s="585">
        <v>0</v>
      </c>
      <c r="K61" s="585">
        <v>8667446</v>
      </c>
      <c r="L61" s="585">
        <f t="shared" si="11"/>
        <v>0</v>
      </c>
      <c r="M61" s="585">
        <v>0</v>
      </c>
      <c r="N61" s="585">
        <v>0</v>
      </c>
    </row>
    <row r="62" spans="1:14" s="504" customFormat="1" ht="15" customHeight="1">
      <c r="A62" s="959"/>
      <c r="B62" s="960"/>
      <c r="C62" s="961"/>
      <c r="D62" s="960"/>
      <c r="E62" s="965"/>
      <c r="F62" s="953"/>
      <c r="G62" s="551" t="s">
        <v>14</v>
      </c>
      <c r="H62" s="584">
        <f t="shared" si="8"/>
        <v>67098</v>
      </c>
      <c r="I62" s="585">
        <f t="shared" si="9"/>
        <v>67098</v>
      </c>
      <c r="J62" s="585">
        <v>0</v>
      </c>
      <c r="K62" s="585">
        <v>67098</v>
      </c>
      <c r="L62" s="585">
        <f t="shared" si="11"/>
        <v>0</v>
      </c>
      <c r="M62" s="585">
        <v>0</v>
      </c>
      <c r="N62" s="585">
        <v>0</v>
      </c>
    </row>
    <row r="63" spans="1:14" s="504" customFormat="1" ht="15" customHeight="1">
      <c r="A63" s="977"/>
      <c r="B63" s="1033"/>
      <c r="C63" s="979"/>
      <c r="D63" s="1034"/>
      <c r="E63" s="966"/>
      <c r="F63" s="955"/>
      <c r="G63" s="586" t="s">
        <v>15</v>
      </c>
      <c r="H63" s="552">
        <f t="shared" si="8"/>
        <v>8734544</v>
      </c>
      <c r="I63" s="553">
        <f t="shared" si="9"/>
        <v>8734544</v>
      </c>
      <c r="J63" s="553">
        <f>J61+J62</f>
        <v>0</v>
      </c>
      <c r="K63" s="553">
        <f>K61+K62</f>
        <v>8734544</v>
      </c>
      <c r="L63" s="553">
        <f t="shared" si="11"/>
        <v>0</v>
      </c>
      <c r="M63" s="553">
        <f>M61+M62</f>
        <v>0</v>
      </c>
      <c r="N63" s="553">
        <f>N61+N62</f>
        <v>0</v>
      </c>
    </row>
    <row r="64" spans="1:14" s="516" customFormat="1" ht="15" customHeight="1" hidden="1">
      <c r="A64" s="1021" t="s">
        <v>349</v>
      </c>
      <c r="B64" s="1022"/>
      <c r="C64" s="1022"/>
      <c r="D64" s="1022"/>
      <c r="E64" s="1022"/>
      <c r="F64" s="1023"/>
      <c r="G64" s="581" t="s">
        <v>13</v>
      </c>
      <c r="H64" s="582">
        <f t="shared" si="8"/>
        <v>2000000</v>
      </c>
      <c r="I64" s="583">
        <f t="shared" si="9"/>
        <v>2000000</v>
      </c>
      <c r="J64" s="583">
        <f aca="true" t="shared" si="19" ref="J64:K66">J67</f>
        <v>0</v>
      </c>
      <c r="K64" s="583">
        <f t="shared" si="19"/>
        <v>2000000</v>
      </c>
      <c r="L64" s="583">
        <f t="shared" si="11"/>
        <v>0</v>
      </c>
      <c r="M64" s="583">
        <f aca="true" t="shared" si="20" ref="M64:N66">M67</f>
        <v>0</v>
      </c>
      <c r="N64" s="583">
        <f t="shared" si="20"/>
        <v>0</v>
      </c>
    </row>
    <row r="65" spans="1:14" s="516" customFormat="1" ht="15" customHeight="1" hidden="1">
      <c r="A65" s="1024"/>
      <c r="B65" s="1025"/>
      <c r="C65" s="1025"/>
      <c r="D65" s="1025"/>
      <c r="E65" s="1025"/>
      <c r="F65" s="1026"/>
      <c r="G65" s="581" t="s">
        <v>14</v>
      </c>
      <c r="H65" s="582">
        <f t="shared" si="8"/>
        <v>0</v>
      </c>
      <c r="I65" s="583">
        <f t="shared" si="9"/>
        <v>0</v>
      </c>
      <c r="J65" s="583">
        <f t="shared" si="19"/>
        <v>0</v>
      </c>
      <c r="K65" s="583">
        <f t="shared" si="19"/>
        <v>0</v>
      </c>
      <c r="L65" s="583">
        <f t="shared" si="11"/>
        <v>0</v>
      </c>
      <c r="M65" s="583">
        <f t="shared" si="20"/>
        <v>0</v>
      </c>
      <c r="N65" s="583">
        <f t="shared" si="20"/>
        <v>0</v>
      </c>
    </row>
    <row r="66" spans="1:14" s="516" customFormat="1" ht="15" customHeight="1" hidden="1">
      <c r="A66" s="1027"/>
      <c r="B66" s="1028"/>
      <c r="C66" s="1028"/>
      <c r="D66" s="1028"/>
      <c r="E66" s="1028"/>
      <c r="F66" s="1029"/>
      <c r="G66" s="581" t="s">
        <v>15</v>
      </c>
      <c r="H66" s="582">
        <f t="shared" si="8"/>
        <v>2000000</v>
      </c>
      <c r="I66" s="583">
        <f t="shared" si="9"/>
        <v>2000000</v>
      </c>
      <c r="J66" s="583">
        <f t="shared" si="19"/>
        <v>0</v>
      </c>
      <c r="K66" s="583">
        <f t="shared" si="19"/>
        <v>2000000</v>
      </c>
      <c r="L66" s="583">
        <f t="shared" si="11"/>
        <v>0</v>
      </c>
      <c r="M66" s="583">
        <f t="shared" si="20"/>
        <v>0</v>
      </c>
      <c r="N66" s="583">
        <f t="shared" si="20"/>
        <v>0</v>
      </c>
    </row>
    <row r="67" spans="1:14" s="504" customFormat="1" ht="15" customHeight="1" hidden="1">
      <c r="A67" s="968" t="s">
        <v>250</v>
      </c>
      <c r="B67" s="969"/>
      <c r="C67" s="970" t="s">
        <v>254</v>
      </c>
      <c r="D67" s="971"/>
      <c r="E67" s="964" t="s">
        <v>704</v>
      </c>
      <c r="F67" s="951"/>
      <c r="G67" s="551" t="s">
        <v>13</v>
      </c>
      <c r="H67" s="584">
        <f t="shared" si="8"/>
        <v>2000000</v>
      </c>
      <c r="I67" s="585">
        <f t="shared" si="9"/>
        <v>2000000</v>
      </c>
      <c r="J67" s="585">
        <v>0</v>
      </c>
      <c r="K67" s="585">
        <v>2000000</v>
      </c>
      <c r="L67" s="585">
        <f t="shared" si="11"/>
        <v>0</v>
      </c>
      <c r="M67" s="585">
        <v>0</v>
      </c>
      <c r="N67" s="585">
        <v>0</v>
      </c>
    </row>
    <row r="68" spans="1:14" s="504" customFormat="1" ht="15" customHeight="1" hidden="1">
      <c r="A68" s="959"/>
      <c r="B68" s="960"/>
      <c r="C68" s="961"/>
      <c r="D68" s="960"/>
      <c r="E68" s="965"/>
      <c r="F68" s="953"/>
      <c r="G68" s="551" t="s">
        <v>14</v>
      </c>
      <c r="H68" s="584">
        <f t="shared" si="8"/>
        <v>0</v>
      </c>
      <c r="I68" s="585">
        <f t="shared" si="9"/>
        <v>0</v>
      </c>
      <c r="J68" s="585">
        <v>0</v>
      </c>
      <c r="K68" s="585">
        <v>0</v>
      </c>
      <c r="L68" s="585">
        <f t="shared" si="11"/>
        <v>0</v>
      </c>
      <c r="M68" s="585">
        <v>0</v>
      </c>
      <c r="N68" s="585">
        <v>0</v>
      </c>
    </row>
    <row r="69" spans="1:14" s="504" customFormat="1" ht="15" customHeight="1" hidden="1">
      <c r="A69" s="977"/>
      <c r="B69" s="1033"/>
      <c r="C69" s="979"/>
      <c r="D69" s="1034"/>
      <c r="E69" s="966"/>
      <c r="F69" s="955"/>
      <c r="G69" s="551" t="s">
        <v>15</v>
      </c>
      <c r="H69" s="584">
        <f t="shared" si="8"/>
        <v>2000000</v>
      </c>
      <c r="I69" s="585">
        <f t="shared" si="9"/>
        <v>2000000</v>
      </c>
      <c r="J69" s="585">
        <f>J67+J68</f>
        <v>0</v>
      </c>
      <c r="K69" s="585">
        <f>K67+K68</f>
        <v>2000000</v>
      </c>
      <c r="L69" s="585">
        <f t="shared" si="11"/>
        <v>0</v>
      </c>
      <c r="M69" s="585">
        <f>M67+M68</f>
        <v>0</v>
      </c>
      <c r="N69" s="585">
        <f>N67+N68</f>
        <v>0</v>
      </c>
    </row>
    <row r="70" spans="1:14" s="516" customFormat="1" ht="15" customHeight="1" hidden="1">
      <c r="A70" s="1021" t="s">
        <v>709</v>
      </c>
      <c r="B70" s="1022"/>
      <c r="C70" s="1022"/>
      <c r="D70" s="1022"/>
      <c r="E70" s="1022"/>
      <c r="F70" s="1023"/>
      <c r="G70" s="581" t="s">
        <v>13</v>
      </c>
      <c r="H70" s="582">
        <f t="shared" si="8"/>
        <v>2725630</v>
      </c>
      <c r="I70" s="583">
        <f t="shared" si="9"/>
        <v>2725630</v>
      </c>
      <c r="J70" s="583">
        <f aca="true" t="shared" si="21" ref="J70:K72">J73</f>
        <v>0</v>
      </c>
      <c r="K70" s="583">
        <f t="shared" si="21"/>
        <v>2725630</v>
      </c>
      <c r="L70" s="583">
        <f t="shared" si="11"/>
        <v>0</v>
      </c>
      <c r="M70" s="583">
        <f aca="true" t="shared" si="22" ref="M70:N72">M73</f>
        <v>0</v>
      </c>
      <c r="N70" s="583">
        <f t="shared" si="22"/>
        <v>0</v>
      </c>
    </row>
    <row r="71" spans="1:14" s="516" customFormat="1" ht="15" customHeight="1" hidden="1">
      <c r="A71" s="1024"/>
      <c r="B71" s="1025"/>
      <c r="C71" s="1025"/>
      <c r="D71" s="1025"/>
      <c r="E71" s="1025"/>
      <c r="F71" s="1026"/>
      <c r="G71" s="581" t="s">
        <v>14</v>
      </c>
      <c r="H71" s="582">
        <f t="shared" si="8"/>
        <v>0</v>
      </c>
      <c r="I71" s="583">
        <f t="shared" si="9"/>
        <v>0</v>
      </c>
      <c r="J71" s="583">
        <f t="shared" si="21"/>
        <v>0</v>
      </c>
      <c r="K71" s="583">
        <f t="shared" si="21"/>
        <v>0</v>
      </c>
      <c r="L71" s="583">
        <f t="shared" si="11"/>
        <v>0</v>
      </c>
      <c r="M71" s="583">
        <f t="shared" si="22"/>
        <v>0</v>
      </c>
      <c r="N71" s="583">
        <f t="shared" si="22"/>
        <v>0</v>
      </c>
    </row>
    <row r="72" spans="1:14" s="516" customFormat="1" ht="15" customHeight="1" hidden="1">
      <c r="A72" s="1027"/>
      <c r="B72" s="1028"/>
      <c r="C72" s="1028"/>
      <c r="D72" s="1028"/>
      <c r="E72" s="1028"/>
      <c r="F72" s="1029"/>
      <c r="G72" s="581" t="s">
        <v>15</v>
      </c>
      <c r="H72" s="582">
        <f t="shared" si="8"/>
        <v>2725630</v>
      </c>
      <c r="I72" s="583">
        <f t="shared" si="9"/>
        <v>2725630</v>
      </c>
      <c r="J72" s="583">
        <f t="shared" si="21"/>
        <v>0</v>
      </c>
      <c r="K72" s="583">
        <f t="shared" si="21"/>
        <v>2725630</v>
      </c>
      <c r="L72" s="583">
        <f t="shared" si="11"/>
        <v>0</v>
      </c>
      <c r="M72" s="583">
        <f t="shared" si="22"/>
        <v>0</v>
      </c>
      <c r="N72" s="583">
        <f t="shared" si="22"/>
        <v>0</v>
      </c>
    </row>
    <row r="73" spans="1:14" s="504" customFormat="1" ht="15" customHeight="1" hidden="1">
      <c r="A73" s="968" t="s">
        <v>250</v>
      </c>
      <c r="B73" s="969"/>
      <c r="C73" s="970" t="s">
        <v>254</v>
      </c>
      <c r="D73" s="971"/>
      <c r="E73" s="964" t="s">
        <v>704</v>
      </c>
      <c r="F73" s="951"/>
      <c r="G73" s="551" t="s">
        <v>13</v>
      </c>
      <c r="H73" s="584">
        <f t="shared" si="8"/>
        <v>2725630</v>
      </c>
      <c r="I73" s="585">
        <f t="shared" si="9"/>
        <v>2725630</v>
      </c>
      <c r="J73" s="585">
        <v>0</v>
      </c>
      <c r="K73" s="585">
        <v>2725630</v>
      </c>
      <c r="L73" s="585">
        <f t="shared" si="11"/>
        <v>0</v>
      </c>
      <c r="M73" s="585">
        <v>0</v>
      </c>
      <c r="N73" s="585">
        <v>0</v>
      </c>
    </row>
    <row r="74" spans="1:14" s="504" customFormat="1" ht="15" customHeight="1" hidden="1">
      <c r="A74" s="959"/>
      <c r="B74" s="960"/>
      <c r="C74" s="961"/>
      <c r="D74" s="960"/>
      <c r="E74" s="965"/>
      <c r="F74" s="953"/>
      <c r="G74" s="551" t="s">
        <v>14</v>
      </c>
      <c r="H74" s="584">
        <f t="shared" si="8"/>
        <v>0</v>
      </c>
      <c r="I74" s="585">
        <f t="shared" si="9"/>
        <v>0</v>
      </c>
      <c r="J74" s="585">
        <v>0</v>
      </c>
      <c r="K74" s="585">
        <v>0</v>
      </c>
      <c r="L74" s="585">
        <f t="shared" si="11"/>
        <v>0</v>
      </c>
      <c r="M74" s="585">
        <v>0</v>
      </c>
      <c r="N74" s="585">
        <v>0</v>
      </c>
    </row>
    <row r="75" spans="1:14" s="504" customFormat="1" ht="15" customHeight="1" hidden="1">
      <c r="A75" s="977"/>
      <c r="B75" s="1033"/>
      <c r="C75" s="979"/>
      <c r="D75" s="1034"/>
      <c r="E75" s="966"/>
      <c r="F75" s="955"/>
      <c r="G75" s="551" t="s">
        <v>15</v>
      </c>
      <c r="H75" s="584">
        <f t="shared" si="8"/>
        <v>2725630</v>
      </c>
      <c r="I75" s="585">
        <f t="shared" si="9"/>
        <v>2725630</v>
      </c>
      <c r="J75" s="585">
        <f>J73+J74</f>
        <v>0</v>
      </c>
      <c r="K75" s="585">
        <f>K73+K74</f>
        <v>2725630</v>
      </c>
      <c r="L75" s="585">
        <f t="shared" si="11"/>
        <v>0</v>
      </c>
      <c r="M75" s="585">
        <f>M73+M74</f>
        <v>0</v>
      </c>
      <c r="N75" s="585">
        <f>N73+N74</f>
        <v>0</v>
      </c>
    </row>
    <row r="76" spans="1:14" s="516" customFormat="1" ht="15" customHeight="1" hidden="1">
      <c r="A76" s="1021" t="s">
        <v>710</v>
      </c>
      <c r="B76" s="1022"/>
      <c r="C76" s="1022"/>
      <c r="D76" s="1022"/>
      <c r="E76" s="1022"/>
      <c r="F76" s="1023"/>
      <c r="G76" s="581" t="s">
        <v>13</v>
      </c>
      <c r="H76" s="582">
        <f t="shared" si="8"/>
        <v>981031</v>
      </c>
      <c r="I76" s="583">
        <f t="shared" si="9"/>
        <v>981031</v>
      </c>
      <c r="J76" s="583">
        <f aca="true" t="shared" si="23" ref="J76:K78">J79+J88</f>
        <v>0</v>
      </c>
      <c r="K76" s="583">
        <f t="shared" si="23"/>
        <v>981031</v>
      </c>
      <c r="L76" s="583">
        <f t="shared" si="11"/>
        <v>0</v>
      </c>
      <c r="M76" s="583">
        <f aca="true" t="shared" si="24" ref="M76:N78">M79+M88</f>
        <v>0</v>
      </c>
      <c r="N76" s="583">
        <f t="shared" si="24"/>
        <v>0</v>
      </c>
    </row>
    <row r="77" spans="1:14" s="516" customFormat="1" ht="15" customHeight="1" hidden="1">
      <c r="A77" s="1024"/>
      <c r="B77" s="1025"/>
      <c r="C77" s="1025"/>
      <c r="D77" s="1025"/>
      <c r="E77" s="1025"/>
      <c r="F77" s="1026"/>
      <c r="G77" s="581" t="s">
        <v>14</v>
      </c>
      <c r="H77" s="582">
        <f t="shared" si="8"/>
        <v>0</v>
      </c>
      <c r="I77" s="583">
        <f t="shared" si="9"/>
        <v>0</v>
      </c>
      <c r="J77" s="583">
        <f t="shared" si="23"/>
        <v>0</v>
      </c>
      <c r="K77" s="583">
        <f t="shared" si="23"/>
        <v>0</v>
      </c>
      <c r="L77" s="583">
        <f t="shared" si="11"/>
        <v>0</v>
      </c>
      <c r="M77" s="583">
        <f t="shared" si="24"/>
        <v>0</v>
      </c>
      <c r="N77" s="583">
        <f t="shared" si="24"/>
        <v>0</v>
      </c>
    </row>
    <row r="78" spans="1:14" s="516" customFormat="1" ht="15" customHeight="1" hidden="1">
      <c r="A78" s="1027"/>
      <c r="B78" s="1028"/>
      <c r="C78" s="1028"/>
      <c r="D78" s="1028"/>
      <c r="E78" s="1028"/>
      <c r="F78" s="1029"/>
      <c r="G78" s="581" t="s">
        <v>15</v>
      </c>
      <c r="H78" s="582">
        <f t="shared" si="8"/>
        <v>981031</v>
      </c>
      <c r="I78" s="583">
        <f t="shared" si="9"/>
        <v>981031</v>
      </c>
      <c r="J78" s="583">
        <f t="shared" si="23"/>
        <v>0</v>
      </c>
      <c r="K78" s="583">
        <f t="shared" si="23"/>
        <v>981031</v>
      </c>
      <c r="L78" s="583">
        <f t="shared" si="11"/>
        <v>0</v>
      </c>
      <c r="M78" s="583">
        <f t="shared" si="24"/>
        <v>0</v>
      </c>
      <c r="N78" s="583">
        <f t="shared" si="24"/>
        <v>0</v>
      </c>
    </row>
    <row r="79" spans="1:14" s="504" customFormat="1" ht="15" customHeight="1" hidden="1">
      <c r="A79" s="968" t="s">
        <v>250</v>
      </c>
      <c r="B79" s="969"/>
      <c r="C79" s="970" t="s">
        <v>254</v>
      </c>
      <c r="D79" s="971"/>
      <c r="E79" s="964" t="s">
        <v>711</v>
      </c>
      <c r="F79" s="951"/>
      <c r="G79" s="551" t="s">
        <v>13</v>
      </c>
      <c r="H79" s="584">
        <f t="shared" si="8"/>
        <v>841031</v>
      </c>
      <c r="I79" s="585">
        <f t="shared" si="9"/>
        <v>841031</v>
      </c>
      <c r="J79" s="585">
        <f aca="true" t="shared" si="25" ref="J79:K81">J82+J85</f>
        <v>0</v>
      </c>
      <c r="K79" s="585">
        <f t="shared" si="25"/>
        <v>841031</v>
      </c>
      <c r="L79" s="585">
        <f t="shared" si="11"/>
        <v>0</v>
      </c>
      <c r="M79" s="585">
        <f aca="true" t="shared" si="26" ref="M79:N81">M82+M85</f>
        <v>0</v>
      </c>
      <c r="N79" s="585">
        <f t="shared" si="26"/>
        <v>0</v>
      </c>
    </row>
    <row r="80" spans="1:14" s="504" customFormat="1" ht="15" customHeight="1" hidden="1">
      <c r="A80" s="959"/>
      <c r="B80" s="960"/>
      <c r="C80" s="961"/>
      <c r="D80" s="960"/>
      <c r="E80" s="965"/>
      <c r="F80" s="953"/>
      <c r="G80" s="551" t="s">
        <v>14</v>
      </c>
      <c r="H80" s="584">
        <f t="shared" si="8"/>
        <v>0</v>
      </c>
      <c r="I80" s="585">
        <f t="shared" si="9"/>
        <v>0</v>
      </c>
      <c r="J80" s="585">
        <f t="shared" si="25"/>
        <v>0</v>
      </c>
      <c r="K80" s="585">
        <f t="shared" si="25"/>
        <v>0</v>
      </c>
      <c r="L80" s="585">
        <f t="shared" si="11"/>
        <v>0</v>
      </c>
      <c r="M80" s="585">
        <f t="shared" si="26"/>
        <v>0</v>
      </c>
      <c r="N80" s="585">
        <f t="shared" si="26"/>
        <v>0</v>
      </c>
    </row>
    <row r="81" spans="1:14" s="504" customFormat="1" ht="15" customHeight="1" hidden="1">
      <c r="A81" s="959"/>
      <c r="B81" s="962"/>
      <c r="C81" s="961"/>
      <c r="D81" s="963"/>
      <c r="E81" s="966"/>
      <c r="F81" s="955"/>
      <c r="G81" s="551" t="s">
        <v>15</v>
      </c>
      <c r="H81" s="584">
        <f t="shared" si="8"/>
        <v>841031</v>
      </c>
      <c r="I81" s="585">
        <f t="shared" si="9"/>
        <v>841031</v>
      </c>
      <c r="J81" s="585">
        <f t="shared" si="25"/>
        <v>0</v>
      </c>
      <c r="K81" s="585">
        <f t="shared" si="25"/>
        <v>841031</v>
      </c>
      <c r="L81" s="585">
        <f t="shared" si="11"/>
        <v>0</v>
      </c>
      <c r="M81" s="585">
        <f t="shared" si="26"/>
        <v>0</v>
      </c>
      <c r="N81" s="585">
        <f t="shared" si="26"/>
        <v>0</v>
      </c>
    </row>
    <row r="82" spans="1:14" s="590" customFormat="1" ht="15" customHeight="1" hidden="1">
      <c r="A82" s="1035"/>
      <c r="B82" s="1036"/>
      <c r="C82" s="1037"/>
      <c r="D82" s="1038"/>
      <c r="E82" s="1039" t="s">
        <v>712</v>
      </c>
      <c r="F82" s="1040"/>
      <c r="G82" s="587" t="s">
        <v>13</v>
      </c>
      <c r="H82" s="588">
        <f t="shared" si="8"/>
        <v>772871</v>
      </c>
      <c r="I82" s="589">
        <f t="shared" si="9"/>
        <v>772871</v>
      </c>
      <c r="J82" s="589">
        <v>0</v>
      </c>
      <c r="K82" s="589">
        <v>772871</v>
      </c>
      <c r="L82" s="589">
        <f t="shared" si="11"/>
        <v>0</v>
      </c>
      <c r="M82" s="589">
        <f>N82+O82</f>
        <v>0</v>
      </c>
      <c r="N82" s="589">
        <f>O82+P82</f>
        <v>0</v>
      </c>
    </row>
    <row r="83" spans="1:14" s="590" customFormat="1" ht="15" customHeight="1" hidden="1">
      <c r="A83" s="1035"/>
      <c r="B83" s="960"/>
      <c r="C83" s="1037"/>
      <c r="D83" s="960"/>
      <c r="E83" s="965"/>
      <c r="F83" s="953"/>
      <c r="G83" s="587" t="s">
        <v>14</v>
      </c>
      <c r="H83" s="588">
        <f t="shared" si="8"/>
        <v>0</v>
      </c>
      <c r="I83" s="589">
        <f t="shared" si="9"/>
        <v>0</v>
      </c>
      <c r="J83" s="589">
        <v>0</v>
      </c>
      <c r="K83" s="589">
        <v>0</v>
      </c>
      <c r="L83" s="589">
        <f t="shared" si="11"/>
        <v>0</v>
      </c>
      <c r="M83" s="589">
        <f>N83+O83</f>
        <v>0</v>
      </c>
      <c r="N83" s="589">
        <f>O83+P83</f>
        <v>0</v>
      </c>
    </row>
    <row r="84" spans="1:14" s="590" customFormat="1" ht="15" customHeight="1" hidden="1">
      <c r="A84" s="1035"/>
      <c r="B84" s="1036"/>
      <c r="C84" s="1037"/>
      <c r="D84" s="1038"/>
      <c r="E84" s="966"/>
      <c r="F84" s="955"/>
      <c r="G84" s="587" t="s">
        <v>15</v>
      </c>
      <c r="H84" s="588">
        <f t="shared" si="8"/>
        <v>772871</v>
      </c>
      <c r="I84" s="589">
        <f t="shared" si="9"/>
        <v>772871</v>
      </c>
      <c r="J84" s="589">
        <f>J82+J83</f>
        <v>0</v>
      </c>
      <c r="K84" s="589">
        <f>K82+K83</f>
        <v>772871</v>
      </c>
      <c r="L84" s="589">
        <f t="shared" si="11"/>
        <v>0</v>
      </c>
      <c r="M84" s="589">
        <f>M82+M83</f>
        <v>0</v>
      </c>
      <c r="N84" s="589">
        <f>N82+N83</f>
        <v>0</v>
      </c>
    </row>
    <row r="85" spans="1:14" s="590" customFormat="1" ht="15" customHeight="1" hidden="1">
      <c r="A85" s="1035"/>
      <c r="B85" s="1036"/>
      <c r="C85" s="1037"/>
      <c r="D85" s="1038"/>
      <c r="E85" s="1039" t="s">
        <v>713</v>
      </c>
      <c r="F85" s="1040"/>
      <c r="G85" s="587" t="s">
        <v>13</v>
      </c>
      <c r="H85" s="588">
        <f t="shared" si="8"/>
        <v>68160</v>
      </c>
      <c r="I85" s="589">
        <f t="shared" si="9"/>
        <v>68160</v>
      </c>
      <c r="J85" s="591">
        <v>0</v>
      </c>
      <c r="K85" s="591">
        <v>68160</v>
      </c>
      <c r="L85" s="589">
        <f t="shared" si="11"/>
        <v>0</v>
      </c>
      <c r="M85" s="591">
        <v>0</v>
      </c>
      <c r="N85" s="591">
        <v>0</v>
      </c>
    </row>
    <row r="86" spans="1:14" s="590" customFormat="1" ht="15" customHeight="1" hidden="1">
      <c r="A86" s="1035"/>
      <c r="B86" s="960"/>
      <c r="C86" s="1037"/>
      <c r="D86" s="960"/>
      <c r="E86" s="965"/>
      <c r="F86" s="953"/>
      <c r="G86" s="587" t="s">
        <v>14</v>
      </c>
      <c r="H86" s="588">
        <f t="shared" si="8"/>
        <v>0</v>
      </c>
      <c r="I86" s="589">
        <f t="shared" si="9"/>
        <v>0</v>
      </c>
      <c r="J86" s="591">
        <v>0</v>
      </c>
      <c r="K86" s="591">
        <v>0</v>
      </c>
      <c r="L86" s="589">
        <f t="shared" si="11"/>
        <v>0</v>
      </c>
      <c r="M86" s="591">
        <v>0</v>
      </c>
      <c r="N86" s="591">
        <v>0</v>
      </c>
    </row>
    <row r="87" spans="1:14" s="590" customFormat="1" ht="15" customHeight="1" hidden="1">
      <c r="A87" s="1035"/>
      <c r="B87" s="1036"/>
      <c r="C87" s="1037"/>
      <c r="D87" s="1038"/>
      <c r="E87" s="966"/>
      <c r="F87" s="955"/>
      <c r="G87" s="587" t="s">
        <v>15</v>
      </c>
      <c r="H87" s="588">
        <f t="shared" si="8"/>
        <v>68160</v>
      </c>
      <c r="I87" s="589">
        <f t="shared" si="9"/>
        <v>68160</v>
      </c>
      <c r="J87" s="589">
        <f>J85+J86</f>
        <v>0</v>
      </c>
      <c r="K87" s="589">
        <f>K85+K86</f>
        <v>68160</v>
      </c>
      <c r="L87" s="589">
        <f t="shared" si="11"/>
        <v>0</v>
      </c>
      <c r="M87" s="589">
        <f>M85+M86</f>
        <v>0</v>
      </c>
      <c r="N87" s="589">
        <f>N85+N86</f>
        <v>0</v>
      </c>
    </row>
    <row r="88" spans="1:14" s="504" customFormat="1" ht="15" customHeight="1" hidden="1">
      <c r="A88" s="959"/>
      <c r="B88" s="962"/>
      <c r="C88" s="961"/>
      <c r="D88" s="963"/>
      <c r="E88" s="964" t="s">
        <v>714</v>
      </c>
      <c r="F88" s="951"/>
      <c r="G88" s="551" t="s">
        <v>13</v>
      </c>
      <c r="H88" s="552">
        <f t="shared" si="8"/>
        <v>140000</v>
      </c>
      <c r="I88" s="553">
        <f t="shared" si="9"/>
        <v>140000</v>
      </c>
      <c r="J88" s="553">
        <v>0</v>
      </c>
      <c r="K88" s="553">
        <v>140000</v>
      </c>
      <c r="L88" s="553">
        <f t="shared" si="11"/>
        <v>0</v>
      </c>
      <c r="M88" s="553">
        <v>0</v>
      </c>
      <c r="N88" s="553">
        <v>0</v>
      </c>
    </row>
    <row r="89" spans="1:14" s="504" customFormat="1" ht="15" customHeight="1" hidden="1">
      <c r="A89" s="959"/>
      <c r="B89" s="960"/>
      <c r="C89" s="961"/>
      <c r="D89" s="960"/>
      <c r="E89" s="965"/>
      <c r="F89" s="953"/>
      <c r="G89" s="551" t="s">
        <v>14</v>
      </c>
      <c r="H89" s="552">
        <f t="shared" si="8"/>
        <v>0</v>
      </c>
      <c r="I89" s="553">
        <f t="shared" si="9"/>
        <v>0</v>
      </c>
      <c r="J89" s="553">
        <v>0</v>
      </c>
      <c r="K89" s="553">
        <v>0</v>
      </c>
      <c r="L89" s="553">
        <f t="shared" si="11"/>
        <v>0</v>
      </c>
      <c r="M89" s="553">
        <v>0</v>
      </c>
      <c r="N89" s="553">
        <v>0</v>
      </c>
    </row>
    <row r="90" spans="1:14" s="504" customFormat="1" ht="15" customHeight="1" hidden="1">
      <c r="A90" s="977"/>
      <c r="B90" s="1033"/>
      <c r="C90" s="979"/>
      <c r="D90" s="1034"/>
      <c r="E90" s="966"/>
      <c r="F90" s="955"/>
      <c r="G90" s="551" t="s">
        <v>15</v>
      </c>
      <c r="H90" s="584">
        <f t="shared" si="8"/>
        <v>140000</v>
      </c>
      <c r="I90" s="585">
        <f t="shared" si="9"/>
        <v>140000</v>
      </c>
      <c r="J90" s="585">
        <f>J88+J89</f>
        <v>0</v>
      </c>
      <c r="K90" s="585">
        <f>K88+K89</f>
        <v>140000</v>
      </c>
      <c r="L90" s="585">
        <f t="shared" si="11"/>
        <v>0</v>
      </c>
      <c r="M90" s="585">
        <f>M88+M89</f>
        <v>0</v>
      </c>
      <c r="N90" s="585">
        <f>N88+N89</f>
        <v>0</v>
      </c>
    </row>
    <row r="91" spans="1:14" s="516" customFormat="1" ht="15" customHeight="1" hidden="1">
      <c r="A91" s="1021" t="s">
        <v>256</v>
      </c>
      <c r="B91" s="1022"/>
      <c r="C91" s="1022"/>
      <c r="D91" s="1022"/>
      <c r="E91" s="1022"/>
      <c r="F91" s="1023"/>
      <c r="G91" s="581" t="s">
        <v>13</v>
      </c>
      <c r="H91" s="582">
        <f t="shared" si="8"/>
        <v>950000</v>
      </c>
      <c r="I91" s="583">
        <f t="shared" si="9"/>
        <v>950000</v>
      </c>
      <c r="J91" s="583">
        <f aca="true" t="shared" si="27" ref="J91:K93">J94</f>
        <v>0</v>
      </c>
      <c r="K91" s="583">
        <f t="shared" si="27"/>
        <v>950000</v>
      </c>
      <c r="L91" s="583">
        <f t="shared" si="11"/>
        <v>0</v>
      </c>
      <c r="M91" s="583">
        <f aca="true" t="shared" si="28" ref="M91:N93">M94</f>
        <v>0</v>
      </c>
      <c r="N91" s="583">
        <f t="shared" si="28"/>
        <v>0</v>
      </c>
    </row>
    <row r="92" spans="1:14" s="516" customFormat="1" ht="15" customHeight="1" hidden="1">
      <c r="A92" s="1024"/>
      <c r="B92" s="1025"/>
      <c r="C92" s="1025"/>
      <c r="D92" s="1025"/>
      <c r="E92" s="1025"/>
      <c r="F92" s="1026"/>
      <c r="G92" s="581" t="s">
        <v>14</v>
      </c>
      <c r="H92" s="582">
        <f t="shared" si="8"/>
        <v>0</v>
      </c>
      <c r="I92" s="583">
        <f t="shared" si="9"/>
        <v>0</v>
      </c>
      <c r="J92" s="583">
        <f t="shared" si="27"/>
        <v>0</v>
      </c>
      <c r="K92" s="583">
        <f t="shared" si="27"/>
        <v>0</v>
      </c>
      <c r="L92" s="583">
        <f t="shared" si="11"/>
        <v>0</v>
      </c>
      <c r="M92" s="583">
        <f t="shared" si="28"/>
        <v>0</v>
      </c>
      <c r="N92" s="583">
        <f t="shared" si="28"/>
        <v>0</v>
      </c>
    </row>
    <row r="93" spans="1:14" s="516" customFormat="1" ht="15" customHeight="1" hidden="1">
      <c r="A93" s="1027"/>
      <c r="B93" s="1028"/>
      <c r="C93" s="1028"/>
      <c r="D93" s="1028"/>
      <c r="E93" s="1028"/>
      <c r="F93" s="1029"/>
      <c r="G93" s="581" t="s">
        <v>15</v>
      </c>
      <c r="H93" s="582">
        <f t="shared" si="8"/>
        <v>950000</v>
      </c>
      <c r="I93" s="583">
        <f t="shared" si="9"/>
        <v>950000</v>
      </c>
      <c r="J93" s="583">
        <f t="shared" si="27"/>
        <v>0</v>
      </c>
      <c r="K93" s="583">
        <f t="shared" si="27"/>
        <v>950000</v>
      </c>
      <c r="L93" s="583">
        <f t="shared" si="11"/>
        <v>0</v>
      </c>
      <c r="M93" s="583">
        <f t="shared" si="28"/>
        <v>0</v>
      </c>
      <c r="N93" s="583">
        <f t="shared" si="28"/>
        <v>0</v>
      </c>
    </row>
    <row r="94" spans="1:14" s="504" customFormat="1" ht="15" customHeight="1" hidden="1">
      <c r="A94" s="968" t="s">
        <v>250</v>
      </c>
      <c r="B94" s="969"/>
      <c r="C94" s="970" t="s">
        <v>254</v>
      </c>
      <c r="D94" s="971"/>
      <c r="E94" s="964" t="s">
        <v>704</v>
      </c>
      <c r="F94" s="951"/>
      <c r="G94" s="551" t="s">
        <v>13</v>
      </c>
      <c r="H94" s="552">
        <f t="shared" si="8"/>
        <v>950000</v>
      </c>
      <c r="I94" s="553">
        <f t="shared" si="9"/>
        <v>950000</v>
      </c>
      <c r="J94" s="553">
        <v>0</v>
      </c>
      <c r="K94" s="553">
        <v>950000</v>
      </c>
      <c r="L94" s="553">
        <f t="shared" si="11"/>
        <v>0</v>
      </c>
      <c r="M94" s="553">
        <v>0</v>
      </c>
      <c r="N94" s="553">
        <v>0</v>
      </c>
    </row>
    <row r="95" spans="1:14" s="504" customFormat="1" ht="15" customHeight="1" hidden="1">
      <c r="A95" s="959"/>
      <c r="B95" s="960"/>
      <c r="C95" s="961"/>
      <c r="D95" s="960"/>
      <c r="E95" s="965"/>
      <c r="F95" s="953"/>
      <c r="G95" s="551" t="s">
        <v>14</v>
      </c>
      <c r="H95" s="552">
        <f t="shared" si="8"/>
        <v>0</v>
      </c>
      <c r="I95" s="553">
        <f t="shared" si="9"/>
        <v>0</v>
      </c>
      <c r="J95" s="553">
        <v>0</v>
      </c>
      <c r="K95" s="553">
        <v>0</v>
      </c>
      <c r="L95" s="553">
        <f t="shared" si="11"/>
        <v>0</v>
      </c>
      <c r="M95" s="553">
        <v>0</v>
      </c>
      <c r="N95" s="553">
        <v>0</v>
      </c>
    </row>
    <row r="96" spans="1:14" s="504" customFormat="1" ht="15" customHeight="1" hidden="1">
      <c r="A96" s="977"/>
      <c r="B96" s="1033"/>
      <c r="C96" s="979"/>
      <c r="D96" s="1034"/>
      <c r="E96" s="966"/>
      <c r="F96" s="955"/>
      <c r="G96" s="551" t="s">
        <v>15</v>
      </c>
      <c r="H96" s="584">
        <f t="shared" si="8"/>
        <v>950000</v>
      </c>
      <c r="I96" s="585">
        <f t="shared" si="9"/>
        <v>950000</v>
      </c>
      <c r="J96" s="585">
        <f>J94+J95</f>
        <v>0</v>
      </c>
      <c r="K96" s="585">
        <f>K94+K95</f>
        <v>950000</v>
      </c>
      <c r="L96" s="585">
        <f t="shared" si="11"/>
        <v>0</v>
      </c>
      <c r="M96" s="585">
        <f>M94+M95</f>
        <v>0</v>
      </c>
      <c r="N96" s="585">
        <f>N94+N95</f>
        <v>0</v>
      </c>
    </row>
    <row r="97" spans="1:14" s="516" customFormat="1" ht="15" customHeight="1" hidden="1">
      <c r="A97" s="1021" t="s">
        <v>715</v>
      </c>
      <c r="B97" s="1022"/>
      <c r="C97" s="1022"/>
      <c r="D97" s="1022"/>
      <c r="E97" s="1022"/>
      <c r="F97" s="1023"/>
      <c r="G97" s="581" t="s">
        <v>13</v>
      </c>
      <c r="H97" s="582">
        <f t="shared" si="8"/>
        <v>983220</v>
      </c>
      <c r="I97" s="583">
        <f t="shared" si="9"/>
        <v>983220</v>
      </c>
      <c r="J97" s="583">
        <f aca="true" t="shared" si="29" ref="J97:K99">J100</f>
        <v>0</v>
      </c>
      <c r="K97" s="583">
        <f t="shared" si="29"/>
        <v>983220</v>
      </c>
      <c r="L97" s="583">
        <f t="shared" si="11"/>
        <v>0</v>
      </c>
      <c r="M97" s="583">
        <f aca="true" t="shared" si="30" ref="M97:N99">M100</f>
        <v>0</v>
      </c>
      <c r="N97" s="583">
        <f t="shared" si="30"/>
        <v>0</v>
      </c>
    </row>
    <row r="98" spans="1:14" s="516" customFormat="1" ht="15" customHeight="1" hidden="1">
      <c r="A98" s="1024"/>
      <c r="B98" s="1025"/>
      <c r="C98" s="1025"/>
      <c r="D98" s="1025"/>
      <c r="E98" s="1025"/>
      <c r="F98" s="1026"/>
      <c r="G98" s="581" t="s">
        <v>14</v>
      </c>
      <c r="H98" s="582">
        <f t="shared" si="8"/>
        <v>0</v>
      </c>
      <c r="I98" s="583">
        <f t="shared" si="9"/>
        <v>0</v>
      </c>
      <c r="J98" s="583">
        <f t="shared" si="29"/>
        <v>0</v>
      </c>
      <c r="K98" s="583">
        <f t="shared" si="29"/>
        <v>0</v>
      </c>
      <c r="L98" s="583">
        <f t="shared" si="11"/>
        <v>0</v>
      </c>
      <c r="M98" s="583">
        <f t="shared" si="30"/>
        <v>0</v>
      </c>
      <c r="N98" s="583">
        <f t="shared" si="30"/>
        <v>0</v>
      </c>
    </row>
    <row r="99" spans="1:14" s="516" customFormat="1" ht="15" customHeight="1" hidden="1">
      <c r="A99" s="1027"/>
      <c r="B99" s="1028"/>
      <c r="C99" s="1028"/>
      <c r="D99" s="1028"/>
      <c r="E99" s="1028"/>
      <c r="F99" s="1029"/>
      <c r="G99" s="581" t="s">
        <v>15</v>
      </c>
      <c r="H99" s="582">
        <f t="shared" si="8"/>
        <v>983220</v>
      </c>
      <c r="I99" s="583">
        <f t="shared" si="9"/>
        <v>983220</v>
      </c>
      <c r="J99" s="583">
        <f t="shared" si="29"/>
        <v>0</v>
      </c>
      <c r="K99" s="583">
        <f t="shared" si="29"/>
        <v>983220</v>
      </c>
      <c r="L99" s="583">
        <f t="shared" si="11"/>
        <v>0</v>
      </c>
      <c r="M99" s="583">
        <f t="shared" si="30"/>
        <v>0</v>
      </c>
      <c r="N99" s="583">
        <f t="shared" si="30"/>
        <v>0</v>
      </c>
    </row>
    <row r="100" spans="1:14" s="504" customFormat="1" ht="15" customHeight="1" hidden="1">
      <c r="A100" s="968" t="s">
        <v>250</v>
      </c>
      <c r="B100" s="969"/>
      <c r="C100" s="970" t="s">
        <v>716</v>
      </c>
      <c r="D100" s="971"/>
      <c r="E100" s="964" t="s">
        <v>704</v>
      </c>
      <c r="F100" s="951"/>
      <c r="G100" s="551" t="s">
        <v>13</v>
      </c>
      <c r="H100" s="552">
        <f t="shared" si="8"/>
        <v>983220</v>
      </c>
      <c r="I100" s="553">
        <f t="shared" si="9"/>
        <v>983220</v>
      </c>
      <c r="J100" s="553">
        <v>0</v>
      </c>
      <c r="K100" s="553">
        <v>983220</v>
      </c>
      <c r="L100" s="553">
        <f t="shared" si="11"/>
        <v>0</v>
      </c>
      <c r="M100" s="553">
        <v>0</v>
      </c>
      <c r="N100" s="553">
        <v>0</v>
      </c>
    </row>
    <row r="101" spans="1:14" s="504" customFormat="1" ht="15" customHeight="1" hidden="1">
      <c r="A101" s="959"/>
      <c r="B101" s="960"/>
      <c r="C101" s="961"/>
      <c r="D101" s="960"/>
      <c r="E101" s="965"/>
      <c r="F101" s="953"/>
      <c r="G101" s="551" t="s">
        <v>14</v>
      </c>
      <c r="H101" s="552">
        <f aca="true" t="shared" si="31" ref="H101:H176">I101+L101</f>
        <v>0</v>
      </c>
      <c r="I101" s="553">
        <f aca="true" t="shared" si="32" ref="I101:I176">J101+K101</f>
        <v>0</v>
      </c>
      <c r="J101" s="553">
        <v>0</v>
      </c>
      <c r="K101" s="553">
        <v>0</v>
      </c>
      <c r="L101" s="553">
        <f aca="true" t="shared" si="33" ref="L101:L176">M101+N101</f>
        <v>0</v>
      </c>
      <c r="M101" s="553">
        <v>0</v>
      </c>
      <c r="N101" s="553">
        <v>0</v>
      </c>
    </row>
    <row r="102" spans="1:14" s="504" customFormat="1" ht="15" customHeight="1" hidden="1">
      <c r="A102" s="977"/>
      <c r="B102" s="1033"/>
      <c r="C102" s="979"/>
      <c r="D102" s="1034"/>
      <c r="E102" s="966"/>
      <c r="F102" s="955"/>
      <c r="G102" s="551" t="s">
        <v>15</v>
      </c>
      <c r="H102" s="584">
        <f t="shared" si="31"/>
        <v>983220</v>
      </c>
      <c r="I102" s="585">
        <f t="shared" si="32"/>
        <v>983220</v>
      </c>
      <c r="J102" s="585">
        <f>J100+J101</f>
        <v>0</v>
      </c>
      <c r="K102" s="585">
        <f>K100+K101</f>
        <v>983220</v>
      </c>
      <c r="L102" s="585">
        <f t="shared" si="33"/>
        <v>0</v>
      </c>
      <c r="M102" s="585">
        <f>M100+M101</f>
        <v>0</v>
      </c>
      <c r="N102" s="585">
        <f>N100+N101</f>
        <v>0</v>
      </c>
    </row>
    <row r="103" spans="1:14" s="516" customFormat="1" ht="15" customHeight="1">
      <c r="A103" s="1021" t="s">
        <v>717</v>
      </c>
      <c r="B103" s="1022"/>
      <c r="C103" s="1022"/>
      <c r="D103" s="1022"/>
      <c r="E103" s="1022"/>
      <c r="F103" s="1023"/>
      <c r="G103" s="581" t="s">
        <v>13</v>
      </c>
      <c r="H103" s="582">
        <f t="shared" si="31"/>
        <v>1367000</v>
      </c>
      <c r="I103" s="583">
        <f t="shared" si="32"/>
        <v>1367000</v>
      </c>
      <c r="J103" s="583">
        <f aca="true" t="shared" si="34" ref="J103:K105">J106+J109</f>
        <v>0</v>
      </c>
      <c r="K103" s="583">
        <f t="shared" si="34"/>
        <v>1367000</v>
      </c>
      <c r="L103" s="583">
        <f t="shared" si="33"/>
        <v>0</v>
      </c>
      <c r="M103" s="583">
        <f aca="true" t="shared" si="35" ref="M103:N105">M106+M109</f>
        <v>0</v>
      </c>
      <c r="N103" s="583">
        <f t="shared" si="35"/>
        <v>0</v>
      </c>
    </row>
    <row r="104" spans="1:14" s="516" customFormat="1" ht="15" customHeight="1">
      <c r="A104" s="1024"/>
      <c r="B104" s="1025"/>
      <c r="C104" s="1025"/>
      <c r="D104" s="1025"/>
      <c r="E104" s="1025"/>
      <c r="F104" s="1026"/>
      <c r="G104" s="581" t="s">
        <v>14</v>
      </c>
      <c r="H104" s="582">
        <f t="shared" si="31"/>
        <v>107000</v>
      </c>
      <c r="I104" s="583">
        <f t="shared" si="32"/>
        <v>107000</v>
      </c>
      <c r="J104" s="583">
        <f t="shared" si="34"/>
        <v>0</v>
      </c>
      <c r="K104" s="583">
        <f t="shared" si="34"/>
        <v>107000</v>
      </c>
      <c r="L104" s="583">
        <f t="shared" si="33"/>
        <v>0</v>
      </c>
      <c r="M104" s="583">
        <f t="shared" si="35"/>
        <v>0</v>
      </c>
      <c r="N104" s="583">
        <f t="shared" si="35"/>
        <v>0</v>
      </c>
    </row>
    <row r="105" spans="1:14" s="516" customFormat="1" ht="15" customHeight="1">
      <c r="A105" s="1027"/>
      <c r="B105" s="1028"/>
      <c r="C105" s="1028"/>
      <c r="D105" s="1028"/>
      <c r="E105" s="1028"/>
      <c r="F105" s="1029"/>
      <c r="G105" s="592" t="s">
        <v>15</v>
      </c>
      <c r="H105" s="582">
        <f t="shared" si="31"/>
        <v>1474000</v>
      </c>
      <c r="I105" s="583">
        <f t="shared" si="32"/>
        <v>1474000</v>
      </c>
      <c r="J105" s="583">
        <f t="shared" si="34"/>
        <v>0</v>
      </c>
      <c r="K105" s="583">
        <f t="shared" si="34"/>
        <v>1474000</v>
      </c>
      <c r="L105" s="583">
        <f t="shared" si="33"/>
        <v>0</v>
      </c>
      <c r="M105" s="583">
        <f t="shared" si="35"/>
        <v>0</v>
      </c>
      <c r="N105" s="583">
        <f t="shared" si="35"/>
        <v>0</v>
      </c>
    </row>
    <row r="106" spans="1:14" s="504" customFormat="1" ht="15" customHeight="1" hidden="1">
      <c r="A106" s="968" t="s">
        <v>250</v>
      </c>
      <c r="B106" s="969"/>
      <c r="C106" s="970" t="s">
        <v>716</v>
      </c>
      <c r="D106" s="971"/>
      <c r="E106" s="964" t="s">
        <v>704</v>
      </c>
      <c r="F106" s="951"/>
      <c r="G106" s="551" t="s">
        <v>13</v>
      </c>
      <c r="H106" s="552">
        <f t="shared" si="31"/>
        <v>1367000</v>
      </c>
      <c r="I106" s="553">
        <f t="shared" si="32"/>
        <v>1367000</v>
      </c>
      <c r="J106" s="553">
        <v>0</v>
      </c>
      <c r="K106" s="553">
        <v>1367000</v>
      </c>
      <c r="L106" s="553">
        <f t="shared" si="33"/>
        <v>0</v>
      </c>
      <c r="M106" s="553">
        <v>0</v>
      </c>
      <c r="N106" s="553">
        <v>0</v>
      </c>
    </row>
    <row r="107" spans="1:14" s="504" customFormat="1" ht="15" customHeight="1" hidden="1">
      <c r="A107" s="959"/>
      <c r="B107" s="960"/>
      <c r="C107" s="961"/>
      <c r="D107" s="960"/>
      <c r="E107" s="965"/>
      <c r="F107" s="953"/>
      <c r="G107" s="551" t="s">
        <v>14</v>
      </c>
      <c r="H107" s="552">
        <f t="shared" si="31"/>
        <v>0</v>
      </c>
      <c r="I107" s="553">
        <f t="shared" si="32"/>
        <v>0</v>
      </c>
      <c r="J107" s="553">
        <v>0</v>
      </c>
      <c r="K107" s="553">
        <v>0</v>
      </c>
      <c r="L107" s="553">
        <f t="shared" si="33"/>
        <v>0</v>
      </c>
      <c r="M107" s="553">
        <v>0</v>
      </c>
      <c r="N107" s="553">
        <v>0</v>
      </c>
    </row>
    <row r="108" spans="1:14" s="504" customFormat="1" ht="15" customHeight="1" hidden="1">
      <c r="A108" s="959"/>
      <c r="B108" s="962"/>
      <c r="C108" s="961"/>
      <c r="D108" s="963"/>
      <c r="E108" s="966"/>
      <c r="F108" s="955"/>
      <c r="G108" s="551" t="s">
        <v>15</v>
      </c>
      <c r="H108" s="584">
        <f t="shared" si="31"/>
        <v>1367000</v>
      </c>
      <c r="I108" s="585">
        <f t="shared" si="32"/>
        <v>1367000</v>
      </c>
      <c r="J108" s="585">
        <f>J106+J107</f>
        <v>0</v>
      </c>
      <c r="K108" s="585">
        <f>K106+K107</f>
        <v>1367000</v>
      </c>
      <c r="L108" s="585">
        <f t="shared" si="33"/>
        <v>0</v>
      </c>
      <c r="M108" s="585">
        <f>M106+M107</f>
        <v>0</v>
      </c>
      <c r="N108" s="585">
        <f>N106+N107</f>
        <v>0</v>
      </c>
    </row>
    <row r="109" spans="1:14" s="504" customFormat="1" ht="15" customHeight="1">
      <c r="A109" s="959" t="s">
        <v>250</v>
      </c>
      <c r="B109" s="962"/>
      <c r="C109" s="961" t="s">
        <v>716</v>
      </c>
      <c r="D109" s="963"/>
      <c r="E109" s="964" t="s">
        <v>718</v>
      </c>
      <c r="F109" s="951"/>
      <c r="G109" s="551" t="s">
        <v>13</v>
      </c>
      <c r="H109" s="552">
        <f t="shared" si="31"/>
        <v>0</v>
      </c>
      <c r="I109" s="553">
        <f t="shared" si="32"/>
        <v>0</v>
      </c>
      <c r="J109" s="553">
        <v>0</v>
      </c>
      <c r="K109" s="553">
        <v>0</v>
      </c>
      <c r="L109" s="553">
        <f t="shared" si="33"/>
        <v>0</v>
      </c>
      <c r="M109" s="553">
        <v>0</v>
      </c>
      <c r="N109" s="553">
        <v>0</v>
      </c>
    </row>
    <row r="110" spans="1:14" s="504" customFormat="1" ht="15" customHeight="1">
      <c r="A110" s="959"/>
      <c r="B110" s="960"/>
      <c r="C110" s="961"/>
      <c r="D110" s="960"/>
      <c r="E110" s="965"/>
      <c r="F110" s="953"/>
      <c r="G110" s="551" t="s">
        <v>14</v>
      </c>
      <c r="H110" s="552">
        <f t="shared" si="31"/>
        <v>107000</v>
      </c>
      <c r="I110" s="553">
        <f t="shared" si="32"/>
        <v>107000</v>
      </c>
      <c r="J110" s="553">
        <v>0</v>
      </c>
      <c r="K110" s="553">
        <v>107000</v>
      </c>
      <c r="L110" s="553">
        <f t="shared" si="33"/>
        <v>0</v>
      </c>
      <c r="M110" s="553">
        <v>0</v>
      </c>
      <c r="N110" s="553">
        <v>0</v>
      </c>
    </row>
    <row r="111" spans="1:14" s="504" customFormat="1" ht="15" customHeight="1">
      <c r="A111" s="959"/>
      <c r="B111" s="962"/>
      <c r="C111" s="961"/>
      <c r="D111" s="963"/>
      <c r="E111" s="966"/>
      <c r="F111" s="955"/>
      <c r="G111" s="551" t="s">
        <v>15</v>
      </c>
      <c r="H111" s="584">
        <f t="shared" si="31"/>
        <v>107000</v>
      </c>
      <c r="I111" s="585">
        <f t="shared" si="32"/>
        <v>107000</v>
      </c>
      <c r="J111" s="585">
        <f>J109+J110</f>
        <v>0</v>
      </c>
      <c r="K111" s="585">
        <f>K109+K110</f>
        <v>107000</v>
      </c>
      <c r="L111" s="585">
        <f t="shared" si="33"/>
        <v>0</v>
      </c>
      <c r="M111" s="585">
        <f>M109+M110</f>
        <v>0</v>
      </c>
      <c r="N111" s="585">
        <f>N109+N110</f>
        <v>0</v>
      </c>
    </row>
    <row r="112" spans="1:14" s="516" customFormat="1" ht="15" customHeight="1" hidden="1">
      <c r="A112" s="1021" t="s">
        <v>719</v>
      </c>
      <c r="B112" s="1022"/>
      <c r="C112" s="1022"/>
      <c r="D112" s="1022"/>
      <c r="E112" s="1022"/>
      <c r="F112" s="1023"/>
      <c r="G112" s="581" t="s">
        <v>13</v>
      </c>
      <c r="H112" s="582">
        <f t="shared" si="31"/>
        <v>1299500</v>
      </c>
      <c r="I112" s="583">
        <f t="shared" si="32"/>
        <v>1299500</v>
      </c>
      <c r="J112" s="583">
        <f aca="true" t="shared" si="36" ref="J112:K114">J115</f>
        <v>0</v>
      </c>
      <c r="K112" s="583">
        <f t="shared" si="36"/>
        <v>1299500</v>
      </c>
      <c r="L112" s="583">
        <f t="shared" si="33"/>
        <v>0</v>
      </c>
      <c r="M112" s="583">
        <f aca="true" t="shared" si="37" ref="M112:N114">M115</f>
        <v>0</v>
      </c>
      <c r="N112" s="583">
        <f t="shared" si="37"/>
        <v>0</v>
      </c>
    </row>
    <row r="113" spans="1:14" s="516" customFormat="1" ht="15" customHeight="1" hidden="1">
      <c r="A113" s="1024"/>
      <c r="B113" s="1025"/>
      <c r="C113" s="1025"/>
      <c r="D113" s="1025"/>
      <c r="E113" s="1025"/>
      <c r="F113" s="1026"/>
      <c r="G113" s="581" t="s">
        <v>14</v>
      </c>
      <c r="H113" s="582">
        <f t="shared" si="31"/>
        <v>0</v>
      </c>
      <c r="I113" s="583">
        <f t="shared" si="32"/>
        <v>0</v>
      </c>
      <c r="J113" s="583">
        <f t="shared" si="36"/>
        <v>0</v>
      </c>
      <c r="K113" s="583">
        <f t="shared" si="36"/>
        <v>0</v>
      </c>
      <c r="L113" s="583">
        <f t="shared" si="33"/>
        <v>0</v>
      </c>
      <c r="M113" s="583">
        <f t="shared" si="37"/>
        <v>0</v>
      </c>
      <c r="N113" s="583">
        <f t="shared" si="37"/>
        <v>0</v>
      </c>
    </row>
    <row r="114" spans="1:14" s="516" customFormat="1" ht="15" customHeight="1" hidden="1">
      <c r="A114" s="1027"/>
      <c r="B114" s="1028"/>
      <c r="C114" s="1028"/>
      <c r="D114" s="1028"/>
      <c r="E114" s="1028"/>
      <c r="F114" s="1029"/>
      <c r="G114" s="581" t="s">
        <v>15</v>
      </c>
      <c r="H114" s="582">
        <f t="shared" si="31"/>
        <v>1299500</v>
      </c>
      <c r="I114" s="583">
        <f t="shared" si="32"/>
        <v>1299500</v>
      </c>
      <c r="J114" s="583">
        <f t="shared" si="36"/>
        <v>0</v>
      </c>
      <c r="K114" s="583">
        <f t="shared" si="36"/>
        <v>1299500</v>
      </c>
      <c r="L114" s="583">
        <f t="shared" si="33"/>
        <v>0</v>
      </c>
      <c r="M114" s="583">
        <f t="shared" si="37"/>
        <v>0</v>
      </c>
      <c r="N114" s="583">
        <f t="shared" si="37"/>
        <v>0</v>
      </c>
    </row>
    <row r="115" spans="1:14" s="504" customFormat="1" ht="15" customHeight="1" hidden="1">
      <c r="A115" s="968" t="s">
        <v>250</v>
      </c>
      <c r="B115" s="969"/>
      <c r="C115" s="970" t="s">
        <v>720</v>
      </c>
      <c r="D115" s="971"/>
      <c r="E115" s="964" t="s">
        <v>704</v>
      </c>
      <c r="F115" s="951"/>
      <c r="G115" s="551" t="s">
        <v>13</v>
      </c>
      <c r="H115" s="584">
        <f t="shared" si="31"/>
        <v>1299500</v>
      </c>
      <c r="I115" s="585">
        <f t="shared" si="32"/>
        <v>1299500</v>
      </c>
      <c r="J115" s="585">
        <v>0</v>
      </c>
      <c r="K115" s="585">
        <v>1299500</v>
      </c>
      <c r="L115" s="585">
        <f t="shared" si="33"/>
        <v>0</v>
      </c>
      <c r="M115" s="585">
        <v>0</v>
      </c>
      <c r="N115" s="585">
        <v>0</v>
      </c>
    </row>
    <row r="116" spans="1:14" s="504" customFormat="1" ht="15" customHeight="1" hidden="1">
      <c r="A116" s="959"/>
      <c r="B116" s="960"/>
      <c r="C116" s="961"/>
      <c r="D116" s="960"/>
      <c r="E116" s="965"/>
      <c r="F116" s="953"/>
      <c r="G116" s="551" t="s">
        <v>14</v>
      </c>
      <c r="H116" s="584">
        <f t="shared" si="31"/>
        <v>0</v>
      </c>
      <c r="I116" s="585">
        <f t="shared" si="32"/>
        <v>0</v>
      </c>
      <c r="J116" s="585">
        <v>0</v>
      </c>
      <c r="K116" s="585">
        <v>0</v>
      </c>
      <c r="L116" s="585">
        <f t="shared" si="33"/>
        <v>0</v>
      </c>
      <c r="M116" s="585">
        <v>0</v>
      </c>
      <c r="N116" s="585">
        <v>0</v>
      </c>
    </row>
    <row r="117" spans="1:14" s="504" customFormat="1" ht="15" customHeight="1" hidden="1">
      <c r="A117" s="977"/>
      <c r="B117" s="1033"/>
      <c r="C117" s="979"/>
      <c r="D117" s="1034"/>
      <c r="E117" s="966"/>
      <c r="F117" s="955"/>
      <c r="G117" s="551" t="s">
        <v>15</v>
      </c>
      <c r="H117" s="584">
        <f t="shared" si="31"/>
        <v>1299500</v>
      </c>
      <c r="I117" s="585">
        <f t="shared" si="32"/>
        <v>1299500</v>
      </c>
      <c r="J117" s="585">
        <f>J115+J116</f>
        <v>0</v>
      </c>
      <c r="K117" s="585">
        <f>K115+K116</f>
        <v>1299500</v>
      </c>
      <c r="L117" s="585">
        <f t="shared" si="33"/>
        <v>0</v>
      </c>
      <c r="M117" s="585">
        <f>M115+M116</f>
        <v>0</v>
      </c>
      <c r="N117" s="585">
        <f>N115+N116</f>
        <v>0</v>
      </c>
    </row>
    <row r="118" spans="1:14" s="516" customFormat="1" ht="15" customHeight="1">
      <c r="A118" s="1021" t="s">
        <v>721</v>
      </c>
      <c r="B118" s="1022"/>
      <c r="C118" s="1022"/>
      <c r="D118" s="1022"/>
      <c r="E118" s="1022"/>
      <c r="F118" s="1023"/>
      <c r="G118" s="581" t="s">
        <v>13</v>
      </c>
      <c r="H118" s="582">
        <f t="shared" si="31"/>
        <v>10413690</v>
      </c>
      <c r="I118" s="583">
        <f t="shared" si="32"/>
        <v>10413690</v>
      </c>
      <c r="J118" s="583">
        <f aca="true" t="shared" si="38" ref="J118:K120">J121+J130+J133+J136</f>
        <v>0</v>
      </c>
      <c r="K118" s="583">
        <f t="shared" si="38"/>
        <v>10413690</v>
      </c>
      <c r="L118" s="583">
        <f t="shared" si="33"/>
        <v>0</v>
      </c>
      <c r="M118" s="583">
        <f aca="true" t="shared" si="39" ref="M118:N120">M121+M130+M133+M136</f>
        <v>0</v>
      </c>
      <c r="N118" s="583">
        <f t="shared" si="39"/>
        <v>0</v>
      </c>
    </row>
    <row r="119" spans="1:14" s="516" customFormat="1" ht="15" customHeight="1">
      <c r="A119" s="1024"/>
      <c r="B119" s="1025"/>
      <c r="C119" s="1025"/>
      <c r="D119" s="1025"/>
      <c r="E119" s="1025"/>
      <c r="F119" s="1026"/>
      <c r="G119" s="581" t="s">
        <v>14</v>
      </c>
      <c r="H119" s="582">
        <f t="shared" si="31"/>
        <v>51631</v>
      </c>
      <c r="I119" s="583">
        <f t="shared" si="32"/>
        <v>51631</v>
      </c>
      <c r="J119" s="583">
        <f t="shared" si="38"/>
        <v>0</v>
      </c>
      <c r="K119" s="583">
        <f t="shared" si="38"/>
        <v>51631</v>
      </c>
      <c r="L119" s="583">
        <f t="shared" si="33"/>
        <v>0</v>
      </c>
      <c r="M119" s="583">
        <f t="shared" si="39"/>
        <v>0</v>
      </c>
      <c r="N119" s="583">
        <f t="shared" si="39"/>
        <v>0</v>
      </c>
    </row>
    <row r="120" spans="1:14" s="516" customFormat="1" ht="15" customHeight="1">
      <c r="A120" s="1027"/>
      <c r="B120" s="1028"/>
      <c r="C120" s="1028"/>
      <c r="D120" s="1028"/>
      <c r="E120" s="1028"/>
      <c r="F120" s="1029"/>
      <c r="G120" s="581" t="s">
        <v>15</v>
      </c>
      <c r="H120" s="582">
        <f t="shared" si="31"/>
        <v>10465321</v>
      </c>
      <c r="I120" s="583">
        <f t="shared" si="32"/>
        <v>10465321</v>
      </c>
      <c r="J120" s="583">
        <f t="shared" si="38"/>
        <v>0</v>
      </c>
      <c r="K120" s="583">
        <f t="shared" si="38"/>
        <v>10465321</v>
      </c>
      <c r="L120" s="583">
        <f t="shared" si="33"/>
        <v>0</v>
      </c>
      <c r="M120" s="583">
        <f t="shared" si="39"/>
        <v>0</v>
      </c>
      <c r="N120" s="583">
        <f t="shared" si="39"/>
        <v>0</v>
      </c>
    </row>
    <row r="121" spans="1:14" s="504" customFormat="1" ht="15" customHeight="1" hidden="1">
      <c r="A121" s="968" t="s">
        <v>250</v>
      </c>
      <c r="B121" s="969"/>
      <c r="C121" s="970" t="s">
        <v>722</v>
      </c>
      <c r="D121" s="971"/>
      <c r="E121" s="964" t="s">
        <v>711</v>
      </c>
      <c r="F121" s="951"/>
      <c r="G121" s="551" t="s">
        <v>13</v>
      </c>
      <c r="H121" s="584">
        <f t="shared" si="31"/>
        <v>10253690</v>
      </c>
      <c r="I121" s="585">
        <f t="shared" si="32"/>
        <v>10253690</v>
      </c>
      <c r="J121" s="585">
        <f aca="true" t="shared" si="40" ref="J121:K123">J124+J127</f>
        <v>0</v>
      </c>
      <c r="K121" s="585">
        <f t="shared" si="40"/>
        <v>10253690</v>
      </c>
      <c r="L121" s="585">
        <f t="shared" si="33"/>
        <v>0</v>
      </c>
      <c r="M121" s="585">
        <f aca="true" t="shared" si="41" ref="M121:N123">M124+M127</f>
        <v>0</v>
      </c>
      <c r="N121" s="585">
        <f t="shared" si="41"/>
        <v>0</v>
      </c>
    </row>
    <row r="122" spans="1:14" s="504" customFormat="1" ht="15" customHeight="1" hidden="1">
      <c r="A122" s="959"/>
      <c r="B122" s="960"/>
      <c r="C122" s="961"/>
      <c r="D122" s="960"/>
      <c r="E122" s="965"/>
      <c r="F122" s="953"/>
      <c r="G122" s="551" t="s">
        <v>14</v>
      </c>
      <c r="H122" s="584">
        <f t="shared" si="31"/>
        <v>0</v>
      </c>
      <c r="I122" s="585">
        <f t="shared" si="32"/>
        <v>0</v>
      </c>
      <c r="J122" s="585">
        <f t="shared" si="40"/>
        <v>0</v>
      </c>
      <c r="K122" s="585">
        <f t="shared" si="40"/>
        <v>0</v>
      </c>
      <c r="L122" s="585">
        <f t="shared" si="33"/>
        <v>0</v>
      </c>
      <c r="M122" s="585">
        <f t="shared" si="41"/>
        <v>0</v>
      </c>
      <c r="N122" s="585">
        <f t="shared" si="41"/>
        <v>0</v>
      </c>
    </row>
    <row r="123" spans="1:14" s="504" customFormat="1" ht="15" customHeight="1" hidden="1">
      <c r="A123" s="959"/>
      <c r="B123" s="960"/>
      <c r="C123" s="961"/>
      <c r="D123" s="960"/>
      <c r="E123" s="966"/>
      <c r="F123" s="955"/>
      <c r="G123" s="551" t="s">
        <v>15</v>
      </c>
      <c r="H123" s="584">
        <f t="shared" si="31"/>
        <v>10253690</v>
      </c>
      <c r="I123" s="585">
        <f t="shared" si="32"/>
        <v>10253690</v>
      </c>
      <c r="J123" s="585">
        <f t="shared" si="40"/>
        <v>0</v>
      </c>
      <c r="K123" s="585">
        <f t="shared" si="40"/>
        <v>10253690</v>
      </c>
      <c r="L123" s="585">
        <f t="shared" si="33"/>
        <v>0</v>
      </c>
      <c r="M123" s="585">
        <f t="shared" si="41"/>
        <v>0</v>
      </c>
      <c r="N123" s="585">
        <f t="shared" si="41"/>
        <v>0</v>
      </c>
    </row>
    <row r="124" spans="1:14" s="590" customFormat="1" ht="15" customHeight="1" hidden="1">
      <c r="A124" s="1035"/>
      <c r="B124" s="1036"/>
      <c r="C124" s="1037"/>
      <c r="D124" s="1038"/>
      <c r="E124" s="1039" t="s">
        <v>712</v>
      </c>
      <c r="F124" s="1040"/>
      <c r="G124" s="587" t="s">
        <v>13</v>
      </c>
      <c r="H124" s="588">
        <f t="shared" si="31"/>
        <v>8053690</v>
      </c>
      <c r="I124" s="589">
        <f t="shared" si="32"/>
        <v>8053690</v>
      </c>
      <c r="J124" s="589">
        <v>0</v>
      </c>
      <c r="K124" s="589">
        <v>8053690</v>
      </c>
      <c r="L124" s="589">
        <f t="shared" si="33"/>
        <v>0</v>
      </c>
      <c r="M124" s="589">
        <v>0</v>
      </c>
      <c r="N124" s="589">
        <v>0</v>
      </c>
    </row>
    <row r="125" spans="1:14" s="590" customFormat="1" ht="15" customHeight="1" hidden="1">
      <c r="A125" s="1035"/>
      <c r="B125" s="960"/>
      <c r="C125" s="1037"/>
      <c r="D125" s="960"/>
      <c r="E125" s="965"/>
      <c r="F125" s="953"/>
      <c r="G125" s="587" t="s">
        <v>14</v>
      </c>
      <c r="H125" s="588">
        <f t="shared" si="31"/>
        <v>0</v>
      </c>
      <c r="I125" s="589">
        <f t="shared" si="32"/>
        <v>0</v>
      </c>
      <c r="J125" s="589">
        <v>0</v>
      </c>
      <c r="K125" s="589">
        <v>0</v>
      </c>
      <c r="L125" s="589">
        <f t="shared" si="33"/>
        <v>0</v>
      </c>
      <c r="M125" s="589">
        <v>0</v>
      </c>
      <c r="N125" s="589">
        <v>0</v>
      </c>
    </row>
    <row r="126" spans="1:14" s="590" customFormat="1" ht="15" customHeight="1" hidden="1">
      <c r="A126" s="1035"/>
      <c r="B126" s="1036"/>
      <c r="C126" s="1037"/>
      <c r="D126" s="1038"/>
      <c r="E126" s="966"/>
      <c r="F126" s="955"/>
      <c r="G126" s="587" t="s">
        <v>15</v>
      </c>
      <c r="H126" s="588">
        <f t="shared" si="31"/>
        <v>8053690</v>
      </c>
      <c r="I126" s="589">
        <f t="shared" si="32"/>
        <v>8053690</v>
      </c>
      <c r="J126" s="589">
        <f>J124+J125</f>
        <v>0</v>
      </c>
      <c r="K126" s="589">
        <f>K124+K125</f>
        <v>8053690</v>
      </c>
      <c r="L126" s="589">
        <f t="shared" si="33"/>
        <v>0</v>
      </c>
      <c r="M126" s="589">
        <f>M124+M125</f>
        <v>0</v>
      </c>
      <c r="N126" s="589">
        <f>N124+N125</f>
        <v>0</v>
      </c>
    </row>
    <row r="127" spans="1:14" s="590" customFormat="1" ht="15" customHeight="1" hidden="1">
      <c r="A127" s="1035"/>
      <c r="B127" s="1036"/>
      <c r="C127" s="1037"/>
      <c r="D127" s="1038"/>
      <c r="E127" s="1039" t="s">
        <v>723</v>
      </c>
      <c r="F127" s="1040"/>
      <c r="G127" s="587" t="s">
        <v>13</v>
      </c>
      <c r="H127" s="588">
        <f t="shared" si="31"/>
        <v>2200000</v>
      </c>
      <c r="I127" s="589">
        <f t="shared" si="32"/>
        <v>2200000</v>
      </c>
      <c r="J127" s="589">
        <v>0</v>
      </c>
      <c r="K127" s="589">
        <v>2200000</v>
      </c>
      <c r="L127" s="589">
        <f t="shared" si="33"/>
        <v>0</v>
      </c>
      <c r="M127" s="589">
        <v>0</v>
      </c>
      <c r="N127" s="589">
        <v>0</v>
      </c>
    </row>
    <row r="128" spans="1:14" s="590" customFormat="1" ht="15" customHeight="1" hidden="1">
      <c r="A128" s="1035"/>
      <c r="B128" s="960"/>
      <c r="C128" s="1037"/>
      <c r="D128" s="960"/>
      <c r="E128" s="965"/>
      <c r="F128" s="953"/>
      <c r="G128" s="587" t="s">
        <v>14</v>
      </c>
      <c r="H128" s="588">
        <f t="shared" si="31"/>
        <v>0</v>
      </c>
      <c r="I128" s="589">
        <f t="shared" si="32"/>
        <v>0</v>
      </c>
      <c r="J128" s="589">
        <v>0</v>
      </c>
      <c r="K128" s="589">
        <v>0</v>
      </c>
      <c r="L128" s="589">
        <f t="shared" si="33"/>
        <v>0</v>
      </c>
      <c r="M128" s="589">
        <v>0</v>
      </c>
      <c r="N128" s="589">
        <v>0</v>
      </c>
    </row>
    <row r="129" spans="1:14" s="590" customFormat="1" ht="15" customHeight="1" hidden="1">
      <c r="A129" s="1035"/>
      <c r="B129" s="1036"/>
      <c r="C129" s="1037"/>
      <c r="D129" s="1038"/>
      <c r="E129" s="966"/>
      <c r="F129" s="955"/>
      <c r="G129" s="587" t="s">
        <v>15</v>
      </c>
      <c r="H129" s="588">
        <f t="shared" si="31"/>
        <v>2200000</v>
      </c>
      <c r="I129" s="589">
        <f t="shared" si="32"/>
        <v>2200000</v>
      </c>
      <c r="J129" s="589">
        <f>J127+J128</f>
        <v>0</v>
      </c>
      <c r="K129" s="589">
        <f>K127+K128</f>
        <v>2200000</v>
      </c>
      <c r="L129" s="589">
        <f t="shared" si="33"/>
        <v>0</v>
      </c>
      <c r="M129" s="589">
        <f>M127+M128</f>
        <v>0</v>
      </c>
      <c r="N129" s="589">
        <f>N127+N128</f>
        <v>0</v>
      </c>
    </row>
    <row r="130" spans="1:14" s="504" customFormat="1" ht="15" customHeight="1" hidden="1">
      <c r="A130" s="959"/>
      <c r="B130" s="962"/>
      <c r="C130" s="961"/>
      <c r="D130" s="963"/>
      <c r="E130" s="964" t="s">
        <v>724</v>
      </c>
      <c r="F130" s="951"/>
      <c r="G130" s="551" t="s">
        <v>13</v>
      </c>
      <c r="H130" s="552">
        <f t="shared" si="31"/>
        <v>160000</v>
      </c>
      <c r="I130" s="553">
        <f t="shared" si="32"/>
        <v>160000</v>
      </c>
      <c r="J130" s="553">
        <v>0</v>
      </c>
      <c r="K130" s="553">
        <v>160000</v>
      </c>
      <c r="L130" s="553">
        <f t="shared" si="33"/>
        <v>0</v>
      </c>
      <c r="M130" s="553">
        <v>0</v>
      </c>
      <c r="N130" s="553">
        <v>0</v>
      </c>
    </row>
    <row r="131" spans="1:14" s="504" customFormat="1" ht="15" customHeight="1" hidden="1">
      <c r="A131" s="959"/>
      <c r="B131" s="960"/>
      <c r="C131" s="961"/>
      <c r="D131" s="960"/>
      <c r="E131" s="965"/>
      <c r="F131" s="953"/>
      <c r="G131" s="551" t="s">
        <v>14</v>
      </c>
      <c r="H131" s="552">
        <f t="shared" si="31"/>
        <v>0</v>
      </c>
      <c r="I131" s="553">
        <f t="shared" si="32"/>
        <v>0</v>
      </c>
      <c r="J131" s="553">
        <v>0</v>
      </c>
      <c r="K131" s="553">
        <v>0</v>
      </c>
      <c r="L131" s="553">
        <f t="shared" si="33"/>
        <v>0</v>
      </c>
      <c r="M131" s="553">
        <v>0</v>
      </c>
      <c r="N131" s="553">
        <v>0</v>
      </c>
    </row>
    <row r="132" spans="1:14" s="504" customFormat="1" ht="15" customHeight="1" hidden="1">
      <c r="A132" s="959"/>
      <c r="B132" s="962"/>
      <c r="C132" s="961"/>
      <c r="D132" s="963"/>
      <c r="E132" s="966"/>
      <c r="F132" s="955"/>
      <c r="G132" s="551" t="s">
        <v>15</v>
      </c>
      <c r="H132" s="584">
        <f t="shared" si="31"/>
        <v>160000</v>
      </c>
      <c r="I132" s="585">
        <f t="shared" si="32"/>
        <v>160000</v>
      </c>
      <c r="J132" s="585">
        <f>J130+J131</f>
        <v>0</v>
      </c>
      <c r="K132" s="585">
        <f>K130+K131</f>
        <v>160000</v>
      </c>
      <c r="L132" s="585">
        <f t="shared" si="33"/>
        <v>0</v>
      </c>
      <c r="M132" s="585">
        <f>M130+M131</f>
        <v>0</v>
      </c>
      <c r="N132" s="585">
        <f>N130+N131</f>
        <v>0</v>
      </c>
    </row>
    <row r="133" spans="1:14" s="504" customFormat="1" ht="15" customHeight="1">
      <c r="A133" s="959" t="s">
        <v>250</v>
      </c>
      <c r="B133" s="962"/>
      <c r="C133" s="961" t="s">
        <v>722</v>
      </c>
      <c r="D133" s="963"/>
      <c r="E133" s="964" t="s">
        <v>725</v>
      </c>
      <c r="F133" s="951"/>
      <c r="G133" s="551" t="s">
        <v>13</v>
      </c>
      <c r="H133" s="552">
        <f t="shared" si="31"/>
        <v>0</v>
      </c>
      <c r="I133" s="553">
        <f t="shared" si="32"/>
        <v>0</v>
      </c>
      <c r="J133" s="553">
        <v>0</v>
      </c>
      <c r="K133" s="553">
        <v>0</v>
      </c>
      <c r="L133" s="553">
        <f t="shared" si="33"/>
        <v>0</v>
      </c>
      <c r="M133" s="553">
        <v>0</v>
      </c>
      <c r="N133" s="553">
        <v>0</v>
      </c>
    </row>
    <row r="134" spans="1:14" s="504" customFormat="1" ht="15" customHeight="1">
      <c r="A134" s="959"/>
      <c r="B134" s="960"/>
      <c r="C134" s="961"/>
      <c r="D134" s="960"/>
      <c r="E134" s="965"/>
      <c r="F134" s="953"/>
      <c r="G134" s="551" t="s">
        <v>14</v>
      </c>
      <c r="H134" s="552">
        <f t="shared" si="31"/>
        <v>25039</v>
      </c>
      <c r="I134" s="553">
        <f t="shared" si="32"/>
        <v>25039</v>
      </c>
      <c r="J134" s="553">
        <v>0</v>
      </c>
      <c r="K134" s="553">
        <v>25039</v>
      </c>
      <c r="L134" s="553">
        <f t="shared" si="33"/>
        <v>0</v>
      </c>
      <c r="M134" s="553">
        <v>0</v>
      </c>
      <c r="N134" s="553">
        <v>0</v>
      </c>
    </row>
    <row r="135" spans="1:14" s="504" customFormat="1" ht="15" customHeight="1">
      <c r="A135" s="959"/>
      <c r="B135" s="962"/>
      <c r="C135" s="961"/>
      <c r="D135" s="963"/>
      <c r="E135" s="966"/>
      <c r="F135" s="955"/>
      <c r="G135" s="551" t="s">
        <v>15</v>
      </c>
      <c r="H135" s="584">
        <f t="shared" si="31"/>
        <v>25039</v>
      </c>
      <c r="I135" s="585">
        <f t="shared" si="32"/>
        <v>25039</v>
      </c>
      <c r="J135" s="585">
        <f>J133+J134</f>
        <v>0</v>
      </c>
      <c r="K135" s="585">
        <f>K133+K134</f>
        <v>25039</v>
      </c>
      <c r="L135" s="585">
        <f t="shared" si="33"/>
        <v>0</v>
      </c>
      <c r="M135" s="585">
        <f>M133+M134</f>
        <v>0</v>
      </c>
      <c r="N135" s="585">
        <f>N133+N134</f>
        <v>0</v>
      </c>
    </row>
    <row r="136" spans="1:14" s="504" customFormat="1" ht="15" customHeight="1">
      <c r="A136" s="959"/>
      <c r="B136" s="962"/>
      <c r="C136" s="961"/>
      <c r="D136" s="963"/>
      <c r="E136" s="964" t="s">
        <v>726</v>
      </c>
      <c r="F136" s="951"/>
      <c r="G136" s="551" t="s">
        <v>13</v>
      </c>
      <c r="H136" s="552">
        <f t="shared" si="31"/>
        <v>0</v>
      </c>
      <c r="I136" s="553">
        <f t="shared" si="32"/>
        <v>0</v>
      </c>
      <c r="J136" s="553">
        <v>0</v>
      </c>
      <c r="K136" s="553">
        <v>0</v>
      </c>
      <c r="L136" s="553">
        <f t="shared" si="33"/>
        <v>0</v>
      </c>
      <c r="M136" s="553">
        <v>0</v>
      </c>
      <c r="N136" s="553">
        <v>0</v>
      </c>
    </row>
    <row r="137" spans="1:14" s="504" customFormat="1" ht="15" customHeight="1">
      <c r="A137" s="959"/>
      <c r="B137" s="960"/>
      <c r="C137" s="961"/>
      <c r="D137" s="960"/>
      <c r="E137" s="965"/>
      <c r="F137" s="953"/>
      <c r="G137" s="551" t="s">
        <v>14</v>
      </c>
      <c r="H137" s="552">
        <f t="shared" si="31"/>
        <v>26592</v>
      </c>
      <c r="I137" s="553">
        <f t="shared" si="32"/>
        <v>26592</v>
      </c>
      <c r="J137" s="553">
        <v>0</v>
      </c>
      <c r="K137" s="553">
        <v>26592</v>
      </c>
      <c r="L137" s="553">
        <f t="shared" si="33"/>
        <v>0</v>
      </c>
      <c r="M137" s="553">
        <v>0</v>
      </c>
      <c r="N137" s="553">
        <v>0</v>
      </c>
    </row>
    <row r="138" spans="1:14" s="504" customFormat="1" ht="15" customHeight="1">
      <c r="A138" s="959"/>
      <c r="B138" s="962"/>
      <c r="C138" s="961"/>
      <c r="D138" s="963"/>
      <c r="E138" s="966"/>
      <c r="F138" s="955"/>
      <c r="G138" s="551" t="s">
        <v>15</v>
      </c>
      <c r="H138" s="584">
        <f t="shared" si="31"/>
        <v>26592</v>
      </c>
      <c r="I138" s="585">
        <f t="shared" si="32"/>
        <v>26592</v>
      </c>
      <c r="J138" s="585">
        <f>J136+J137</f>
        <v>0</v>
      </c>
      <c r="K138" s="585">
        <f>K136+K137</f>
        <v>26592</v>
      </c>
      <c r="L138" s="585">
        <f t="shared" si="33"/>
        <v>0</v>
      </c>
      <c r="M138" s="585">
        <f>M136+M137</f>
        <v>0</v>
      </c>
      <c r="N138" s="585">
        <f>N136+N137</f>
        <v>0</v>
      </c>
    </row>
    <row r="139" spans="1:14" s="516" customFormat="1" ht="15" customHeight="1" hidden="1">
      <c r="A139" s="1021" t="s">
        <v>727</v>
      </c>
      <c r="B139" s="1022"/>
      <c r="C139" s="1022"/>
      <c r="D139" s="1022"/>
      <c r="E139" s="1022"/>
      <c r="F139" s="1023"/>
      <c r="G139" s="581" t="s">
        <v>13</v>
      </c>
      <c r="H139" s="582">
        <f t="shared" si="31"/>
        <v>8879000</v>
      </c>
      <c r="I139" s="583">
        <f t="shared" si="32"/>
        <v>8879000</v>
      </c>
      <c r="J139" s="583">
        <f aca="true" t="shared" si="42" ref="J139:K141">J142+J151</f>
        <v>0</v>
      </c>
      <c r="K139" s="583">
        <f t="shared" si="42"/>
        <v>8879000</v>
      </c>
      <c r="L139" s="583">
        <f t="shared" si="33"/>
        <v>0</v>
      </c>
      <c r="M139" s="583">
        <f aca="true" t="shared" si="43" ref="M139:N141">M142+M151</f>
        <v>0</v>
      </c>
      <c r="N139" s="583">
        <f t="shared" si="43"/>
        <v>0</v>
      </c>
    </row>
    <row r="140" spans="1:14" s="516" customFormat="1" ht="15" customHeight="1" hidden="1">
      <c r="A140" s="1024"/>
      <c r="B140" s="1025"/>
      <c r="C140" s="1025"/>
      <c r="D140" s="1025"/>
      <c r="E140" s="1025"/>
      <c r="F140" s="1026"/>
      <c r="G140" s="581" t="s">
        <v>14</v>
      </c>
      <c r="H140" s="582">
        <f t="shared" si="31"/>
        <v>0</v>
      </c>
      <c r="I140" s="583">
        <f t="shared" si="32"/>
        <v>0</v>
      </c>
      <c r="J140" s="583">
        <f t="shared" si="42"/>
        <v>0</v>
      </c>
      <c r="K140" s="583">
        <f t="shared" si="42"/>
        <v>0</v>
      </c>
      <c r="L140" s="583">
        <f t="shared" si="33"/>
        <v>0</v>
      </c>
      <c r="M140" s="583">
        <f t="shared" si="43"/>
        <v>0</v>
      </c>
      <c r="N140" s="583">
        <f t="shared" si="43"/>
        <v>0</v>
      </c>
    </row>
    <row r="141" spans="1:14" s="516" customFormat="1" ht="15" customHeight="1" hidden="1">
      <c r="A141" s="1027"/>
      <c r="B141" s="1028"/>
      <c r="C141" s="1028"/>
      <c r="D141" s="1028"/>
      <c r="E141" s="1028"/>
      <c r="F141" s="1029"/>
      <c r="G141" s="581" t="s">
        <v>15</v>
      </c>
      <c r="H141" s="582">
        <f t="shared" si="31"/>
        <v>8879000</v>
      </c>
      <c r="I141" s="583">
        <f t="shared" si="32"/>
        <v>8879000</v>
      </c>
      <c r="J141" s="583">
        <f t="shared" si="42"/>
        <v>0</v>
      </c>
      <c r="K141" s="583">
        <f t="shared" si="42"/>
        <v>8879000</v>
      </c>
      <c r="L141" s="583">
        <f t="shared" si="33"/>
        <v>0</v>
      </c>
      <c r="M141" s="583">
        <f t="shared" si="43"/>
        <v>0</v>
      </c>
      <c r="N141" s="583">
        <f t="shared" si="43"/>
        <v>0</v>
      </c>
    </row>
    <row r="142" spans="1:14" s="504" customFormat="1" ht="15" customHeight="1" hidden="1">
      <c r="A142" s="968" t="s">
        <v>250</v>
      </c>
      <c r="B142" s="969"/>
      <c r="C142" s="970" t="s">
        <v>722</v>
      </c>
      <c r="D142" s="971"/>
      <c r="E142" s="964" t="s">
        <v>711</v>
      </c>
      <c r="F142" s="951"/>
      <c r="G142" s="551" t="s">
        <v>13</v>
      </c>
      <c r="H142" s="584">
        <f t="shared" si="31"/>
        <v>8864000</v>
      </c>
      <c r="I142" s="585">
        <f t="shared" si="32"/>
        <v>8864000</v>
      </c>
      <c r="J142" s="585">
        <f aca="true" t="shared" si="44" ref="J142:K144">J145+J148</f>
        <v>0</v>
      </c>
      <c r="K142" s="585">
        <f t="shared" si="44"/>
        <v>8864000</v>
      </c>
      <c r="L142" s="585">
        <f t="shared" si="33"/>
        <v>0</v>
      </c>
      <c r="M142" s="585">
        <f aca="true" t="shared" si="45" ref="M142:N144">M145+M148</f>
        <v>0</v>
      </c>
      <c r="N142" s="585">
        <f t="shared" si="45"/>
        <v>0</v>
      </c>
    </row>
    <row r="143" spans="1:14" s="504" customFormat="1" ht="15" customHeight="1" hidden="1">
      <c r="A143" s="959"/>
      <c r="B143" s="967"/>
      <c r="C143" s="961"/>
      <c r="D143" s="967"/>
      <c r="E143" s="965"/>
      <c r="F143" s="953"/>
      <c r="G143" s="551" t="s">
        <v>14</v>
      </c>
      <c r="H143" s="584">
        <f t="shared" si="31"/>
        <v>0</v>
      </c>
      <c r="I143" s="585">
        <f t="shared" si="32"/>
        <v>0</v>
      </c>
      <c r="J143" s="585">
        <f t="shared" si="44"/>
        <v>0</v>
      </c>
      <c r="K143" s="585">
        <f t="shared" si="44"/>
        <v>0</v>
      </c>
      <c r="L143" s="585">
        <f t="shared" si="33"/>
        <v>0</v>
      </c>
      <c r="M143" s="585">
        <f t="shared" si="45"/>
        <v>0</v>
      </c>
      <c r="N143" s="585">
        <f t="shared" si="45"/>
        <v>0</v>
      </c>
    </row>
    <row r="144" spans="1:14" s="504" customFormat="1" ht="15" customHeight="1" hidden="1">
      <c r="A144" s="959"/>
      <c r="B144" s="967"/>
      <c r="C144" s="961"/>
      <c r="D144" s="967"/>
      <c r="E144" s="966"/>
      <c r="F144" s="955"/>
      <c r="G144" s="551" t="s">
        <v>15</v>
      </c>
      <c r="H144" s="584">
        <f t="shared" si="31"/>
        <v>8864000</v>
      </c>
      <c r="I144" s="585">
        <f t="shared" si="32"/>
        <v>8864000</v>
      </c>
      <c r="J144" s="585">
        <f t="shared" si="44"/>
        <v>0</v>
      </c>
      <c r="K144" s="585">
        <f t="shared" si="44"/>
        <v>8864000</v>
      </c>
      <c r="L144" s="585">
        <f t="shared" si="33"/>
        <v>0</v>
      </c>
      <c r="M144" s="585">
        <f t="shared" si="45"/>
        <v>0</v>
      </c>
      <c r="N144" s="585">
        <f t="shared" si="45"/>
        <v>0</v>
      </c>
    </row>
    <row r="145" spans="1:14" s="590" customFormat="1" ht="15" customHeight="1" hidden="1">
      <c r="A145" s="1035"/>
      <c r="B145" s="1036"/>
      <c r="C145" s="1037"/>
      <c r="D145" s="1038"/>
      <c r="E145" s="1039" t="s">
        <v>712</v>
      </c>
      <c r="F145" s="1040"/>
      <c r="G145" s="587" t="s">
        <v>13</v>
      </c>
      <c r="H145" s="588">
        <f t="shared" si="31"/>
        <v>7664000</v>
      </c>
      <c r="I145" s="589">
        <f t="shared" si="32"/>
        <v>7664000</v>
      </c>
      <c r="J145" s="589">
        <v>0</v>
      </c>
      <c r="K145" s="589">
        <v>7664000</v>
      </c>
      <c r="L145" s="589">
        <f t="shared" si="33"/>
        <v>0</v>
      </c>
      <c r="M145" s="589">
        <v>0</v>
      </c>
      <c r="N145" s="589">
        <v>0</v>
      </c>
    </row>
    <row r="146" spans="1:14" s="590" customFormat="1" ht="15" customHeight="1" hidden="1">
      <c r="A146" s="1035"/>
      <c r="B146" s="967"/>
      <c r="C146" s="1037"/>
      <c r="D146" s="967"/>
      <c r="E146" s="965"/>
      <c r="F146" s="953"/>
      <c r="G146" s="587" t="s">
        <v>14</v>
      </c>
      <c r="H146" s="588">
        <f t="shared" si="31"/>
        <v>0</v>
      </c>
      <c r="I146" s="589">
        <f t="shared" si="32"/>
        <v>0</v>
      </c>
      <c r="J146" s="589">
        <v>0</v>
      </c>
      <c r="K146" s="589">
        <v>0</v>
      </c>
      <c r="L146" s="589">
        <f t="shared" si="33"/>
        <v>0</v>
      </c>
      <c r="M146" s="589">
        <v>0</v>
      </c>
      <c r="N146" s="589">
        <v>0</v>
      </c>
    </row>
    <row r="147" spans="1:14" s="590" customFormat="1" ht="15" customHeight="1" hidden="1">
      <c r="A147" s="1035"/>
      <c r="B147" s="1036"/>
      <c r="C147" s="1037"/>
      <c r="D147" s="1038"/>
      <c r="E147" s="966"/>
      <c r="F147" s="955"/>
      <c r="G147" s="587" t="s">
        <v>15</v>
      </c>
      <c r="H147" s="588">
        <f t="shared" si="31"/>
        <v>7664000</v>
      </c>
      <c r="I147" s="589">
        <f t="shared" si="32"/>
        <v>7664000</v>
      </c>
      <c r="J147" s="589">
        <f>J145+J146</f>
        <v>0</v>
      </c>
      <c r="K147" s="589">
        <f>K145+K146</f>
        <v>7664000</v>
      </c>
      <c r="L147" s="589">
        <f t="shared" si="33"/>
        <v>0</v>
      </c>
      <c r="M147" s="589">
        <f>M145+M146</f>
        <v>0</v>
      </c>
      <c r="N147" s="589">
        <f>N145+N146</f>
        <v>0</v>
      </c>
    </row>
    <row r="148" spans="1:14" s="590" customFormat="1" ht="15" customHeight="1" hidden="1">
      <c r="A148" s="1035"/>
      <c r="B148" s="1036"/>
      <c r="C148" s="1037"/>
      <c r="D148" s="1038"/>
      <c r="E148" s="1039" t="s">
        <v>728</v>
      </c>
      <c r="F148" s="1040"/>
      <c r="G148" s="587" t="s">
        <v>13</v>
      </c>
      <c r="H148" s="588">
        <f t="shared" si="31"/>
        <v>1200000</v>
      </c>
      <c r="I148" s="589">
        <f t="shared" si="32"/>
        <v>1200000</v>
      </c>
      <c r="J148" s="589">
        <v>0</v>
      </c>
      <c r="K148" s="589">
        <v>1200000</v>
      </c>
      <c r="L148" s="589">
        <f t="shared" si="33"/>
        <v>0</v>
      </c>
      <c r="M148" s="589">
        <v>0</v>
      </c>
      <c r="N148" s="589">
        <v>0</v>
      </c>
    </row>
    <row r="149" spans="1:14" s="590" customFormat="1" ht="15" customHeight="1" hidden="1">
      <c r="A149" s="1035"/>
      <c r="B149" s="967"/>
      <c r="C149" s="1037"/>
      <c r="D149" s="967"/>
      <c r="E149" s="965"/>
      <c r="F149" s="953"/>
      <c r="G149" s="587" t="s">
        <v>14</v>
      </c>
      <c r="H149" s="588">
        <f t="shared" si="31"/>
        <v>0</v>
      </c>
      <c r="I149" s="589">
        <f t="shared" si="32"/>
        <v>0</v>
      </c>
      <c r="J149" s="589">
        <v>0</v>
      </c>
      <c r="K149" s="589">
        <v>0</v>
      </c>
      <c r="L149" s="589">
        <f t="shared" si="33"/>
        <v>0</v>
      </c>
      <c r="M149" s="589">
        <v>0</v>
      </c>
      <c r="N149" s="589">
        <v>0</v>
      </c>
    </row>
    <row r="150" spans="1:14" s="590" customFormat="1" ht="15" customHeight="1" hidden="1">
      <c r="A150" s="1035"/>
      <c r="B150" s="1036"/>
      <c r="C150" s="1037"/>
      <c r="D150" s="1038"/>
      <c r="E150" s="966"/>
      <c r="F150" s="955"/>
      <c r="G150" s="587" t="s">
        <v>15</v>
      </c>
      <c r="H150" s="588">
        <f t="shared" si="31"/>
        <v>1200000</v>
      </c>
      <c r="I150" s="589">
        <f t="shared" si="32"/>
        <v>1200000</v>
      </c>
      <c r="J150" s="589">
        <f>J148+J149</f>
        <v>0</v>
      </c>
      <c r="K150" s="589">
        <f>K148+K149</f>
        <v>1200000</v>
      </c>
      <c r="L150" s="589">
        <f t="shared" si="33"/>
        <v>0</v>
      </c>
      <c r="M150" s="589">
        <f>M148+M149</f>
        <v>0</v>
      </c>
      <c r="N150" s="589">
        <f>N148+N149</f>
        <v>0</v>
      </c>
    </row>
    <row r="151" spans="1:14" s="593" customFormat="1" ht="15" customHeight="1" hidden="1">
      <c r="A151" s="972"/>
      <c r="B151" s="973"/>
      <c r="C151" s="974"/>
      <c r="D151" s="975"/>
      <c r="E151" s="964" t="s">
        <v>729</v>
      </c>
      <c r="F151" s="951"/>
      <c r="G151" s="551" t="s">
        <v>13</v>
      </c>
      <c r="H151" s="552">
        <f t="shared" si="31"/>
        <v>15000</v>
      </c>
      <c r="I151" s="553">
        <f t="shared" si="32"/>
        <v>15000</v>
      </c>
      <c r="J151" s="553">
        <v>0</v>
      </c>
      <c r="K151" s="553">
        <v>15000</v>
      </c>
      <c r="L151" s="553">
        <f t="shared" si="33"/>
        <v>0</v>
      </c>
      <c r="M151" s="553">
        <v>0</v>
      </c>
      <c r="N151" s="553">
        <v>0</v>
      </c>
    </row>
    <row r="152" spans="1:14" s="593" customFormat="1" ht="15" customHeight="1" hidden="1">
      <c r="A152" s="972"/>
      <c r="B152" s="967"/>
      <c r="C152" s="974"/>
      <c r="D152" s="967"/>
      <c r="E152" s="965"/>
      <c r="F152" s="953"/>
      <c r="G152" s="551" t="s">
        <v>14</v>
      </c>
      <c r="H152" s="552">
        <f t="shared" si="31"/>
        <v>0</v>
      </c>
      <c r="I152" s="553">
        <f t="shared" si="32"/>
        <v>0</v>
      </c>
      <c r="J152" s="553">
        <v>0</v>
      </c>
      <c r="K152" s="553">
        <v>0</v>
      </c>
      <c r="L152" s="553">
        <f t="shared" si="33"/>
        <v>0</v>
      </c>
      <c r="M152" s="553">
        <v>0</v>
      </c>
      <c r="N152" s="553">
        <v>0</v>
      </c>
    </row>
    <row r="153" spans="1:14" s="504" customFormat="1" ht="15" customHeight="1" hidden="1">
      <c r="A153" s="977"/>
      <c r="B153" s="1033"/>
      <c r="C153" s="979"/>
      <c r="D153" s="1034"/>
      <c r="E153" s="966"/>
      <c r="F153" s="955"/>
      <c r="G153" s="551" t="s">
        <v>15</v>
      </c>
      <c r="H153" s="584">
        <f t="shared" si="31"/>
        <v>15000</v>
      </c>
      <c r="I153" s="585">
        <f t="shared" si="32"/>
        <v>15000</v>
      </c>
      <c r="J153" s="585">
        <f>J151+J152</f>
        <v>0</v>
      </c>
      <c r="K153" s="585">
        <f>K151+K152</f>
        <v>15000</v>
      </c>
      <c r="L153" s="585">
        <f t="shared" si="33"/>
        <v>0</v>
      </c>
      <c r="M153" s="585">
        <f>M151+M152</f>
        <v>0</v>
      </c>
      <c r="N153" s="585">
        <f>N151+N152</f>
        <v>0</v>
      </c>
    </row>
    <row r="154" spans="1:14" s="516" customFormat="1" ht="15" customHeight="1">
      <c r="A154" s="1021" t="s">
        <v>347</v>
      </c>
      <c r="B154" s="1022"/>
      <c r="C154" s="1022"/>
      <c r="D154" s="1022"/>
      <c r="E154" s="1022"/>
      <c r="F154" s="1023"/>
      <c r="G154" s="581" t="s">
        <v>13</v>
      </c>
      <c r="H154" s="582">
        <f t="shared" si="31"/>
        <v>5680000</v>
      </c>
      <c r="I154" s="583">
        <f t="shared" si="32"/>
        <v>5680000</v>
      </c>
      <c r="J154" s="583">
        <f aca="true" t="shared" si="46" ref="J154:K156">J157+J160</f>
        <v>0</v>
      </c>
      <c r="K154" s="583">
        <f t="shared" si="46"/>
        <v>5680000</v>
      </c>
      <c r="L154" s="583">
        <f t="shared" si="33"/>
        <v>0</v>
      </c>
      <c r="M154" s="583">
        <f aca="true" t="shared" si="47" ref="M154:N156">M157+M160</f>
        <v>0</v>
      </c>
      <c r="N154" s="583">
        <f t="shared" si="47"/>
        <v>0</v>
      </c>
    </row>
    <row r="155" spans="1:14" s="516" customFormat="1" ht="15" customHeight="1">
      <c r="A155" s="1024"/>
      <c r="B155" s="1025"/>
      <c r="C155" s="1025"/>
      <c r="D155" s="1025"/>
      <c r="E155" s="1025"/>
      <c r="F155" s="1026"/>
      <c r="G155" s="581" t="s">
        <v>14</v>
      </c>
      <c r="H155" s="582">
        <f t="shared" si="31"/>
        <v>-140000</v>
      </c>
      <c r="I155" s="583">
        <f t="shared" si="32"/>
        <v>-140000</v>
      </c>
      <c r="J155" s="583">
        <f t="shared" si="46"/>
        <v>0</v>
      </c>
      <c r="K155" s="583">
        <f t="shared" si="46"/>
        <v>-140000</v>
      </c>
      <c r="L155" s="583">
        <f t="shared" si="33"/>
        <v>0</v>
      </c>
      <c r="M155" s="583">
        <f t="shared" si="47"/>
        <v>0</v>
      </c>
      <c r="N155" s="583">
        <f t="shared" si="47"/>
        <v>0</v>
      </c>
    </row>
    <row r="156" spans="1:14" s="516" customFormat="1" ht="15" customHeight="1">
      <c r="A156" s="1027"/>
      <c r="B156" s="1028"/>
      <c r="C156" s="1028"/>
      <c r="D156" s="1028"/>
      <c r="E156" s="1028"/>
      <c r="F156" s="1029"/>
      <c r="G156" s="581" t="s">
        <v>15</v>
      </c>
      <c r="H156" s="582">
        <f t="shared" si="31"/>
        <v>5540000</v>
      </c>
      <c r="I156" s="583">
        <f t="shared" si="32"/>
        <v>5540000</v>
      </c>
      <c r="J156" s="583">
        <f t="shared" si="46"/>
        <v>0</v>
      </c>
      <c r="K156" s="583">
        <f t="shared" si="46"/>
        <v>5540000</v>
      </c>
      <c r="L156" s="583">
        <f t="shared" si="33"/>
        <v>0</v>
      </c>
      <c r="M156" s="583">
        <f t="shared" si="47"/>
        <v>0</v>
      </c>
      <c r="N156" s="583">
        <f t="shared" si="47"/>
        <v>0</v>
      </c>
    </row>
    <row r="157" spans="1:14" s="504" customFormat="1" ht="15" customHeight="1" hidden="1">
      <c r="A157" s="968" t="s">
        <v>250</v>
      </c>
      <c r="B157" s="969"/>
      <c r="C157" s="970" t="s">
        <v>257</v>
      </c>
      <c r="D157" s="971"/>
      <c r="E157" s="964" t="s">
        <v>704</v>
      </c>
      <c r="F157" s="951"/>
      <c r="G157" s="551" t="s">
        <v>13</v>
      </c>
      <c r="H157" s="584">
        <f t="shared" si="31"/>
        <v>5540000</v>
      </c>
      <c r="I157" s="585">
        <f t="shared" si="32"/>
        <v>5540000</v>
      </c>
      <c r="J157" s="585">
        <v>0</v>
      </c>
      <c r="K157" s="585">
        <v>5540000</v>
      </c>
      <c r="L157" s="585">
        <f t="shared" si="33"/>
        <v>0</v>
      </c>
      <c r="M157" s="585">
        <v>0</v>
      </c>
      <c r="N157" s="585">
        <v>0</v>
      </c>
    </row>
    <row r="158" spans="1:14" s="504" customFormat="1" ht="15" customHeight="1" hidden="1">
      <c r="A158" s="959"/>
      <c r="B158" s="960"/>
      <c r="C158" s="961"/>
      <c r="D158" s="960"/>
      <c r="E158" s="965"/>
      <c r="F158" s="953"/>
      <c r="G158" s="551" t="s">
        <v>14</v>
      </c>
      <c r="H158" s="584">
        <f t="shared" si="31"/>
        <v>0</v>
      </c>
      <c r="I158" s="585">
        <f t="shared" si="32"/>
        <v>0</v>
      </c>
      <c r="J158" s="585">
        <v>0</v>
      </c>
      <c r="K158" s="585">
        <v>0</v>
      </c>
      <c r="L158" s="585">
        <f t="shared" si="33"/>
        <v>0</v>
      </c>
      <c r="M158" s="585">
        <v>0</v>
      </c>
      <c r="N158" s="585">
        <v>0</v>
      </c>
    </row>
    <row r="159" spans="1:14" s="504" customFormat="1" ht="15" customHeight="1" hidden="1">
      <c r="A159" s="959"/>
      <c r="B159" s="962"/>
      <c r="C159" s="961"/>
      <c r="D159" s="963"/>
      <c r="E159" s="966"/>
      <c r="F159" s="955"/>
      <c r="G159" s="551" t="s">
        <v>15</v>
      </c>
      <c r="H159" s="584">
        <f t="shared" si="31"/>
        <v>5540000</v>
      </c>
      <c r="I159" s="585">
        <f t="shared" si="32"/>
        <v>5540000</v>
      </c>
      <c r="J159" s="585">
        <f>J157+J158</f>
        <v>0</v>
      </c>
      <c r="K159" s="585">
        <f>K157+K158</f>
        <v>5540000</v>
      </c>
      <c r="L159" s="585">
        <f t="shared" si="33"/>
        <v>0</v>
      </c>
      <c r="M159" s="585">
        <f>M157+M158</f>
        <v>0</v>
      </c>
      <c r="N159" s="585">
        <f>N157+N158</f>
        <v>0</v>
      </c>
    </row>
    <row r="160" spans="1:14" s="504" customFormat="1" ht="15" customHeight="1">
      <c r="A160" s="959" t="s">
        <v>250</v>
      </c>
      <c r="B160" s="962"/>
      <c r="C160" s="961" t="s">
        <v>257</v>
      </c>
      <c r="D160" s="963"/>
      <c r="E160" s="964" t="s">
        <v>730</v>
      </c>
      <c r="F160" s="951"/>
      <c r="G160" s="551" t="s">
        <v>13</v>
      </c>
      <c r="H160" s="552">
        <f t="shared" si="31"/>
        <v>140000</v>
      </c>
      <c r="I160" s="553">
        <f t="shared" si="32"/>
        <v>140000</v>
      </c>
      <c r="J160" s="553">
        <v>0</v>
      </c>
      <c r="K160" s="553">
        <v>140000</v>
      </c>
      <c r="L160" s="553">
        <f t="shared" si="33"/>
        <v>0</v>
      </c>
      <c r="M160" s="553">
        <v>0</v>
      </c>
      <c r="N160" s="553">
        <v>0</v>
      </c>
    </row>
    <row r="161" spans="1:14" s="504" customFormat="1" ht="15" customHeight="1">
      <c r="A161" s="959"/>
      <c r="B161" s="960"/>
      <c r="C161" s="961"/>
      <c r="D161" s="960"/>
      <c r="E161" s="965"/>
      <c r="F161" s="953"/>
      <c r="G161" s="551" t="s">
        <v>14</v>
      </c>
      <c r="H161" s="552">
        <f t="shared" si="31"/>
        <v>-140000</v>
      </c>
      <c r="I161" s="553">
        <f t="shared" si="32"/>
        <v>-140000</v>
      </c>
      <c r="J161" s="553">
        <v>0</v>
      </c>
      <c r="K161" s="553">
        <v>-140000</v>
      </c>
      <c r="L161" s="553">
        <f t="shared" si="33"/>
        <v>0</v>
      </c>
      <c r="M161" s="553">
        <v>0</v>
      </c>
      <c r="N161" s="553">
        <v>0</v>
      </c>
    </row>
    <row r="162" spans="1:14" s="504" customFormat="1" ht="15" customHeight="1">
      <c r="A162" s="977"/>
      <c r="B162" s="1033"/>
      <c r="C162" s="979"/>
      <c r="D162" s="1034"/>
      <c r="E162" s="966"/>
      <c r="F162" s="955"/>
      <c r="G162" s="551" t="s">
        <v>15</v>
      </c>
      <c r="H162" s="584">
        <f t="shared" si="31"/>
        <v>0</v>
      </c>
      <c r="I162" s="585">
        <f t="shared" si="32"/>
        <v>0</v>
      </c>
      <c r="J162" s="585">
        <f>J160+J161</f>
        <v>0</v>
      </c>
      <c r="K162" s="585">
        <f>K160+K161</f>
        <v>0</v>
      </c>
      <c r="L162" s="585">
        <f t="shared" si="33"/>
        <v>0</v>
      </c>
      <c r="M162" s="585">
        <f>M160+M161</f>
        <v>0</v>
      </c>
      <c r="N162" s="585">
        <f>N160+N161</f>
        <v>0</v>
      </c>
    </row>
    <row r="163" spans="1:14" s="516" customFormat="1" ht="15" customHeight="1">
      <c r="A163" s="1021" t="s">
        <v>259</v>
      </c>
      <c r="B163" s="1022"/>
      <c r="C163" s="1022"/>
      <c r="D163" s="1022"/>
      <c r="E163" s="1022"/>
      <c r="F163" s="1023"/>
      <c r="G163" s="581" t="s">
        <v>13</v>
      </c>
      <c r="H163" s="582">
        <f t="shared" si="31"/>
        <v>4600000</v>
      </c>
      <c r="I163" s="583">
        <f t="shared" si="32"/>
        <v>4600000</v>
      </c>
      <c r="J163" s="583">
        <f aca="true" t="shared" si="48" ref="J163:K165">J166+J169</f>
        <v>0</v>
      </c>
      <c r="K163" s="583">
        <f t="shared" si="48"/>
        <v>4600000</v>
      </c>
      <c r="L163" s="583">
        <f t="shared" si="33"/>
        <v>0</v>
      </c>
      <c r="M163" s="583">
        <f aca="true" t="shared" si="49" ref="M163:N165">M166+M169</f>
        <v>0</v>
      </c>
      <c r="N163" s="583">
        <f t="shared" si="49"/>
        <v>0</v>
      </c>
    </row>
    <row r="164" spans="1:14" s="516" customFormat="1" ht="15" customHeight="1">
      <c r="A164" s="1024"/>
      <c r="B164" s="1025"/>
      <c r="C164" s="1025"/>
      <c r="D164" s="1025"/>
      <c r="E164" s="1025"/>
      <c r="F164" s="1026"/>
      <c r="G164" s="581" t="s">
        <v>14</v>
      </c>
      <c r="H164" s="582">
        <f t="shared" si="31"/>
        <v>149883</v>
      </c>
      <c r="I164" s="583">
        <f t="shared" si="32"/>
        <v>149883</v>
      </c>
      <c r="J164" s="583">
        <f t="shared" si="48"/>
        <v>0</v>
      </c>
      <c r="K164" s="583">
        <f t="shared" si="48"/>
        <v>149883</v>
      </c>
      <c r="L164" s="583">
        <f t="shared" si="33"/>
        <v>0</v>
      </c>
      <c r="M164" s="583">
        <f t="shared" si="49"/>
        <v>0</v>
      </c>
      <c r="N164" s="583">
        <f t="shared" si="49"/>
        <v>0</v>
      </c>
    </row>
    <row r="165" spans="1:14" s="516" customFormat="1" ht="15" customHeight="1">
      <c r="A165" s="1027"/>
      <c r="B165" s="1028"/>
      <c r="C165" s="1028"/>
      <c r="D165" s="1028"/>
      <c r="E165" s="1028"/>
      <c r="F165" s="1029"/>
      <c r="G165" s="581" t="s">
        <v>15</v>
      </c>
      <c r="H165" s="582">
        <f t="shared" si="31"/>
        <v>4749883</v>
      </c>
      <c r="I165" s="583">
        <f t="shared" si="32"/>
        <v>4749883</v>
      </c>
      <c r="J165" s="583">
        <f t="shared" si="48"/>
        <v>0</v>
      </c>
      <c r="K165" s="583">
        <f t="shared" si="48"/>
        <v>4749883</v>
      </c>
      <c r="L165" s="583">
        <f t="shared" si="33"/>
        <v>0</v>
      </c>
      <c r="M165" s="583">
        <f t="shared" si="49"/>
        <v>0</v>
      </c>
      <c r="N165" s="583">
        <f t="shared" si="49"/>
        <v>0</v>
      </c>
    </row>
    <row r="166" spans="1:14" s="504" customFormat="1" ht="15" customHeight="1" hidden="1">
      <c r="A166" s="968" t="s">
        <v>250</v>
      </c>
      <c r="B166" s="969"/>
      <c r="C166" s="970" t="s">
        <v>257</v>
      </c>
      <c r="D166" s="971"/>
      <c r="E166" s="964" t="s">
        <v>704</v>
      </c>
      <c r="F166" s="951"/>
      <c r="G166" s="551" t="s">
        <v>13</v>
      </c>
      <c r="H166" s="584">
        <f t="shared" si="31"/>
        <v>4600000</v>
      </c>
      <c r="I166" s="585">
        <f t="shared" si="32"/>
        <v>4600000</v>
      </c>
      <c r="J166" s="585">
        <v>0</v>
      </c>
      <c r="K166" s="585">
        <v>4600000</v>
      </c>
      <c r="L166" s="585">
        <f t="shared" si="33"/>
        <v>0</v>
      </c>
      <c r="M166" s="585">
        <v>0</v>
      </c>
      <c r="N166" s="585">
        <v>0</v>
      </c>
    </row>
    <row r="167" spans="1:14" s="504" customFormat="1" ht="15" customHeight="1" hidden="1">
      <c r="A167" s="959"/>
      <c r="B167" s="960"/>
      <c r="C167" s="961"/>
      <c r="D167" s="960"/>
      <c r="E167" s="965"/>
      <c r="F167" s="953"/>
      <c r="G167" s="551" t="s">
        <v>14</v>
      </c>
      <c r="H167" s="584">
        <f t="shared" si="31"/>
        <v>0</v>
      </c>
      <c r="I167" s="585">
        <f t="shared" si="32"/>
        <v>0</v>
      </c>
      <c r="J167" s="585">
        <v>0</v>
      </c>
      <c r="K167" s="585">
        <v>0</v>
      </c>
      <c r="L167" s="585">
        <f t="shared" si="33"/>
        <v>0</v>
      </c>
      <c r="M167" s="585">
        <v>0</v>
      </c>
      <c r="N167" s="585">
        <v>0</v>
      </c>
    </row>
    <row r="168" spans="1:14" s="504" customFormat="1" ht="15" customHeight="1" hidden="1">
      <c r="A168" s="959"/>
      <c r="B168" s="962"/>
      <c r="C168" s="961"/>
      <c r="D168" s="963"/>
      <c r="E168" s="966"/>
      <c r="F168" s="955"/>
      <c r="G168" s="551" t="s">
        <v>15</v>
      </c>
      <c r="H168" s="584">
        <f t="shared" si="31"/>
        <v>4600000</v>
      </c>
      <c r="I168" s="585">
        <f t="shared" si="32"/>
        <v>4600000</v>
      </c>
      <c r="J168" s="585">
        <f>J166+J167</f>
        <v>0</v>
      </c>
      <c r="K168" s="585">
        <f>K166+K167</f>
        <v>4600000</v>
      </c>
      <c r="L168" s="585">
        <f t="shared" si="33"/>
        <v>0</v>
      </c>
      <c r="M168" s="585">
        <f>M166+M167</f>
        <v>0</v>
      </c>
      <c r="N168" s="585">
        <f>N166+N167</f>
        <v>0</v>
      </c>
    </row>
    <row r="169" spans="1:14" s="504" customFormat="1" ht="15" customHeight="1">
      <c r="A169" s="959" t="s">
        <v>250</v>
      </c>
      <c r="B169" s="962"/>
      <c r="C169" s="961" t="s">
        <v>257</v>
      </c>
      <c r="D169" s="963"/>
      <c r="E169" s="964" t="s">
        <v>731</v>
      </c>
      <c r="F169" s="951"/>
      <c r="G169" s="551" t="s">
        <v>13</v>
      </c>
      <c r="H169" s="552">
        <f>I169+L169</f>
        <v>0</v>
      </c>
      <c r="I169" s="553">
        <f>J169+K169</f>
        <v>0</v>
      </c>
      <c r="J169" s="553">
        <v>0</v>
      </c>
      <c r="K169" s="553">
        <v>0</v>
      </c>
      <c r="L169" s="553">
        <f>M169+N169</f>
        <v>0</v>
      </c>
      <c r="M169" s="553">
        <v>0</v>
      </c>
      <c r="N169" s="553">
        <v>0</v>
      </c>
    </row>
    <row r="170" spans="1:14" s="504" customFormat="1" ht="15" customHeight="1">
      <c r="A170" s="959"/>
      <c r="B170" s="960"/>
      <c r="C170" s="961"/>
      <c r="D170" s="960"/>
      <c r="E170" s="965"/>
      <c r="F170" s="953"/>
      <c r="G170" s="551" t="s">
        <v>14</v>
      </c>
      <c r="H170" s="552">
        <f>I170+L170</f>
        <v>149883</v>
      </c>
      <c r="I170" s="553">
        <f>J170+K170</f>
        <v>149883</v>
      </c>
      <c r="J170" s="553">
        <v>0</v>
      </c>
      <c r="K170" s="553">
        <v>149883</v>
      </c>
      <c r="L170" s="553">
        <f>M170+N170</f>
        <v>0</v>
      </c>
      <c r="M170" s="553">
        <v>0</v>
      </c>
      <c r="N170" s="553">
        <v>0</v>
      </c>
    </row>
    <row r="171" spans="1:14" s="504" customFormat="1" ht="15" customHeight="1">
      <c r="A171" s="977"/>
      <c r="B171" s="1033"/>
      <c r="C171" s="979"/>
      <c r="D171" s="1034"/>
      <c r="E171" s="966"/>
      <c r="F171" s="955"/>
      <c r="G171" s="551" t="s">
        <v>15</v>
      </c>
      <c r="H171" s="584">
        <f>I171+L171</f>
        <v>149883</v>
      </c>
      <c r="I171" s="585">
        <f>J171+K171</f>
        <v>149883</v>
      </c>
      <c r="J171" s="585">
        <f>J169+J170</f>
        <v>0</v>
      </c>
      <c r="K171" s="585">
        <f>K169+K170</f>
        <v>149883</v>
      </c>
      <c r="L171" s="585">
        <f>M171+N171</f>
        <v>0</v>
      </c>
      <c r="M171" s="585">
        <f>M169+M170</f>
        <v>0</v>
      </c>
      <c r="N171" s="585">
        <f>N169+N170</f>
        <v>0</v>
      </c>
    </row>
    <row r="172" spans="1:14" s="516" customFormat="1" ht="15" customHeight="1" hidden="1">
      <c r="A172" s="1021" t="s">
        <v>732</v>
      </c>
      <c r="B172" s="1022"/>
      <c r="C172" s="1022"/>
      <c r="D172" s="1022"/>
      <c r="E172" s="1022"/>
      <c r="F172" s="1023"/>
      <c r="G172" s="581" t="s">
        <v>13</v>
      </c>
      <c r="H172" s="582">
        <f t="shared" si="31"/>
        <v>2550000</v>
      </c>
      <c r="I172" s="583">
        <f t="shared" si="32"/>
        <v>2550000</v>
      </c>
      <c r="J172" s="583">
        <f aca="true" t="shared" si="50" ref="J172:K174">J175</f>
        <v>0</v>
      </c>
      <c r="K172" s="583">
        <f t="shared" si="50"/>
        <v>2550000</v>
      </c>
      <c r="L172" s="583">
        <f t="shared" si="33"/>
        <v>0</v>
      </c>
      <c r="M172" s="583">
        <f aca="true" t="shared" si="51" ref="M172:N174">M175</f>
        <v>0</v>
      </c>
      <c r="N172" s="583">
        <f t="shared" si="51"/>
        <v>0</v>
      </c>
    </row>
    <row r="173" spans="1:14" s="516" customFormat="1" ht="15" customHeight="1" hidden="1">
      <c r="A173" s="1024"/>
      <c r="B173" s="1025"/>
      <c r="C173" s="1025"/>
      <c r="D173" s="1025"/>
      <c r="E173" s="1025"/>
      <c r="F173" s="1026"/>
      <c r="G173" s="581" t="s">
        <v>14</v>
      </c>
      <c r="H173" s="582">
        <f t="shared" si="31"/>
        <v>0</v>
      </c>
      <c r="I173" s="583">
        <f t="shared" si="32"/>
        <v>0</v>
      </c>
      <c r="J173" s="583">
        <f t="shared" si="50"/>
        <v>0</v>
      </c>
      <c r="K173" s="583">
        <f t="shared" si="50"/>
        <v>0</v>
      </c>
      <c r="L173" s="583">
        <f t="shared" si="33"/>
        <v>0</v>
      </c>
      <c r="M173" s="583">
        <f t="shared" si="51"/>
        <v>0</v>
      </c>
      <c r="N173" s="583">
        <f t="shared" si="51"/>
        <v>0</v>
      </c>
    </row>
    <row r="174" spans="1:14" s="516" customFormat="1" ht="15" customHeight="1" hidden="1">
      <c r="A174" s="1027"/>
      <c r="B174" s="1028"/>
      <c r="C174" s="1028"/>
      <c r="D174" s="1028"/>
      <c r="E174" s="1028"/>
      <c r="F174" s="1029"/>
      <c r="G174" s="581" t="s">
        <v>15</v>
      </c>
      <c r="H174" s="582">
        <f t="shared" si="31"/>
        <v>2550000</v>
      </c>
      <c r="I174" s="583">
        <f t="shared" si="32"/>
        <v>2550000</v>
      </c>
      <c r="J174" s="583">
        <f t="shared" si="50"/>
        <v>0</v>
      </c>
      <c r="K174" s="583">
        <f t="shared" si="50"/>
        <v>2550000</v>
      </c>
      <c r="L174" s="583">
        <f t="shared" si="33"/>
        <v>0</v>
      </c>
      <c r="M174" s="583">
        <f t="shared" si="51"/>
        <v>0</v>
      </c>
      <c r="N174" s="583">
        <f t="shared" si="51"/>
        <v>0</v>
      </c>
    </row>
    <row r="175" spans="1:14" s="504" customFormat="1" ht="15" customHeight="1" hidden="1">
      <c r="A175" s="968" t="s">
        <v>250</v>
      </c>
      <c r="B175" s="969"/>
      <c r="C175" s="970" t="s">
        <v>257</v>
      </c>
      <c r="D175" s="971"/>
      <c r="E175" s="950" t="s">
        <v>704</v>
      </c>
      <c r="F175" s="951"/>
      <c r="G175" s="551" t="s">
        <v>13</v>
      </c>
      <c r="H175" s="584">
        <f t="shared" si="31"/>
        <v>2550000</v>
      </c>
      <c r="I175" s="585">
        <f t="shared" si="32"/>
        <v>2550000</v>
      </c>
      <c r="J175" s="585">
        <v>0</v>
      </c>
      <c r="K175" s="585">
        <v>2550000</v>
      </c>
      <c r="L175" s="585">
        <f t="shared" si="33"/>
        <v>0</v>
      </c>
      <c r="M175" s="585">
        <v>0</v>
      </c>
      <c r="N175" s="585">
        <v>0</v>
      </c>
    </row>
    <row r="176" spans="1:14" s="504" customFormat="1" ht="15" customHeight="1" hidden="1">
      <c r="A176" s="1030"/>
      <c r="B176" s="1031"/>
      <c r="C176" s="1032"/>
      <c r="D176" s="1031"/>
      <c r="E176" s="1002"/>
      <c r="F176" s="953"/>
      <c r="G176" s="551" t="s">
        <v>14</v>
      </c>
      <c r="H176" s="584">
        <f t="shared" si="31"/>
        <v>0</v>
      </c>
      <c r="I176" s="585">
        <f t="shared" si="32"/>
        <v>0</v>
      </c>
      <c r="J176" s="585">
        <v>0</v>
      </c>
      <c r="K176" s="585">
        <v>0</v>
      </c>
      <c r="L176" s="585">
        <f t="shared" si="33"/>
        <v>0</v>
      </c>
      <c r="M176" s="585">
        <v>0</v>
      </c>
      <c r="N176" s="585">
        <v>0</v>
      </c>
    </row>
    <row r="177" spans="1:14" s="504" customFormat="1" ht="15" customHeight="1" hidden="1">
      <c r="A177" s="977"/>
      <c r="B177" s="1033"/>
      <c r="C177" s="979"/>
      <c r="D177" s="1034"/>
      <c r="E177" s="954"/>
      <c r="F177" s="955"/>
      <c r="G177" s="551" t="s">
        <v>15</v>
      </c>
      <c r="H177" s="584">
        <f>I177+L177</f>
        <v>2550000</v>
      </c>
      <c r="I177" s="585">
        <f>J177+K177</f>
        <v>2550000</v>
      </c>
      <c r="J177" s="585">
        <f>J175+J176</f>
        <v>0</v>
      </c>
      <c r="K177" s="585">
        <f>K175+K176</f>
        <v>2550000</v>
      </c>
      <c r="L177" s="585">
        <f>M177+N177</f>
        <v>0</v>
      </c>
      <c r="M177" s="585">
        <f>M175+M176</f>
        <v>0</v>
      </c>
      <c r="N177" s="585">
        <f>N175+N176</f>
        <v>0</v>
      </c>
    </row>
    <row r="178" spans="1:14" s="540" customFormat="1" ht="5.25" customHeight="1">
      <c r="A178" s="555"/>
      <c r="B178" s="556"/>
      <c r="C178" s="556"/>
      <c r="D178" s="556"/>
      <c r="E178" s="557"/>
      <c r="F178" s="558"/>
      <c r="G178" s="557"/>
      <c r="H178" s="559"/>
      <c r="I178" s="560"/>
      <c r="J178" s="560"/>
      <c r="K178" s="560"/>
      <c r="L178" s="560"/>
      <c r="M178" s="560"/>
      <c r="N178" s="561"/>
    </row>
    <row r="179" spans="1:14" s="544" customFormat="1" ht="15.75" customHeight="1">
      <c r="A179" s="1020" t="s">
        <v>733</v>
      </c>
      <c r="B179" s="1020"/>
      <c r="C179" s="1020"/>
      <c r="D179" s="1020"/>
      <c r="E179" s="1020"/>
      <c r="F179" s="1020"/>
      <c r="G179" s="541" t="s">
        <v>13</v>
      </c>
      <c r="H179" s="566">
        <f>I179+L179</f>
        <v>173973602</v>
      </c>
      <c r="I179" s="566">
        <f>J179+K179</f>
        <v>126280415</v>
      </c>
      <c r="J179" s="566">
        <f aca="true" t="shared" si="52" ref="J179:K181">J183+J191+J325+J336+J344</f>
        <v>95762930</v>
      </c>
      <c r="K179" s="566">
        <f t="shared" si="52"/>
        <v>30517485</v>
      </c>
      <c r="L179" s="566">
        <f>M179+N179</f>
        <v>47693187</v>
      </c>
      <c r="M179" s="566">
        <f aca="true" t="shared" si="53" ref="M179:N181">M183+M191+M325+M336+M344</f>
        <v>4804120</v>
      </c>
      <c r="N179" s="566">
        <f t="shared" si="53"/>
        <v>42889067</v>
      </c>
    </row>
    <row r="180" spans="1:14" s="544" customFormat="1" ht="15.75" customHeight="1">
      <c r="A180" s="1020"/>
      <c r="B180" s="1020"/>
      <c r="C180" s="1020"/>
      <c r="D180" s="1020"/>
      <c r="E180" s="1020"/>
      <c r="F180" s="1020"/>
      <c r="G180" s="541" t="s">
        <v>14</v>
      </c>
      <c r="H180" s="566">
        <f>I180+L180</f>
        <v>12004668</v>
      </c>
      <c r="I180" s="566">
        <f>J180+K180</f>
        <v>14178964</v>
      </c>
      <c r="J180" s="566">
        <f t="shared" si="52"/>
        <v>11656394</v>
      </c>
      <c r="K180" s="566">
        <f t="shared" si="52"/>
        <v>2522570</v>
      </c>
      <c r="L180" s="566">
        <f>M180+N180</f>
        <v>-2174296</v>
      </c>
      <c r="M180" s="566">
        <f t="shared" si="53"/>
        <v>-4125079</v>
      </c>
      <c r="N180" s="566">
        <f t="shared" si="53"/>
        <v>1950783</v>
      </c>
    </row>
    <row r="181" spans="1:14" s="544" customFormat="1" ht="15.75" customHeight="1">
      <c r="A181" s="1020"/>
      <c r="B181" s="1020"/>
      <c r="C181" s="1020"/>
      <c r="D181" s="1020"/>
      <c r="E181" s="1020"/>
      <c r="F181" s="1020"/>
      <c r="G181" s="541" t="s">
        <v>15</v>
      </c>
      <c r="H181" s="566">
        <f>I181+L181</f>
        <v>185978270</v>
      </c>
      <c r="I181" s="566">
        <f>J181+K181</f>
        <v>140459379</v>
      </c>
      <c r="J181" s="566">
        <f t="shared" si="52"/>
        <v>107419324</v>
      </c>
      <c r="K181" s="566">
        <f t="shared" si="52"/>
        <v>33040055</v>
      </c>
      <c r="L181" s="566">
        <f>M181+N181</f>
        <v>45518891</v>
      </c>
      <c r="M181" s="566">
        <f t="shared" si="53"/>
        <v>679041</v>
      </c>
      <c r="N181" s="566">
        <f t="shared" si="53"/>
        <v>44839850</v>
      </c>
    </row>
    <row r="182" spans="1:14" s="540" customFormat="1" ht="6.75" customHeight="1" hidden="1">
      <c r="A182" s="545"/>
      <c r="B182" s="546"/>
      <c r="C182" s="546"/>
      <c r="D182" s="546"/>
      <c r="E182" s="547"/>
      <c r="F182" s="547"/>
      <c r="G182" s="547"/>
      <c r="H182" s="548"/>
      <c r="I182" s="549"/>
      <c r="J182" s="549"/>
      <c r="K182" s="549"/>
      <c r="L182" s="549"/>
      <c r="M182" s="549"/>
      <c r="N182" s="550"/>
    </row>
    <row r="183" spans="1:14" s="597" customFormat="1" ht="15" customHeight="1" hidden="1">
      <c r="A183" s="995" t="s">
        <v>734</v>
      </c>
      <c r="B183" s="996"/>
      <c r="C183" s="996"/>
      <c r="D183" s="996"/>
      <c r="E183" s="996"/>
      <c r="F183" s="996"/>
      <c r="G183" s="594" t="s">
        <v>13</v>
      </c>
      <c r="H183" s="595">
        <f>I183+L183</f>
        <v>14909</v>
      </c>
      <c r="I183" s="596">
        <f>J183+K183</f>
        <v>0</v>
      </c>
      <c r="J183" s="596">
        <f aca="true" t="shared" si="54" ref="J183:K185">J187</f>
        <v>0</v>
      </c>
      <c r="K183" s="596">
        <f t="shared" si="54"/>
        <v>0</v>
      </c>
      <c r="L183" s="596">
        <f>M183+N183</f>
        <v>14909</v>
      </c>
      <c r="M183" s="596">
        <f aca="true" t="shared" si="55" ref="M183:N185">M187</f>
        <v>14909</v>
      </c>
      <c r="N183" s="596">
        <f t="shared" si="55"/>
        <v>0</v>
      </c>
    </row>
    <row r="184" spans="1:14" s="597" customFormat="1" ht="15" customHeight="1" hidden="1">
      <c r="A184" s="1016"/>
      <c r="B184" s="1017"/>
      <c r="C184" s="1017"/>
      <c r="D184" s="1017"/>
      <c r="E184" s="1017"/>
      <c r="F184" s="1017"/>
      <c r="G184" s="594" t="s">
        <v>14</v>
      </c>
      <c r="H184" s="595">
        <f>I184+L184</f>
        <v>0</v>
      </c>
      <c r="I184" s="596">
        <f>J184+K184</f>
        <v>0</v>
      </c>
      <c r="J184" s="596">
        <f t="shared" si="54"/>
        <v>0</v>
      </c>
      <c r="K184" s="596">
        <f t="shared" si="54"/>
        <v>0</v>
      </c>
      <c r="L184" s="596">
        <f>M184+N184</f>
        <v>0</v>
      </c>
      <c r="M184" s="596">
        <f t="shared" si="55"/>
        <v>0</v>
      </c>
      <c r="N184" s="596">
        <f t="shared" si="55"/>
        <v>0</v>
      </c>
    </row>
    <row r="185" spans="1:14" s="597" customFormat="1" ht="15" customHeight="1" hidden="1">
      <c r="A185" s="1018"/>
      <c r="B185" s="1019"/>
      <c r="C185" s="1019"/>
      <c r="D185" s="1019"/>
      <c r="E185" s="1019"/>
      <c r="F185" s="1019"/>
      <c r="G185" s="598" t="s">
        <v>15</v>
      </c>
      <c r="H185" s="595">
        <f>I185+L185</f>
        <v>14909</v>
      </c>
      <c r="I185" s="596">
        <f>J185+K185</f>
        <v>0</v>
      </c>
      <c r="J185" s="596">
        <f t="shared" si="54"/>
        <v>0</v>
      </c>
      <c r="K185" s="596">
        <f t="shared" si="54"/>
        <v>0</v>
      </c>
      <c r="L185" s="596">
        <f>M185+N185</f>
        <v>14909</v>
      </c>
      <c r="M185" s="596">
        <f t="shared" si="55"/>
        <v>14909</v>
      </c>
      <c r="N185" s="596">
        <f t="shared" si="55"/>
        <v>0</v>
      </c>
    </row>
    <row r="186" spans="1:14" s="580" customFormat="1" ht="6.75" customHeight="1" hidden="1">
      <c r="A186" s="599"/>
      <c r="B186" s="600"/>
      <c r="C186" s="575"/>
      <c r="D186" s="575"/>
      <c r="E186" s="575"/>
      <c r="F186" s="575"/>
      <c r="G186" s="576"/>
      <c r="H186" s="577"/>
      <c r="I186" s="578"/>
      <c r="J186" s="578"/>
      <c r="K186" s="578"/>
      <c r="L186" s="578"/>
      <c r="M186" s="578"/>
      <c r="N186" s="579"/>
    </row>
    <row r="187" spans="1:14" s="504" customFormat="1" ht="15" customHeight="1" hidden="1">
      <c r="A187" s="968" t="s">
        <v>110</v>
      </c>
      <c r="B187" s="969"/>
      <c r="C187" s="961" t="s">
        <v>206</v>
      </c>
      <c r="D187" s="963"/>
      <c r="E187" s="601" t="s">
        <v>735</v>
      </c>
      <c r="F187" s="1003" t="s">
        <v>736</v>
      </c>
      <c r="G187" s="601" t="s">
        <v>13</v>
      </c>
      <c r="H187" s="584">
        <f>I187+L187</f>
        <v>14909</v>
      </c>
      <c r="I187" s="585">
        <f>J187+K187</f>
        <v>0</v>
      </c>
      <c r="J187" s="585">
        <v>0</v>
      </c>
      <c r="K187" s="585">
        <v>0</v>
      </c>
      <c r="L187" s="585">
        <f>M187+N187</f>
        <v>14909</v>
      </c>
      <c r="M187" s="585">
        <v>14909</v>
      </c>
      <c r="N187" s="585">
        <v>0</v>
      </c>
    </row>
    <row r="188" spans="1:14" s="504" customFormat="1" ht="15" customHeight="1" hidden="1">
      <c r="A188" s="959"/>
      <c r="B188" s="960"/>
      <c r="C188" s="961"/>
      <c r="D188" s="960"/>
      <c r="E188" s="602"/>
      <c r="F188" s="1014"/>
      <c r="G188" s="601" t="s">
        <v>14</v>
      </c>
      <c r="H188" s="584">
        <f>I188+L188</f>
        <v>0</v>
      </c>
      <c r="I188" s="585">
        <f>J188+K188</f>
        <v>0</v>
      </c>
      <c r="J188" s="585">
        <v>0</v>
      </c>
      <c r="K188" s="585">
        <v>0</v>
      </c>
      <c r="L188" s="585">
        <f>M188+N188</f>
        <v>0</v>
      </c>
      <c r="M188" s="585">
        <v>0</v>
      </c>
      <c r="N188" s="585">
        <v>0</v>
      </c>
    </row>
    <row r="189" spans="1:14" s="504" customFormat="1" ht="15" customHeight="1" hidden="1">
      <c r="A189" s="959"/>
      <c r="B189" s="960"/>
      <c r="C189" s="961"/>
      <c r="D189" s="960"/>
      <c r="E189" s="602"/>
      <c r="F189" s="1015"/>
      <c r="G189" s="601" t="s">
        <v>15</v>
      </c>
      <c r="H189" s="584">
        <f>I189+L189</f>
        <v>14909</v>
      </c>
      <c r="I189" s="585">
        <f>J189+K189</f>
        <v>0</v>
      </c>
      <c r="J189" s="585">
        <f>J187+J188</f>
        <v>0</v>
      </c>
      <c r="K189" s="585">
        <f>K187+K188</f>
        <v>0</v>
      </c>
      <c r="L189" s="585">
        <f>M189+N189</f>
        <v>14909</v>
      </c>
      <c r="M189" s="585">
        <f>M187+M188</f>
        <v>14909</v>
      </c>
      <c r="N189" s="585">
        <f>N187+N188</f>
        <v>0</v>
      </c>
    </row>
    <row r="190" spans="1:14" s="580" customFormat="1" ht="6" customHeight="1">
      <c r="A190" s="599"/>
      <c r="B190" s="600"/>
      <c r="C190" s="575"/>
      <c r="D190" s="575"/>
      <c r="E190" s="575"/>
      <c r="F190" s="575"/>
      <c r="G190" s="576"/>
      <c r="H190" s="577"/>
      <c r="I190" s="578"/>
      <c r="J190" s="578"/>
      <c r="K190" s="578"/>
      <c r="L190" s="578"/>
      <c r="M190" s="578"/>
      <c r="N190" s="579"/>
    </row>
    <row r="191" spans="1:14" s="597" customFormat="1" ht="15.75" customHeight="1">
      <c r="A191" s="995" t="s">
        <v>737</v>
      </c>
      <c r="B191" s="996"/>
      <c r="C191" s="996"/>
      <c r="D191" s="996"/>
      <c r="E191" s="996"/>
      <c r="F191" s="996"/>
      <c r="G191" s="594" t="s">
        <v>13</v>
      </c>
      <c r="H191" s="595">
        <f>I191+L191</f>
        <v>125376014</v>
      </c>
      <c r="I191" s="596">
        <f>J191+K191</f>
        <v>90237912</v>
      </c>
      <c r="J191" s="596">
        <f aca="true" t="shared" si="56" ref="J191:K193">J195+J198+J201+J204+J207+J210+J213+J216+J219+J222+J225+J228+J231+J234+J237+J240+J243+J246+J249+J252+J255+J258+J261+J264+J267+J270+J273+J276+J279+J282+J285+J288+J291+J294+J297+J300+J303+J306+J309+J312+J315+J318+J321</f>
        <v>70822672</v>
      </c>
      <c r="K191" s="596">
        <f t="shared" si="56"/>
        <v>19415240</v>
      </c>
      <c r="L191" s="596">
        <f>M191+N191</f>
        <v>35138102</v>
      </c>
      <c r="M191" s="596">
        <f aca="true" t="shared" si="57" ref="M191:N193">M195+M198+M201+M204+M207+M210+M213+M216+M219+M222+M225+M228+M231+M234+M237+M240+M243+M246+M249+M252+M255+M258+M261+M264+M267+M270+M273+M276+M279+M282+M285+M288+M291+M294+M297+M300+M303+M306+M309+M312+M315+M318+M321</f>
        <v>4789211</v>
      </c>
      <c r="N191" s="596">
        <f t="shared" si="57"/>
        <v>30348891</v>
      </c>
    </row>
    <row r="192" spans="1:14" s="597" customFormat="1" ht="15.75" customHeight="1">
      <c r="A192" s="1016"/>
      <c r="B192" s="1017"/>
      <c r="C192" s="1017"/>
      <c r="D192" s="1017"/>
      <c r="E192" s="1017"/>
      <c r="F192" s="1017"/>
      <c r="G192" s="594" t="s">
        <v>14</v>
      </c>
      <c r="H192" s="595">
        <f>I192+L192</f>
        <v>7707986</v>
      </c>
      <c r="I192" s="596">
        <f>J192+K192</f>
        <v>10215554</v>
      </c>
      <c r="J192" s="596">
        <f t="shared" si="56"/>
        <v>8480319</v>
      </c>
      <c r="K192" s="596">
        <f t="shared" si="56"/>
        <v>1735235</v>
      </c>
      <c r="L192" s="596">
        <f>M192+N192</f>
        <v>-2507568</v>
      </c>
      <c r="M192" s="596">
        <f t="shared" si="57"/>
        <v>-4175079</v>
      </c>
      <c r="N192" s="596">
        <f t="shared" si="57"/>
        <v>1667511</v>
      </c>
    </row>
    <row r="193" spans="1:14" s="597" customFormat="1" ht="15.75" customHeight="1">
      <c r="A193" s="1018"/>
      <c r="B193" s="1019"/>
      <c r="C193" s="1019"/>
      <c r="D193" s="1019"/>
      <c r="E193" s="1019"/>
      <c r="F193" s="1019"/>
      <c r="G193" s="598" t="s">
        <v>15</v>
      </c>
      <c r="H193" s="595">
        <f>I193+L193</f>
        <v>133084000</v>
      </c>
      <c r="I193" s="596">
        <f>J193+K193</f>
        <v>100453466</v>
      </c>
      <c r="J193" s="596">
        <f t="shared" si="56"/>
        <v>79302991</v>
      </c>
      <c r="K193" s="596">
        <f t="shared" si="56"/>
        <v>21150475</v>
      </c>
      <c r="L193" s="596">
        <f>M193+N193</f>
        <v>32630534</v>
      </c>
      <c r="M193" s="596">
        <f t="shared" si="57"/>
        <v>614132</v>
      </c>
      <c r="N193" s="596">
        <f t="shared" si="57"/>
        <v>32016402</v>
      </c>
    </row>
    <row r="194" spans="1:14" s="580" customFormat="1" ht="6.75" customHeight="1">
      <c r="A194" s="599"/>
      <c r="B194" s="600"/>
      <c r="C194" s="575"/>
      <c r="D194" s="575"/>
      <c r="E194" s="575"/>
      <c r="F194" s="575"/>
      <c r="G194" s="576"/>
      <c r="H194" s="577"/>
      <c r="I194" s="578"/>
      <c r="J194" s="578"/>
      <c r="K194" s="578"/>
      <c r="L194" s="578"/>
      <c r="M194" s="578"/>
      <c r="N194" s="579"/>
    </row>
    <row r="195" spans="1:14" s="504" customFormat="1" ht="15" customHeight="1" hidden="1">
      <c r="A195" s="968" t="s">
        <v>110</v>
      </c>
      <c r="B195" s="969"/>
      <c r="C195" s="970" t="s">
        <v>112</v>
      </c>
      <c r="D195" s="971"/>
      <c r="E195" s="601" t="s">
        <v>738</v>
      </c>
      <c r="F195" s="1003" t="s">
        <v>739</v>
      </c>
      <c r="G195" s="601" t="s">
        <v>13</v>
      </c>
      <c r="H195" s="584">
        <f>I195+L195</f>
        <v>10497</v>
      </c>
      <c r="I195" s="585">
        <f>J195+K195</f>
        <v>0</v>
      </c>
      <c r="J195" s="585">
        <v>0</v>
      </c>
      <c r="K195" s="585">
        <v>0</v>
      </c>
      <c r="L195" s="585">
        <f>M195+N195</f>
        <v>10497</v>
      </c>
      <c r="M195" s="585">
        <v>0</v>
      </c>
      <c r="N195" s="585">
        <v>10497</v>
      </c>
    </row>
    <row r="196" spans="1:14" s="504" customFormat="1" ht="15" customHeight="1" hidden="1">
      <c r="A196" s="959"/>
      <c r="B196" s="960"/>
      <c r="C196" s="961"/>
      <c r="D196" s="960"/>
      <c r="E196" s="602"/>
      <c r="F196" s="1014"/>
      <c r="G196" s="601" t="s">
        <v>14</v>
      </c>
      <c r="H196" s="584">
        <f>I196+L196</f>
        <v>0</v>
      </c>
      <c r="I196" s="585">
        <f>J196+K196</f>
        <v>0</v>
      </c>
      <c r="J196" s="585">
        <v>0</v>
      </c>
      <c r="K196" s="585">
        <v>0</v>
      </c>
      <c r="L196" s="585">
        <f>M196+N196</f>
        <v>0</v>
      </c>
      <c r="M196" s="585">
        <v>0</v>
      </c>
      <c r="N196" s="585">
        <v>0</v>
      </c>
    </row>
    <row r="197" spans="1:14" s="504" customFormat="1" ht="15" customHeight="1" hidden="1">
      <c r="A197" s="959"/>
      <c r="B197" s="960"/>
      <c r="C197" s="961"/>
      <c r="D197" s="960"/>
      <c r="E197" s="602"/>
      <c r="F197" s="1015"/>
      <c r="G197" s="601" t="s">
        <v>15</v>
      </c>
      <c r="H197" s="584">
        <f>I197+L197</f>
        <v>10497</v>
      </c>
      <c r="I197" s="585">
        <f>J197+K197</f>
        <v>0</v>
      </c>
      <c r="J197" s="585">
        <f>J195+J196</f>
        <v>0</v>
      </c>
      <c r="K197" s="585">
        <f>K195+K196</f>
        <v>0</v>
      </c>
      <c r="L197" s="585">
        <f>M197+N197</f>
        <v>10497</v>
      </c>
      <c r="M197" s="585">
        <f>M195+M196</f>
        <v>0</v>
      </c>
      <c r="N197" s="585">
        <f>N195+N196</f>
        <v>10497</v>
      </c>
    </row>
    <row r="198" spans="1:14" s="504" customFormat="1" ht="15" customHeight="1" hidden="1">
      <c r="A198" s="959"/>
      <c r="B198" s="962"/>
      <c r="C198" s="961"/>
      <c r="D198" s="963"/>
      <c r="E198" s="601" t="s">
        <v>740</v>
      </c>
      <c r="F198" s="1003" t="s">
        <v>741</v>
      </c>
      <c r="G198" s="601" t="s">
        <v>13</v>
      </c>
      <c r="H198" s="584">
        <f aca="true" t="shared" si="58" ref="H198:H264">I198+L198</f>
        <v>679503</v>
      </c>
      <c r="I198" s="585">
        <f aca="true" t="shared" si="59" ref="I198:I264">J198+K198</f>
        <v>0</v>
      </c>
      <c r="J198" s="585">
        <v>0</v>
      </c>
      <c r="K198" s="585">
        <v>0</v>
      </c>
      <c r="L198" s="585">
        <f aca="true" t="shared" si="60" ref="L198:L264">M198+N198</f>
        <v>679503</v>
      </c>
      <c r="M198" s="585">
        <v>0</v>
      </c>
      <c r="N198" s="585">
        <v>679503</v>
      </c>
    </row>
    <row r="199" spans="1:14" s="504" customFormat="1" ht="15" customHeight="1" hidden="1">
      <c r="A199" s="959"/>
      <c r="B199" s="960"/>
      <c r="C199" s="961"/>
      <c r="D199" s="960"/>
      <c r="E199" s="602"/>
      <c r="F199" s="1014"/>
      <c r="G199" s="601" t="s">
        <v>14</v>
      </c>
      <c r="H199" s="584">
        <f t="shared" si="58"/>
        <v>0</v>
      </c>
      <c r="I199" s="585">
        <f t="shared" si="59"/>
        <v>0</v>
      </c>
      <c r="J199" s="585">
        <v>0</v>
      </c>
      <c r="K199" s="585">
        <v>0</v>
      </c>
      <c r="L199" s="585">
        <f t="shared" si="60"/>
        <v>0</v>
      </c>
      <c r="M199" s="585">
        <v>0</v>
      </c>
      <c r="N199" s="585">
        <v>0</v>
      </c>
    </row>
    <row r="200" spans="1:14" s="504" customFormat="1" ht="15" customHeight="1" hidden="1">
      <c r="A200" s="959"/>
      <c r="B200" s="960"/>
      <c r="C200" s="961"/>
      <c r="D200" s="960"/>
      <c r="E200" s="602"/>
      <c r="F200" s="1015"/>
      <c r="G200" s="601" t="s">
        <v>15</v>
      </c>
      <c r="H200" s="584">
        <f t="shared" si="58"/>
        <v>679503</v>
      </c>
      <c r="I200" s="585">
        <f t="shared" si="59"/>
        <v>0</v>
      </c>
      <c r="J200" s="585">
        <f>J198+J199</f>
        <v>0</v>
      </c>
      <c r="K200" s="585">
        <f>K198+K199</f>
        <v>0</v>
      </c>
      <c r="L200" s="585">
        <f t="shared" si="60"/>
        <v>679503</v>
      </c>
      <c r="M200" s="585">
        <f>M198+M199</f>
        <v>0</v>
      </c>
      <c r="N200" s="585">
        <f>N198+N199</f>
        <v>679503</v>
      </c>
    </row>
    <row r="201" spans="1:14" s="593" customFormat="1" ht="15" customHeight="1">
      <c r="A201" s="946" t="s">
        <v>110</v>
      </c>
      <c r="B201" s="947"/>
      <c r="C201" s="974" t="s">
        <v>112</v>
      </c>
      <c r="D201" s="975"/>
      <c r="E201" s="603" t="s">
        <v>740</v>
      </c>
      <c r="F201" s="1003" t="s">
        <v>742</v>
      </c>
      <c r="G201" s="601" t="s">
        <v>13</v>
      </c>
      <c r="H201" s="584">
        <f t="shared" si="58"/>
        <v>9914358</v>
      </c>
      <c r="I201" s="585">
        <f t="shared" si="59"/>
        <v>0</v>
      </c>
      <c r="J201" s="585">
        <v>0</v>
      </c>
      <c r="K201" s="585">
        <v>0</v>
      </c>
      <c r="L201" s="585">
        <f t="shared" si="60"/>
        <v>9914358</v>
      </c>
      <c r="M201" s="585">
        <v>0</v>
      </c>
      <c r="N201" s="585">
        <v>9914358</v>
      </c>
    </row>
    <row r="202" spans="1:14" s="593" customFormat="1" ht="15" customHeight="1">
      <c r="A202" s="972"/>
      <c r="B202" s="1013"/>
      <c r="C202" s="974"/>
      <c r="D202" s="1013"/>
      <c r="E202" s="603"/>
      <c r="F202" s="1014"/>
      <c r="G202" s="601" t="s">
        <v>14</v>
      </c>
      <c r="H202" s="584">
        <f t="shared" si="58"/>
        <v>112623</v>
      </c>
      <c r="I202" s="585">
        <f t="shared" si="59"/>
        <v>0</v>
      </c>
      <c r="J202" s="585">
        <v>0</v>
      </c>
      <c r="K202" s="585">
        <v>0</v>
      </c>
      <c r="L202" s="585">
        <f t="shared" si="60"/>
        <v>112623</v>
      </c>
      <c r="M202" s="585">
        <v>0</v>
      </c>
      <c r="N202" s="585">
        <v>112623</v>
      </c>
    </row>
    <row r="203" spans="1:14" s="504" customFormat="1" ht="15" customHeight="1">
      <c r="A203" s="977"/>
      <c r="B203" s="978"/>
      <c r="C203" s="979"/>
      <c r="D203" s="978"/>
      <c r="E203" s="604"/>
      <c r="F203" s="1015"/>
      <c r="G203" s="605" t="s">
        <v>15</v>
      </c>
      <c r="H203" s="552">
        <f t="shared" si="58"/>
        <v>10026981</v>
      </c>
      <c r="I203" s="553">
        <f t="shared" si="59"/>
        <v>0</v>
      </c>
      <c r="J203" s="553">
        <f>J201+J202</f>
        <v>0</v>
      </c>
      <c r="K203" s="553">
        <f>K201+K202</f>
        <v>0</v>
      </c>
      <c r="L203" s="553">
        <f t="shared" si="60"/>
        <v>10026981</v>
      </c>
      <c r="M203" s="553">
        <f>M201+M202</f>
        <v>0</v>
      </c>
      <c r="N203" s="553">
        <f>N201+N202</f>
        <v>10026981</v>
      </c>
    </row>
    <row r="204" spans="1:14" s="504" customFormat="1" ht="15" customHeight="1" hidden="1">
      <c r="A204" s="959"/>
      <c r="B204" s="962"/>
      <c r="C204" s="961"/>
      <c r="D204" s="963"/>
      <c r="E204" s="602" t="s">
        <v>743</v>
      </c>
      <c r="F204" s="1014" t="s">
        <v>744</v>
      </c>
      <c r="G204" s="602" t="s">
        <v>13</v>
      </c>
      <c r="H204" s="606">
        <f t="shared" si="58"/>
        <v>670000</v>
      </c>
      <c r="I204" s="607">
        <f t="shared" si="59"/>
        <v>485000</v>
      </c>
      <c r="J204" s="607">
        <v>0</v>
      </c>
      <c r="K204" s="607">
        <f>160000+325000</f>
        <v>485000</v>
      </c>
      <c r="L204" s="607">
        <f t="shared" si="60"/>
        <v>185000</v>
      </c>
      <c r="M204" s="607">
        <v>0</v>
      </c>
      <c r="N204" s="607">
        <v>185000</v>
      </c>
    </row>
    <row r="205" spans="1:14" s="504" customFormat="1" ht="15" customHeight="1" hidden="1">
      <c r="A205" s="959"/>
      <c r="B205" s="962"/>
      <c r="C205" s="961"/>
      <c r="D205" s="963"/>
      <c r="E205" s="602"/>
      <c r="F205" s="1014"/>
      <c r="G205" s="601" t="s">
        <v>14</v>
      </c>
      <c r="H205" s="552">
        <f t="shared" si="58"/>
        <v>0</v>
      </c>
      <c r="I205" s="553">
        <f t="shared" si="59"/>
        <v>0</v>
      </c>
      <c r="J205" s="553">
        <v>0</v>
      </c>
      <c r="K205" s="553">
        <v>0</v>
      </c>
      <c r="L205" s="553">
        <f t="shared" si="60"/>
        <v>0</v>
      </c>
      <c r="M205" s="553">
        <v>0</v>
      </c>
      <c r="N205" s="553">
        <v>0</v>
      </c>
    </row>
    <row r="206" spans="1:14" s="504" customFormat="1" ht="15" customHeight="1" hidden="1">
      <c r="A206" s="959"/>
      <c r="B206" s="960"/>
      <c r="C206" s="961"/>
      <c r="D206" s="960"/>
      <c r="E206" s="602"/>
      <c r="F206" s="1015"/>
      <c r="G206" s="601" t="s">
        <v>15</v>
      </c>
      <c r="H206" s="584">
        <f t="shared" si="58"/>
        <v>670000</v>
      </c>
      <c r="I206" s="585">
        <f t="shared" si="59"/>
        <v>485000</v>
      </c>
      <c r="J206" s="585">
        <f>J204+J205</f>
        <v>0</v>
      </c>
      <c r="K206" s="585">
        <f>K204+K205</f>
        <v>485000</v>
      </c>
      <c r="L206" s="585">
        <f t="shared" si="60"/>
        <v>185000</v>
      </c>
      <c r="M206" s="585">
        <f>M204+M205</f>
        <v>0</v>
      </c>
      <c r="N206" s="585">
        <f>N204+N205</f>
        <v>185000</v>
      </c>
    </row>
    <row r="207" spans="1:14" s="593" customFormat="1" ht="15" customHeight="1" hidden="1">
      <c r="A207" s="946" t="s">
        <v>19</v>
      </c>
      <c r="B207" s="947"/>
      <c r="C207" s="948" t="s">
        <v>21</v>
      </c>
      <c r="D207" s="949"/>
      <c r="E207" s="608" t="s">
        <v>745</v>
      </c>
      <c r="F207" s="1009" t="s">
        <v>746</v>
      </c>
      <c r="G207" s="601" t="s">
        <v>13</v>
      </c>
      <c r="H207" s="552">
        <f t="shared" si="58"/>
        <v>289058</v>
      </c>
      <c r="I207" s="553">
        <f t="shared" si="59"/>
        <v>289058</v>
      </c>
      <c r="J207" s="553">
        <v>289058</v>
      </c>
      <c r="K207" s="553">
        <v>0</v>
      </c>
      <c r="L207" s="553">
        <f t="shared" si="60"/>
        <v>0</v>
      </c>
      <c r="M207" s="553">
        <v>0</v>
      </c>
      <c r="N207" s="553">
        <v>0</v>
      </c>
    </row>
    <row r="208" spans="1:14" s="593" customFormat="1" ht="15" customHeight="1" hidden="1">
      <c r="A208" s="972"/>
      <c r="B208" s="973"/>
      <c r="C208" s="974"/>
      <c r="D208" s="975"/>
      <c r="E208" s="603"/>
      <c r="F208" s="1010"/>
      <c r="G208" s="601" t="s">
        <v>14</v>
      </c>
      <c r="H208" s="552">
        <f t="shared" si="58"/>
        <v>0</v>
      </c>
      <c r="I208" s="553">
        <f t="shared" si="59"/>
        <v>0</v>
      </c>
      <c r="J208" s="553">
        <v>0</v>
      </c>
      <c r="K208" s="553">
        <v>0</v>
      </c>
      <c r="L208" s="553">
        <f t="shared" si="60"/>
        <v>0</v>
      </c>
      <c r="M208" s="553">
        <v>0</v>
      </c>
      <c r="N208" s="553">
        <v>0</v>
      </c>
    </row>
    <row r="209" spans="1:14" s="504" customFormat="1" ht="15" customHeight="1" hidden="1">
      <c r="A209" s="959"/>
      <c r="B209" s="960"/>
      <c r="C209" s="961"/>
      <c r="D209" s="960"/>
      <c r="E209" s="602"/>
      <c r="F209" s="1011"/>
      <c r="G209" s="601" t="s">
        <v>15</v>
      </c>
      <c r="H209" s="584">
        <f t="shared" si="58"/>
        <v>289058</v>
      </c>
      <c r="I209" s="585">
        <f t="shared" si="59"/>
        <v>289058</v>
      </c>
      <c r="J209" s="585">
        <f>J207+J208</f>
        <v>289058</v>
      </c>
      <c r="K209" s="585">
        <f>K207+K208</f>
        <v>0</v>
      </c>
      <c r="L209" s="585">
        <f t="shared" si="60"/>
        <v>0</v>
      </c>
      <c r="M209" s="585">
        <f>M207+M208</f>
        <v>0</v>
      </c>
      <c r="N209" s="585">
        <f>N207+N208</f>
        <v>0</v>
      </c>
    </row>
    <row r="210" spans="1:14" s="593" customFormat="1" ht="18" customHeight="1" hidden="1">
      <c r="A210" s="972"/>
      <c r="B210" s="973"/>
      <c r="C210" s="974"/>
      <c r="D210" s="975"/>
      <c r="E210" s="603"/>
      <c r="F210" s="1009" t="s">
        <v>747</v>
      </c>
      <c r="G210" s="609" t="s">
        <v>13</v>
      </c>
      <c r="H210" s="552">
        <f t="shared" si="58"/>
        <v>660000</v>
      </c>
      <c r="I210" s="553">
        <f t="shared" si="59"/>
        <v>660000</v>
      </c>
      <c r="J210" s="553">
        <v>660000</v>
      </c>
      <c r="K210" s="553">
        <v>0</v>
      </c>
      <c r="L210" s="553">
        <f t="shared" si="60"/>
        <v>0</v>
      </c>
      <c r="M210" s="553">
        <v>0</v>
      </c>
      <c r="N210" s="553">
        <v>0</v>
      </c>
    </row>
    <row r="211" spans="1:14" s="593" customFormat="1" ht="18" customHeight="1" hidden="1">
      <c r="A211" s="972"/>
      <c r="B211" s="973"/>
      <c r="C211" s="974"/>
      <c r="D211" s="975"/>
      <c r="E211" s="603"/>
      <c r="F211" s="1010"/>
      <c r="G211" s="609" t="s">
        <v>14</v>
      </c>
      <c r="H211" s="552">
        <f t="shared" si="58"/>
        <v>0</v>
      </c>
      <c r="I211" s="553">
        <f t="shared" si="59"/>
        <v>0</v>
      </c>
      <c r="J211" s="553">
        <v>0</v>
      </c>
      <c r="K211" s="553">
        <v>0</v>
      </c>
      <c r="L211" s="553">
        <f t="shared" si="60"/>
        <v>0</v>
      </c>
      <c r="M211" s="553">
        <v>0</v>
      </c>
      <c r="N211" s="553">
        <v>0</v>
      </c>
    </row>
    <row r="212" spans="1:14" s="504" customFormat="1" ht="18" customHeight="1" hidden="1">
      <c r="A212" s="959"/>
      <c r="B212" s="960"/>
      <c r="C212" s="961"/>
      <c r="D212" s="960"/>
      <c r="E212" s="602"/>
      <c r="F212" s="1011"/>
      <c r="G212" s="601" t="s">
        <v>15</v>
      </c>
      <c r="H212" s="584">
        <f t="shared" si="58"/>
        <v>660000</v>
      </c>
      <c r="I212" s="585">
        <f t="shared" si="59"/>
        <v>660000</v>
      </c>
      <c r="J212" s="585">
        <f>J210+J211</f>
        <v>660000</v>
      </c>
      <c r="K212" s="585">
        <f>K210+K211</f>
        <v>0</v>
      </c>
      <c r="L212" s="585">
        <f t="shared" si="60"/>
        <v>0</v>
      </c>
      <c r="M212" s="585">
        <f>M210+M211</f>
        <v>0</v>
      </c>
      <c r="N212" s="585">
        <f>N210+N211</f>
        <v>0</v>
      </c>
    </row>
    <row r="213" spans="1:14" s="593" customFormat="1" ht="18" customHeight="1" hidden="1">
      <c r="A213" s="972"/>
      <c r="B213" s="973"/>
      <c r="C213" s="974"/>
      <c r="D213" s="975"/>
      <c r="E213" s="603"/>
      <c r="F213" s="1009" t="s">
        <v>748</v>
      </c>
      <c r="G213" s="609" t="s">
        <v>13</v>
      </c>
      <c r="H213" s="552">
        <f t="shared" si="58"/>
        <v>106500</v>
      </c>
      <c r="I213" s="553">
        <f t="shared" si="59"/>
        <v>106500</v>
      </c>
      <c r="J213" s="553">
        <v>106500</v>
      </c>
      <c r="K213" s="553">
        <v>0</v>
      </c>
      <c r="L213" s="553">
        <f t="shared" si="60"/>
        <v>0</v>
      </c>
      <c r="M213" s="553">
        <v>0</v>
      </c>
      <c r="N213" s="553">
        <v>0</v>
      </c>
    </row>
    <row r="214" spans="1:14" s="593" customFormat="1" ht="18" customHeight="1" hidden="1">
      <c r="A214" s="972"/>
      <c r="B214" s="967"/>
      <c r="C214" s="974"/>
      <c r="D214" s="967"/>
      <c r="E214" s="603"/>
      <c r="F214" s="1010"/>
      <c r="G214" s="609" t="s">
        <v>14</v>
      </c>
      <c r="H214" s="552">
        <f t="shared" si="58"/>
        <v>0</v>
      </c>
      <c r="I214" s="553">
        <f t="shared" si="59"/>
        <v>0</v>
      </c>
      <c r="J214" s="553">
        <v>0</v>
      </c>
      <c r="K214" s="553">
        <v>0</v>
      </c>
      <c r="L214" s="553">
        <f t="shared" si="60"/>
        <v>0</v>
      </c>
      <c r="M214" s="553">
        <v>0</v>
      </c>
      <c r="N214" s="553">
        <v>0</v>
      </c>
    </row>
    <row r="215" spans="1:14" s="504" customFormat="1" ht="18" customHeight="1" hidden="1">
      <c r="A215" s="959"/>
      <c r="B215" s="960"/>
      <c r="C215" s="961"/>
      <c r="D215" s="960"/>
      <c r="E215" s="602"/>
      <c r="F215" s="1011"/>
      <c r="G215" s="601" t="s">
        <v>15</v>
      </c>
      <c r="H215" s="584">
        <f t="shared" si="58"/>
        <v>106500</v>
      </c>
      <c r="I215" s="585">
        <f t="shared" si="59"/>
        <v>106500</v>
      </c>
      <c r="J215" s="585">
        <f>J213+J214</f>
        <v>106500</v>
      </c>
      <c r="K215" s="585">
        <f>K213+K214</f>
        <v>0</v>
      </c>
      <c r="L215" s="585">
        <f t="shared" si="60"/>
        <v>0</v>
      </c>
      <c r="M215" s="585">
        <f>M213+M214</f>
        <v>0</v>
      </c>
      <c r="N215" s="585">
        <f>N213+N214</f>
        <v>0</v>
      </c>
    </row>
    <row r="216" spans="1:14" s="504" customFormat="1" ht="14.25" customHeight="1">
      <c r="A216" s="968" t="s">
        <v>71</v>
      </c>
      <c r="B216" s="969"/>
      <c r="C216" s="970" t="s">
        <v>73</v>
      </c>
      <c r="D216" s="971"/>
      <c r="E216" s="601" t="s">
        <v>505</v>
      </c>
      <c r="F216" s="1009" t="s">
        <v>749</v>
      </c>
      <c r="G216" s="609" t="s">
        <v>13</v>
      </c>
      <c r="H216" s="552">
        <f t="shared" si="58"/>
        <v>35160423</v>
      </c>
      <c r="I216" s="553">
        <f t="shared" si="59"/>
        <v>35160423</v>
      </c>
      <c r="J216" s="553">
        <v>35160423</v>
      </c>
      <c r="K216" s="553"/>
      <c r="L216" s="553">
        <f t="shared" si="60"/>
        <v>0</v>
      </c>
      <c r="M216" s="553">
        <v>0</v>
      </c>
      <c r="N216" s="553">
        <v>0</v>
      </c>
    </row>
    <row r="217" spans="1:14" s="504" customFormat="1" ht="14.25" customHeight="1">
      <c r="A217" s="959"/>
      <c r="B217" s="967"/>
      <c r="C217" s="961"/>
      <c r="D217" s="967"/>
      <c r="E217" s="602"/>
      <c r="F217" s="1010"/>
      <c r="G217" s="609" t="s">
        <v>14</v>
      </c>
      <c r="H217" s="552">
        <f t="shared" si="58"/>
        <v>-5374816</v>
      </c>
      <c r="I217" s="553">
        <f t="shared" si="59"/>
        <v>-5374816</v>
      </c>
      <c r="J217" s="553">
        <v>-5374816</v>
      </c>
      <c r="K217" s="553"/>
      <c r="L217" s="553">
        <f t="shared" si="60"/>
        <v>0</v>
      </c>
      <c r="M217" s="553">
        <v>0</v>
      </c>
      <c r="N217" s="553">
        <v>0</v>
      </c>
    </row>
    <row r="218" spans="1:14" s="504" customFormat="1" ht="14.25" customHeight="1">
      <c r="A218" s="959"/>
      <c r="B218" s="960"/>
      <c r="C218" s="961"/>
      <c r="D218" s="960"/>
      <c r="E218" s="602"/>
      <c r="F218" s="1011"/>
      <c r="G218" s="601" t="s">
        <v>15</v>
      </c>
      <c r="H218" s="584">
        <f t="shared" si="58"/>
        <v>29785607</v>
      </c>
      <c r="I218" s="585">
        <f t="shared" si="59"/>
        <v>29785607</v>
      </c>
      <c r="J218" s="585">
        <f>J216+J217</f>
        <v>29785607</v>
      </c>
      <c r="K218" s="585">
        <f>K216+K217</f>
        <v>0</v>
      </c>
      <c r="L218" s="585">
        <f t="shared" si="60"/>
        <v>0</v>
      </c>
      <c r="M218" s="585">
        <f>M216+M217</f>
        <v>0</v>
      </c>
      <c r="N218" s="585">
        <f>N216+N217</f>
        <v>0</v>
      </c>
    </row>
    <row r="219" spans="1:14" s="593" customFormat="1" ht="14.25" customHeight="1">
      <c r="A219" s="972"/>
      <c r="B219" s="973"/>
      <c r="C219" s="974"/>
      <c r="D219" s="975"/>
      <c r="E219" s="603"/>
      <c r="F219" s="1009" t="s">
        <v>750</v>
      </c>
      <c r="G219" s="609" t="s">
        <v>13</v>
      </c>
      <c r="H219" s="552">
        <f t="shared" si="58"/>
        <v>12193367</v>
      </c>
      <c r="I219" s="553">
        <f t="shared" si="59"/>
        <v>12193367</v>
      </c>
      <c r="J219" s="553">
        <v>12193367</v>
      </c>
      <c r="K219" s="553">
        <v>0</v>
      </c>
      <c r="L219" s="553">
        <f t="shared" si="60"/>
        <v>0</v>
      </c>
      <c r="M219" s="553">
        <v>0</v>
      </c>
      <c r="N219" s="553">
        <v>0</v>
      </c>
    </row>
    <row r="220" spans="1:14" s="593" customFormat="1" ht="14.25" customHeight="1">
      <c r="A220" s="972"/>
      <c r="B220" s="967"/>
      <c r="C220" s="974"/>
      <c r="D220" s="967"/>
      <c r="E220" s="603"/>
      <c r="F220" s="1010"/>
      <c r="G220" s="609" t="s">
        <v>14</v>
      </c>
      <c r="H220" s="552">
        <f t="shared" si="58"/>
        <v>7806588</v>
      </c>
      <c r="I220" s="553">
        <f t="shared" si="59"/>
        <v>7806588</v>
      </c>
      <c r="J220" s="553">
        <v>7806588</v>
      </c>
      <c r="K220" s="553">
        <v>0</v>
      </c>
      <c r="L220" s="553">
        <f t="shared" si="60"/>
        <v>0</v>
      </c>
      <c r="M220" s="553">
        <v>0</v>
      </c>
      <c r="N220" s="553">
        <v>0</v>
      </c>
    </row>
    <row r="221" spans="1:14" s="504" customFormat="1" ht="14.25" customHeight="1">
      <c r="A221" s="959"/>
      <c r="B221" s="960"/>
      <c r="C221" s="961"/>
      <c r="D221" s="960"/>
      <c r="E221" s="602"/>
      <c r="F221" s="1011"/>
      <c r="G221" s="601" t="s">
        <v>15</v>
      </c>
      <c r="H221" s="584">
        <f t="shared" si="58"/>
        <v>19999955</v>
      </c>
      <c r="I221" s="585">
        <f t="shared" si="59"/>
        <v>19999955</v>
      </c>
      <c r="J221" s="585">
        <f>J219+J220</f>
        <v>19999955</v>
      </c>
      <c r="K221" s="585">
        <f>K219+K220</f>
        <v>0</v>
      </c>
      <c r="L221" s="585">
        <f t="shared" si="60"/>
        <v>0</v>
      </c>
      <c r="M221" s="585">
        <f>M219+M220</f>
        <v>0</v>
      </c>
      <c r="N221" s="585">
        <f>N219+N220</f>
        <v>0</v>
      </c>
    </row>
    <row r="222" spans="1:14" s="593" customFormat="1" ht="15" customHeight="1" hidden="1">
      <c r="A222" s="972"/>
      <c r="B222" s="973"/>
      <c r="C222" s="974"/>
      <c r="D222" s="975"/>
      <c r="E222" s="603"/>
      <c r="F222" s="1009" t="s">
        <v>751</v>
      </c>
      <c r="G222" s="609" t="s">
        <v>13</v>
      </c>
      <c r="H222" s="552">
        <f t="shared" si="58"/>
        <v>4250000</v>
      </c>
      <c r="I222" s="553">
        <f t="shared" si="59"/>
        <v>4250000</v>
      </c>
      <c r="J222" s="553">
        <v>4250000</v>
      </c>
      <c r="K222" s="553">
        <v>0</v>
      </c>
      <c r="L222" s="553">
        <f t="shared" si="60"/>
        <v>0</v>
      </c>
      <c r="M222" s="553">
        <v>0</v>
      </c>
      <c r="N222" s="553">
        <v>0</v>
      </c>
    </row>
    <row r="223" spans="1:14" s="593" customFormat="1" ht="15" customHeight="1" hidden="1">
      <c r="A223" s="972"/>
      <c r="B223" s="1013"/>
      <c r="C223" s="974"/>
      <c r="D223" s="967"/>
      <c r="E223" s="603"/>
      <c r="F223" s="1010"/>
      <c r="G223" s="609" t="s">
        <v>14</v>
      </c>
      <c r="H223" s="552">
        <f t="shared" si="58"/>
        <v>0</v>
      </c>
      <c r="I223" s="553">
        <f t="shared" si="59"/>
        <v>0</v>
      </c>
      <c r="J223" s="553">
        <v>0</v>
      </c>
      <c r="K223" s="553">
        <v>0</v>
      </c>
      <c r="L223" s="553">
        <f t="shared" si="60"/>
        <v>0</v>
      </c>
      <c r="M223" s="553">
        <v>0</v>
      </c>
      <c r="N223" s="553">
        <v>0</v>
      </c>
    </row>
    <row r="224" spans="1:14" s="504" customFormat="1" ht="15" customHeight="1" hidden="1">
      <c r="A224" s="959"/>
      <c r="B224" s="960"/>
      <c r="C224" s="961"/>
      <c r="D224" s="960"/>
      <c r="E224" s="602"/>
      <c r="F224" s="1011"/>
      <c r="G224" s="601" t="s">
        <v>15</v>
      </c>
      <c r="H224" s="584">
        <f t="shared" si="58"/>
        <v>4250000</v>
      </c>
      <c r="I224" s="585">
        <f t="shared" si="59"/>
        <v>4250000</v>
      </c>
      <c r="J224" s="585">
        <f>J222+J223</f>
        <v>4250000</v>
      </c>
      <c r="K224" s="585">
        <f>K222+K223</f>
        <v>0</v>
      </c>
      <c r="L224" s="585">
        <f t="shared" si="60"/>
        <v>0</v>
      </c>
      <c r="M224" s="585">
        <f>M222+M223</f>
        <v>0</v>
      </c>
      <c r="N224" s="585">
        <f>N222+N223</f>
        <v>0</v>
      </c>
    </row>
    <row r="225" spans="1:14" s="504" customFormat="1" ht="14.25" customHeight="1">
      <c r="A225" s="959"/>
      <c r="B225" s="962"/>
      <c r="C225" s="961"/>
      <c r="D225" s="963"/>
      <c r="E225" s="601" t="s">
        <v>511</v>
      </c>
      <c r="F225" s="1009" t="s">
        <v>752</v>
      </c>
      <c r="G225" s="609" t="s">
        <v>13</v>
      </c>
      <c r="H225" s="552">
        <f t="shared" si="58"/>
        <v>9958903</v>
      </c>
      <c r="I225" s="553">
        <f t="shared" si="59"/>
        <v>9800192</v>
      </c>
      <c r="J225" s="553">
        <f>68000+9732192</f>
        <v>9800192</v>
      </c>
      <c r="K225" s="553">
        <v>0</v>
      </c>
      <c r="L225" s="553">
        <f t="shared" si="60"/>
        <v>158711</v>
      </c>
      <c r="M225" s="553">
        <v>158711</v>
      </c>
      <c r="N225" s="553">
        <v>0</v>
      </c>
    </row>
    <row r="226" spans="1:14" s="504" customFormat="1" ht="14.25" customHeight="1">
      <c r="A226" s="959"/>
      <c r="B226" s="967"/>
      <c r="C226" s="961"/>
      <c r="D226" s="967"/>
      <c r="E226" s="602"/>
      <c r="F226" s="1010"/>
      <c r="G226" s="609" t="s">
        <v>14</v>
      </c>
      <c r="H226" s="552">
        <f t="shared" si="58"/>
        <v>2635375</v>
      </c>
      <c r="I226" s="553">
        <f t="shared" si="59"/>
        <v>2497954</v>
      </c>
      <c r="J226" s="553">
        <f>408000+2089954</f>
        <v>2497954</v>
      </c>
      <c r="K226" s="553">
        <v>0</v>
      </c>
      <c r="L226" s="553">
        <f t="shared" si="60"/>
        <v>137421</v>
      </c>
      <c r="M226" s="553">
        <v>137421</v>
      </c>
      <c r="N226" s="553">
        <v>0</v>
      </c>
    </row>
    <row r="227" spans="1:14" s="504" customFormat="1" ht="14.25" customHeight="1">
      <c r="A227" s="959"/>
      <c r="B227" s="960"/>
      <c r="C227" s="961"/>
      <c r="D227" s="960"/>
      <c r="E227" s="602"/>
      <c r="F227" s="1011"/>
      <c r="G227" s="601" t="s">
        <v>15</v>
      </c>
      <c r="H227" s="584">
        <f t="shared" si="58"/>
        <v>12594278</v>
      </c>
      <c r="I227" s="585">
        <f t="shared" si="59"/>
        <v>12298146</v>
      </c>
      <c r="J227" s="585">
        <f>J225+J226</f>
        <v>12298146</v>
      </c>
      <c r="K227" s="585">
        <f>K225+K226</f>
        <v>0</v>
      </c>
      <c r="L227" s="585">
        <f t="shared" si="60"/>
        <v>296132</v>
      </c>
      <c r="M227" s="585">
        <f>M225+M226</f>
        <v>296132</v>
      </c>
      <c r="N227" s="585">
        <f>N225+N226</f>
        <v>0</v>
      </c>
    </row>
    <row r="228" spans="1:14" s="593" customFormat="1" ht="15" customHeight="1" hidden="1">
      <c r="A228" s="946" t="s">
        <v>28</v>
      </c>
      <c r="B228" s="947"/>
      <c r="C228" s="948" t="s">
        <v>137</v>
      </c>
      <c r="D228" s="949"/>
      <c r="E228" s="608" t="s">
        <v>753</v>
      </c>
      <c r="F228" s="1009" t="s">
        <v>754</v>
      </c>
      <c r="G228" s="609" t="s">
        <v>13</v>
      </c>
      <c r="H228" s="552">
        <f t="shared" si="58"/>
        <v>82500</v>
      </c>
      <c r="I228" s="553">
        <f t="shared" si="59"/>
        <v>82500</v>
      </c>
      <c r="J228" s="553">
        <v>0</v>
      </c>
      <c r="K228" s="553">
        <v>82500</v>
      </c>
      <c r="L228" s="553">
        <f t="shared" si="60"/>
        <v>0</v>
      </c>
      <c r="M228" s="553">
        <v>0</v>
      </c>
      <c r="N228" s="553">
        <v>0</v>
      </c>
    </row>
    <row r="229" spans="1:14" s="593" customFormat="1" ht="15" customHeight="1" hidden="1">
      <c r="A229" s="972"/>
      <c r="B229" s="967"/>
      <c r="C229" s="974"/>
      <c r="D229" s="967"/>
      <c r="E229" s="603"/>
      <c r="F229" s="1010"/>
      <c r="G229" s="609" t="s">
        <v>14</v>
      </c>
      <c r="H229" s="552">
        <f t="shared" si="58"/>
        <v>0</v>
      </c>
      <c r="I229" s="553">
        <f t="shared" si="59"/>
        <v>0</v>
      </c>
      <c r="J229" s="553">
        <v>0</v>
      </c>
      <c r="K229" s="553">
        <v>0</v>
      </c>
      <c r="L229" s="553">
        <f t="shared" si="60"/>
        <v>0</v>
      </c>
      <c r="M229" s="553">
        <v>0</v>
      </c>
      <c r="N229" s="553">
        <v>0</v>
      </c>
    </row>
    <row r="230" spans="1:14" s="504" customFormat="1" ht="15" customHeight="1" hidden="1">
      <c r="A230" s="959"/>
      <c r="B230" s="960"/>
      <c r="C230" s="961"/>
      <c r="D230" s="960"/>
      <c r="E230" s="602"/>
      <c r="F230" s="1011"/>
      <c r="G230" s="601" t="s">
        <v>15</v>
      </c>
      <c r="H230" s="584">
        <f t="shared" si="58"/>
        <v>82500</v>
      </c>
      <c r="I230" s="585">
        <f t="shared" si="59"/>
        <v>82500</v>
      </c>
      <c r="J230" s="585">
        <f>J228+J229</f>
        <v>0</v>
      </c>
      <c r="K230" s="585">
        <f>K228+K229</f>
        <v>82500</v>
      </c>
      <c r="L230" s="585">
        <f t="shared" si="60"/>
        <v>0</v>
      </c>
      <c r="M230" s="585">
        <f>M228+M229</f>
        <v>0</v>
      </c>
      <c r="N230" s="585">
        <f>N228+N229</f>
        <v>0</v>
      </c>
    </row>
    <row r="231" spans="1:14" s="504" customFormat="1" ht="15" customHeight="1" hidden="1">
      <c r="A231" s="959"/>
      <c r="B231" s="962"/>
      <c r="C231" s="961"/>
      <c r="D231" s="963"/>
      <c r="E231" s="602"/>
      <c r="F231" s="1009" t="s">
        <v>755</v>
      </c>
      <c r="G231" s="609" t="s">
        <v>13</v>
      </c>
      <c r="H231" s="552">
        <f t="shared" si="58"/>
        <v>2000</v>
      </c>
      <c r="I231" s="553">
        <f t="shared" si="59"/>
        <v>2000</v>
      </c>
      <c r="J231" s="553">
        <v>0</v>
      </c>
      <c r="K231" s="553">
        <v>2000</v>
      </c>
      <c r="L231" s="553">
        <f t="shared" si="60"/>
        <v>0</v>
      </c>
      <c r="M231" s="553">
        <v>0</v>
      </c>
      <c r="N231" s="553">
        <v>0</v>
      </c>
    </row>
    <row r="232" spans="1:14" s="504" customFormat="1" ht="15" customHeight="1" hidden="1">
      <c r="A232" s="959"/>
      <c r="B232" s="967"/>
      <c r="C232" s="961"/>
      <c r="D232" s="967"/>
      <c r="E232" s="602"/>
      <c r="F232" s="1010"/>
      <c r="G232" s="609" t="s">
        <v>14</v>
      </c>
      <c r="H232" s="552">
        <f t="shared" si="58"/>
        <v>0</v>
      </c>
      <c r="I232" s="553">
        <f t="shared" si="59"/>
        <v>0</v>
      </c>
      <c r="J232" s="553">
        <v>0</v>
      </c>
      <c r="K232" s="553">
        <v>0</v>
      </c>
      <c r="L232" s="553">
        <f t="shared" si="60"/>
        <v>0</v>
      </c>
      <c r="M232" s="553">
        <v>0</v>
      </c>
      <c r="N232" s="553">
        <v>0</v>
      </c>
    </row>
    <row r="233" spans="1:14" s="504" customFormat="1" ht="15" customHeight="1" hidden="1">
      <c r="A233" s="959"/>
      <c r="B233" s="960"/>
      <c r="C233" s="961"/>
      <c r="D233" s="960"/>
      <c r="E233" s="602"/>
      <c r="F233" s="1011"/>
      <c r="G233" s="601" t="s">
        <v>15</v>
      </c>
      <c r="H233" s="584">
        <f t="shared" si="58"/>
        <v>2000</v>
      </c>
      <c r="I233" s="585">
        <f t="shared" si="59"/>
        <v>2000</v>
      </c>
      <c r="J233" s="585">
        <f>J231+J232</f>
        <v>0</v>
      </c>
      <c r="K233" s="585">
        <f>K231+K232</f>
        <v>2000</v>
      </c>
      <c r="L233" s="585">
        <f t="shared" si="60"/>
        <v>0</v>
      </c>
      <c r="M233" s="585">
        <f>M231+M232</f>
        <v>0</v>
      </c>
      <c r="N233" s="585">
        <f>N231+N232</f>
        <v>0</v>
      </c>
    </row>
    <row r="234" spans="1:14" s="593" customFormat="1" ht="14.25" customHeight="1">
      <c r="A234" s="946" t="s">
        <v>28</v>
      </c>
      <c r="B234" s="947"/>
      <c r="C234" s="948" t="s">
        <v>137</v>
      </c>
      <c r="D234" s="949"/>
      <c r="E234" s="608" t="s">
        <v>753</v>
      </c>
      <c r="F234" s="1009" t="s">
        <v>756</v>
      </c>
      <c r="G234" s="609" t="s">
        <v>13</v>
      </c>
      <c r="H234" s="552">
        <f t="shared" si="58"/>
        <v>3248020</v>
      </c>
      <c r="I234" s="553">
        <f t="shared" si="59"/>
        <v>0</v>
      </c>
      <c r="J234" s="553">
        <v>0</v>
      </c>
      <c r="K234" s="553">
        <v>0</v>
      </c>
      <c r="L234" s="553">
        <f t="shared" si="60"/>
        <v>3248020</v>
      </c>
      <c r="M234" s="553">
        <v>0</v>
      </c>
      <c r="N234" s="553">
        <v>3248020</v>
      </c>
    </row>
    <row r="235" spans="1:14" s="593" customFormat="1" ht="14.25" customHeight="1">
      <c r="A235" s="972"/>
      <c r="B235" s="967"/>
      <c r="C235" s="974"/>
      <c r="D235" s="967"/>
      <c r="E235" s="603"/>
      <c r="F235" s="1010"/>
      <c r="G235" s="609" t="s">
        <v>14</v>
      </c>
      <c r="H235" s="552">
        <f t="shared" si="58"/>
        <v>390000</v>
      </c>
      <c r="I235" s="553">
        <f t="shared" si="59"/>
        <v>0</v>
      </c>
      <c r="J235" s="553">
        <v>0</v>
      </c>
      <c r="K235" s="553">
        <v>0</v>
      </c>
      <c r="L235" s="553">
        <f t="shared" si="60"/>
        <v>390000</v>
      </c>
      <c r="M235" s="553">
        <v>0</v>
      </c>
      <c r="N235" s="553">
        <v>390000</v>
      </c>
    </row>
    <row r="236" spans="1:14" s="504" customFormat="1" ht="14.25" customHeight="1">
      <c r="A236" s="959"/>
      <c r="B236" s="960"/>
      <c r="C236" s="961"/>
      <c r="D236" s="960"/>
      <c r="E236" s="602"/>
      <c r="F236" s="1011"/>
      <c r="G236" s="601" t="s">
        <v>15</v>
      </c>
      <c r="H236" s="584">
        <f t="shared" si="58"/>
        <v>3638020</v>
      </c>
      <c r="I236" s="585">
        <f t="shared" si="59"/>
        <v>0</v>
      </c>
      <c r="J236" s="585">
        <f>J234+J235</f>
        <v>0</v>
      </c>
      <c r="K236" s="585">
        <f>K234+K235</f>
        <v>0</v>
      </c>
      <c r="L236" s="585">
        <f t="shared" si="60"/>
        <v>3638020</v>
      </c>
      <c r="M236" s="585">
        <f>M234+M235</f>
        <v>0</v>
      </c>
      <c r="N236" s="585">
        <f>N234+N235</f>
        <v>3638020</v>
      </c>
    </row>
    <row r="237" spans="1:14" s="504" customFormat="1" ht="15" customHeight="1" hidden="1">
      <c r="A237" s="968" t="s">
        <v>31</v>
      </c>
      <c r="B237" s="969"/>
      <c r="C237" s="970" t="s">
        <v>172</v>
      </c>
      <c r="D237" s="971"/>
      <c r="E237" s="601" t="s">
        <v>757</v>
      </c>
      <c r="F237" s="1009" t="s">
        <v>758</v>
      </c>
      <c r="G237" s="610" t="s">
        <v>13</v>
      </c>
      <c r="H237" s="584">
        <f t="shared" si="58"/>
        <v>482386</v>
      </c>
      <c r="I237" s="585">
        <f t="shared" si="59"/>
        <v>475000</v>
      </c>
      <c r="J237" s="585">
        <v>0</v>
      </c>
      <c r="K237" s="585">
        <f>325000+150000</f>
        <v>475000</v>
      </c>
      <c r="L237" s="585">
        <f t="shared" si="60"/>
        <v>7386</v>
      </c>
      <c r="M237" s="585">
        <v>0</v>
      </c>
      <c r="N237" s="585">
        <v>7386</v>
      </c>
    </row>
    <row r="238" spans="1:14" s="504" customFormat="1" ht="15" customHeight="1" hidden="1">
      <c r="A238" s="959"/>
      <c r="B238" s="967"/>
      <c r="C238" s="961"/>
      <c r="D238" s="967"/>
      <c r="E238" s="602"/>
      <c r="F238" s="1010"/>
      <c r="G238" s="610" t="s">
        <v>14</v>
      </c>
      <c r="H238" s="584">
        <f t="shared" si="58"/>
        <v>0</v>
      </c>
      <c r="I238" s="585">
        <f t="shared" si="59"/>
        <v>0</v>
      </c>
      <c r="J238" s="585">
        <v>0</v>
      </c>
      <c r="K238" s="585">
        <v>0</v>
      </c>
      <c r="L238" s="585">
        <f t="shared" si="60"/>
        <v>0</v>
      </c>
      <c r="M238" s="585">
        <v>0</v>
      </c>
      <c r="N238" s="585">
        <v>0</v>
      </c>
    </row>
    <row r="239" spans="1:14" s="504" customFormat="1" ht="15" customHeight="1" hidden="1">
      <c r="A239" s="959"/>
      <c r="B239" s="960"/>
      <c r="C239" s="961"/>
      <c r="D239" s="960"/>
      <c r="E239" s="602"/>
      <c r="F239" s="1011"/>
      <c r="G239" s="601" t="s">
        <v>15</v>
      </c>
      <c r="H239" s="584">
        <f t="shared" si="58"/>
        <v>482386</v>
      </c>
      <c r="I239" s="585">
        <f t="shared" si="59"/>
        <v>475000</v>
      </c>
      <c r="J239" s="585">
        <f>J237+J238</f>
        <v>0</v>
      </c>
      <c r="K239" s="585">
        <f>K237+K238</f>
        <v>475000</v>
      </c>
      <c r="L239" s="585">
        <f t="shared" si="60"/>
        <v>7386</v>
      </c>
      <c r="M239" s="585">
        <f>M237+M238</f>
        <v>0</v>
      </c>
      <c r="N239" s="585">
        <f>N237+N238</f>
        <v>7386</v>
      </c>
    </row>
    <row r="240" spans="1:14" s="504" customFormat="1" ht="15" customHeight="1" hidden="1">
      <c r="A240" s="959"/>
      <c r="B240" s="962"/>
      <c r="C240" s="961"/>
      <c r="D240" s="963"/>
      <c r="E240" s="601" t="s">
        <v>759</v>
      </c>
      <c r="F240" s="1009" t="s">
        <v>760</v>
      </c>
      <c r="G240" s="610" t="s">
        <v>13</v>
      </c>
      <c r="H240" s="584">
        <f t="shared" si="58"/>
        <v>495000</v>
      </c>
      <c r="I240" s="585">
        <f t="shared" si="59"/>
        <v>370000</v>
      </c>
      <c r="J240" s="585">
        <v>0</v>
      </c>
      <c r="K240" s="585">
        <v>370000</v>
      </c>
      <c r="L240" s="585">
        <f t="shared" si="60"/>
        <v>125000</v>
      </c>
      <c r="M240" s="585">
        <v>0</v>
      </c>
      <c r="N240" s="585">
        <v>125000</v>
      </c>
    </row>
    <row r="241" spans="1:14" s="504" customFormat="1" ht="15" customHeight="1" hidden="1">
      <c r="A241" s="959"/>
      <c r="B241" s="967"/>
      <c r="C241" s="961"/>
      <c r="D241" s="967"/>
      <c r="E241" s="602"/>
      <c r="F241" s="1010"/>
      <c r="G241" s="610" t="s">
        <v>14</v>
      </c>
      <c r="H241" s="584">
        <f t="shared" si="58"/>
        <v>0</v>
      </c>
      <c r="I241" s="585">
        <f t="shared" si="59"/>
        <v>0</v>
      </c>
      <c r="J241" s="585">
        <v>0</v>
      </c>
      <c r="K241" s="585">
        <v>0</v>
      </c>
      <c r="L241" s="585">
        <f t="shared" si="60"/>
        <v>0</v>
      </c>
      <c r="M241" s="585">
        <v>0</v>
      </c>
      <c r="N241" s="585">
        <v>0</v>
      </c>
    </row>
    <row r="242" spans="1:14" s="504" customFormat="1" ht="15" customHeight="1" hidden="1">
      <c r="A242" s="959"/>
      <c r="B242" s="960"/>
      <c r="C242" s="961"/>
      <c r="D242" s="960"/>
      <c r="E242" s="602"/>
      <c r="F242" s="1011"/>
      <c r="G242" s="601" t="s">
        <v>15</v>
      </c>
      <c r="H242" s="584">
        <f t="shared" si="58"/>
        <v>495000</v>
      </c>
      <c r="I242" s="585">
        <f t="shared" si="59"/>
        <v>370000</v>
      </c>
      <c r="J242" s="585">
        <f>J240+J241</f>
        <v>0</v>
      </c>
      <c r="K242" s="585">
        <f>K240+K241</f>
        <v>370000</v>
      </c>
      <c r="L242" s="585">
        <f t="shared" si="60"/>
        <v>125000</v>
      </c>
      <c r="M242" s="585">
        <f>M240+M241</f>
        <v>0</v>
      </c>
      <c r="N242" s="585">
        <f>N240+N241</f>
        <v>125000</v>
      </c>
    </row>
    <row r="243" spans="1:14" s="504" customFormat="1" ht="14.25" customHeight="1">
      <c r="A243" s="968" t="s">
        <v>31</v>
      </c>
      <c r="B243" s="969"/>
      <c r="C243" s="970" t="s">
        <v>172</v>
      </c>
      <c r="D243" s="971"/>
      <c r="E243" s="601" t="s">
        <v>761</v>
      </c>
      <c r="F243" s="1009" t="s">
        <v>762</v>
      </c>
      <c r="G243" s="610" t="s">
        <v>13</v>
      </c>
      <c r="H243" s="584">
        <f t="shared" si="58"/>
        <v>941525</v>
      </c>
      <c r="I243" s="585">
        <f t="shared" si="59"/>
        <v>941525</v>
      </c>
      <c r="J243" s="585">
        <v>0</v>
      </c>
      <c r="K243" s="585">
        <v>941525</v>
      </c>
      <c r="L243" s="585">
        <f t="shared" si="60"/>
        <v>0</v>
      </c>
      <c r="M243" s="585">
        <v>0</v>
      </c>
      <c r="N243" s="585">
        <v>0</v>
      </c>
    </row>
    <row r="244" spans="1:14" s="504" customFormat="1" ht="14.25" customHeight="1">
      <c r="A244" s="959"/>
      <c r="B244" s="967"/>
      <c r="C244" s="961"/>
      <c r="D244" s="967"/>
      <c r="E244" s="602"/>
      <c r="F244" s="1010"/>
      <c r="G244" s="610" t="s">
        <v>14</v>
      </c>
      <c r="H244" s="584">
        <f t="shared" si="58"/>
        <v>-100690</v>
      </c>
      <c r="I244" s="585">
        <f t="shared" si="59"/>
        <v>-100690</v>
      </c>
      <c r="J244" s="585">
        <v>0</v>
      </c>
      <c r="K244" s="585">
        <v>-100690</v>
      </c>
      <c r="L244" s="585">
        <f t="shared" si="60"/>
        <v>0</v>
      </c>
      <c r="M244" s="585">
        <v>0</v>
      </c>
      <c r="N244" s="585">
        <v>0</v>
      </c>
    </row>
    <row r="245" spans="1:14" s="504" customFormat="1" ht="14.25" customHeight="1">
      <c r="A245" s="959"/>
      <c r="B245" s="960"/>
      <c r="C245" s="961"/>
      <c r="D245" s="960"/>
      <c r="E245" s="602"/>
      <c r="F245" s="1011"/>
      <c r="G245" s="601" t="s">
        <v>15</v>
      </c>
      <c r="H245" s="584">
        <f t="shared" si="58"/>
        <v>840835</v>
      </c>
      <c r="I245" s="585">
        <f t="shared" si="59"/>
        <v>840835</v>
      </c>
      <c r="J245" s="585">
        <f>J243+J244</f>
        <v>0</v>
      </c>
      <c r="K245" s="585">
        <f>K243+K244</f>
        <v>840835</v>
      </c>
      <c r="L245" s="585">
        <f t="shared" si="60"/>
        <v>0</v>
      </c>
      <c r="M245" s="585">
        <f>M243+M244</f>
        <v>0</v>
      </c>
      <c r="N245" s="585">
        <f>N243+N244</f>
        <v>0</v>
      </c>
    </row>
    <row r="246" spans="1:14" s="504" customFormat="1" ht="14.25" customHeight="1">
      <c r="A246" s="959"/>
      <c r="B246" s="962"/>
      <c r="C246" s="961"/>
      <c r="D246" s="963"/>
      <c r="E246" s="602"/>
      <c r="F246" s="1009" t="s">
        <v>763</v>
      </c>
      <c r="G246" s="610" t="s">
        <v>13</v>
      </c>
      <c r="H246" s="584">
        <f t="shared" si="58"/>
        <v>3845000</v>
      </c>
      <c r="I246" s="585">
        <f t="shared" si="59"/>
        <v>3155000</v>
      </c>
      <c r="J246" s="585">
        <v>45000</v>
      </c>
      <c r="K246" s="585">
        <f>2725000+385000</f>
        <v>3110000</v>
      </c>
      <c r="L246" s="585">
        <f t="shared" si="60"/>
        <v>690000</v>
      </c>
      <c r="M246" s="585">
        <v>20000</v>
      </c>
      <c r="N246" s="585">
        <v>670000</v>
      </c>
    </row>
    <row r="247" spans="1:14" s="504" customFormat="1" ht="14.25" customHeight="1">
      <c r="A247" s="959"/>
      <c r="B247" s="967"/>
      <c r="C247" s="961"/>
      <c r="D247" s="967"/>
      <c r="E247" s="602"/>
      <c r="F247" s="1010"/>
      <c r="G247" s="610" t="s">
        <v>14</v>
      </c>
      <c r="H247" s="584">
        <f t="shared" si="58"/>
        <v>-200000</v>
      </c>
      <c r="I247" s="585">
        <f t="shared" si="59"/>
        <v>-200000</v>
      </c>
      <c r="J247" s="585">
        <v>0</v>
      </c>
      <c r="K247" s="585">
        <v>-200000</v>
      </c>
      <c r="L247" s="585">
        <f t="shared" si="60"/>
        <v>0</v>
      </c>
      <c r="M247" s="585">
        <v>0</v>
      </c>
      <c r="N247" s="585">
        <v>0</v>
      </c>
    </row>
    <row r="248" spans="1:14" s="504" customFormat="1" ht="14.25" customHeight="1">
      <c r="A248" s="959"/>
      <c r="B248" s="960"/>
      <c r="C248" s="961"/>
      <c r="D248" s="960"/>
      <c r="E248" s="602"/>
      <c r="F248" s="1011"/>
      <c r="G248" s="601" t="s">
        <v>15</v>
      </c>
      <c r="H248" s="584">
        <f t="shared" si="58"/>
        <v>3645000</v>
      </c>
      <c r="I248" s="585">
        <f t="shared" si="59"/>
        <v>2955000</v>
      </c>
      <c r="J248" s="585">
        <f>J246+J247</f>
        <v>45000</v>
      </c>
      <c r="K248" s="585">
        <f>K246+K247</f>
        <v>2910000</v>
      </c>
      <c r="L248" s="585">
        <f t="shared" si="60"/>
        <v>690000</v>
      </c>
      <c r="M248" s="585">
        <f>M246+M247</f>
        <v>20000</v>
      </c>
      <c r="N248" s="585">
        <f>N246+N247</f>
        <v>670000</v>
      </c>
    </row>
    <row r="249" spans="1:14" s="504" customFormat="1" ht="14.25" customHeight="1">
      <c r="A249" s="959"/>
      <c r="B249" s="962"/>
      <c r="C249" s="961"/>
      <c r="D249" s="963"/>
      <c r="E249" s="602"/>
      <c r="F249" s="1009" t="s">
        <v>764</v>
      </c>
      <c r="G249" s="610" t="s">
        <v>13</v>
      </c>
      <c r="H249" s="584">
        <f t="shared" si="58"/>
        <v>2883440</v>
      </c>
      <c r="I249" s="585">
        <f t="shared" si="59"/>
        <v>2883440</v>
      </c>
      <c r="J249" s="585">
        <v>0</v>
      </c>
      <c r="K249" s="585">
        <v>2883440</v>
      </c>
      <c r="L249" s="585">
        <f t="shared" si="60"/>
        <v>0</v>
      </c>
      <c r="M249" s="585">
        <v>0</v>
      </c>
      <c r="N249" s="585">
        <v>0</v>
      </c>
    </row>
    <row r="250" spans="1:14" s="504" customFormat="1" ht="14.25" customHeight="1">
      <c r="A250" s="959"/>
      <c r="B250" s="967"/>
      <c r="C250" s="961"/>
      <c r="D250" s="967"/>
      <c r="E250" s="602"/>
      <c r="F250" s="1010"/>
      <c r="G250" s="610" t="s">
        <v>14</v>
      </c>
      <c r="H250" s="584">
        <f t="shared" si="58"/>
        <v>-1136226</v>
      </c>
      <c r="I250" s="585">
        <f t="shared" si="59"/>
        <v>-1136226</v>
      </c>
      <c r="J250" s="585">
        <v>0</v>
      </c>
      <c r="K250" s="585">
        <v>-1136226</v>
      </c>
      <c r="L250" s="585">
        <f t="shared" si="60"/>
        <v>0</v>
      </c>
      <c r="M250" s="585">
        <v>0</v>
      </c>
      <c r="N250" s="585">
        <v>0</v>
      </c>
    </row>
    <row r="251" spans="1:14" s="504" customFormat="1" ht="14.25" customHeight="1">
      <c r="A251" s="959"/>
      <c r="B251" s="960"/>
      <c r="C251" s="961"/>
      <c r="D251" s="960"/>
      <c r="E251" s="602"/>
      <c r="F251" s="1011"/>
      <c r="G251" s="601" t="s">
        <v>15</v>
      </c>
      <c r="H251" s="584">
        <f t="shared" si="58"/>
        <v>1747214</v>
      </c>
      <c r="I251" s="585">
        <f t="shared" si="59"/>
        <v>1747214</v>
      </c>
      <c r="J251" s="585">
        <f>J249+J250</f>
        <v>0</v>
      </c>
      <c r="K251" s="585">
        <f>K249+K250</f>
        <v>1747214</v>
      </c>
      <c r="L251" s="585">
        <f t="shared" si="60"/>
        <v>0</v>
      </c>
      <c r="M251" s="585">
        <f>M249+M250</f>
        <v>0</v>
      </c>
      <c r="N251" s="585">
        <f>N249+N250</f>
        <v>0</v>
      </c>
    </row>
    <row r="252" spans="1:14" s="504" customFormat="1" ht="15" customHeight="1" hidden="1">
      <c r="A252" s="959"/>
      <c r="B252" s="962"/>
      <c r="C252" s="961"/>
      <c r="D252" s="963"/>
      <c r="E252" s="601" t="s">
        <v>765</v>
      </c>
      <c r="F252" s="1009" t="s">
        <v>766</v>
      </c>
      <c r="G252" s="610" t="s">
        <v>13</v>
      </c>
      <c r="H252" s="584">
        <f t="shared" si="58"/>
        <v>630000</v>
      </c>
      <c r="I252" s="585">
        <f t="shared" si="59"/>
        <v>445000</v>
      </c>
      <c r="J252" s="585">
        <v>0</v>
      </c>
      <c r="K252" s="585">
        <f>330000+115000</f>
        <v>445000</v>
      </c>
      <c r="L252" s="585">
        <f t="shared" si="60"/>
        <v>185000</v>
      </c>
      <c r="M252" s="585">
        <v>0</v>
      </c>
      <c r="N252" s="585">
        <v>185000</v>
      </c>
    </row>
    <row r="253" spans="1:14" s="504" customFormat="1" ht="15" customHeight="1" hidden="1">
      <c r="A253" s="959"/>
      <c r="B253" s="967"/>
      <c r="C253" s="961"/>
      <c r="D253" s="967"/>
      <c r="E253" s="602"/>
      <c r="F253" s="1010"/>
      <c r="G253" s="610" t="s">
        <v>14</v>
      </c>
      <c r="H253" s="584">
        <f t="shared" si="58"/>
        <v>0</v>
      </c>
      <c r="I253" s="585">
        <f t="shared" si="59"/>
        <v>0</v>
      </c>
      <c r="J253" s="585">
        <v>0</v>
      </c>
      <c r="K253" s="585">
        <v>0</v>
      </c>
      <c r="L253" s="585">
        <f t="shared" si="60"/>
        <v>0</v>
      </c>
      <c r="M253" s="585">
        <v>0</v>
      </c>
      <c r="N253" s="585">
        <v>0</v>
      </c>
    </row>
    <row r="254" spans="1:14" s="504" customFormat="1" ht="15" customHeight="1" hidden="1">
      <c r="A254" s="959"/>
      <c r="B254" s="960"/>
      <c r="C254" s="961"/>
      <c r="D254" s="960"/>
      <c r="E254" s="602"/>
      <c r="F254" s="1011"/>
      <c r="G254" s="601" t="s">
        <v>15</v>
      </c>
      <c r="H254" s="584">
        <f t="shared" si="58"/>
        <v>630000</v>
      </c>
      <c r="I254" s="585">
        <f t="shared" si="59"/>
        <v>445000</v>
      </c>
      <c r="J254" s="585">
        <f>J252+J253</f>
        <v>0</v>
      </c>
      <c r="K254" s="585">
        <f>K252+K253</f>
        <v>445000</v>
      </c>
      <c r="L254" s="585">
        <f t="shared" si="60"/>
        <v>185000</v>
      </c>
      <c r="M254" s="585">
        <f>M252+M253</f>
        <v>0</v>
      </c>
      <c r="N254" s="585">
        <f>N252+N253</f>
        <v>185000</v>
      </c>
    </row>
    <row r="255" spans="1:14" s="504" customFormat="1" ht="14.25" customHeight="1">
      <c r="A255" s="959"/>
      <c r="B255" s="962"/>
      <c r="C255" s="961"/>
      <c r="D255" s="963"/>
      <c r="E255" s="601" t="s">
        <v>765</v>
      </c>
      <c r="F255" s="1009" t="s">
        <v>767</v>
      </c>
      <c r="G255" s="610" t="s">
        <v>13</v>
      </c>
      <c r="H255" s="584">
        <f t="shared" si="58"/>
        <v>244833</v>
      </c>
      <c r="I255" s="585">
        <f t="shared" si="59"/>
        <v>244833</v>
      </c>
      <c r="J255" s="585">
        <v>0</v>
      </c>
      <c r="K255" s="585">
        <v>244833</v>
      </c>
      <c r="L255" s="585">
        <f t="shared" si="60"/>
        <v>0</v>
      </c>
      <c r="M255" s="585">
        <v>0</v>
      </c>
      <c r="N255" s="585">
        <v>0</v>
      </c>
    </row>
    <row r="256" spans="1:14" s="504" customFormat="1" ht="14.25" customHeight="1">
      <c r="A256" s="959"/>
      <c r="B256" s="967"/>
      <c r="C256" s="961"/>
      <c r="D256" s="967"/>
      <c r="E256" s="602"/>
      <c r="F256" s="1010"/>
      <c r="G256" s="610" t="s">
        <v>14</v>
      </c>
      <c r="H256" s="584">
        <f t="shared" si="58"/>
        <v>-91833</v>
      </c>
      <c r="I256" s="585">
        <f t="shared" si="59"/>
        <v>-91833</v>
      </c>
      <c r="J256" s="585">
        <v>0</v>
      </c>
      <c r="K256" s="585">
        <v>-91833</v>
      </c>
      <c r="L256" s="585">
        <f t="shared" si="60"/>
        <v>0</v>
      </c>
      <c r="M256" s="585">
        <v>0</v>
      </c>
      <c r="N256" s="585">
        <v>0</v>
      </c>
    </row>
    <row r="257" spans="1:14" s="504" customFormat="1" ht="14.25" customHeight="1">
      <c r="A257" s="959"/>
      <c r="B257" s="960"/>
      <c r="C257" s="961"/>
      <c r="D257" s="960"/>
      <c r="E257" s="602"/>
      <c r="F257" s="1011"/>
      <c r="G257" s="601" t="s">
        <v>15</v>
      </c>
      <c r="H257" s="584">
        <f t="shared" si="58"/>
        <v>153000</v>
      </c>
      <c r="I257" s="585">
        <f t="shared" si="59"/>
        <v>153000</v>
      </c>
      <c r="J257" s="585">
        <f>J255+J256</f>
        <v>0</v>
      </c>
      <c r="K257" s="585">
        <f>K255+K256</f>
        <v>153000</v>
      </c>
      <c r="L257" s="585">
        <f t="shared" si="60"/>
        <v>0</v>
      </c>
      <c r="M257" s="585">
        <f>M255+M256</f>
        <v>0</v>
      </c>
      <c r="N257" s="585">
        <f>N255+N256</f>
        <v>0</v>
      </c>
    </row>
    <row r="258" spans="1:14" s="504" customFormat="1" ht="14.25" customHeight="1">
      <c r="A258" s="968" t="s">
        <v>34</v>
      </c>
      <c r="B258" s="969"/>
      <c r="C258" s="970" t="s">
        <v>295</v>
      </c>
      <c r="D258" s="971"/>
      <c r="E258" s="601" t="s">
        <v>768</v>
      </c>
      <c r="F258" s="1009" t="s">
        <v>769</v>
      </c>
      <c r="G258" s="610" t="s">
        <v>13</v>
      </c>
      <c r="H258" s="584">
        <f>I258+L258</f>
        <v>0</v>
      </c>
      <c r="I258" s="585">
        <f>J258+K258</f>
        <v>0</v>
      </c>
      <c r="J258" s="585">
        <v>0</v>
      </c>
      <c r="K258" s="585">
        <v>0</v>
      </c>
      <c r="L258" s="585">
        <f>M258+N258</f>
        <v>0</v>
      </c>
      <c r="M258" s="585">
        <v>0</v>
      </c>
      <c r="N258" s="585">
        <v>0</v>
      </c>
    </row>
    <row r="259" spans="1:14" s="504" customFormat="1" ht="14.25" customHeight="1">
      <c r="A259" s="959"/>
      <c r="B259" s="967"/>
      <c r="C259" s="961"/>
      <c r="D259" s="967"/>
      <c r="E259" s="602"/>
      <c r="F259" s="1010"/>
      <c r="G259" s="610" t="s">
        <v>14</v>
      </c>
      <c r="H259" s="584">
        <f>I259+L259</f>
        <v>3476942</v>
      </c>
      <c r="I259" s="585">
        <f>J259+K259</f>
        <v>3476942</v>
      </c>
      <c r="J259" s="585">
        <v>3476942</v>
      </c>
      <c r="K259" s="585">
        <v>0</v>
      </c>
      <c r="L259" s="585">
        <f>M259+N259</f>
        <v>0</v>
      </c>
      <c r="M259" s="585">
        <v>0</v>
      </c>
      <c r="N259" s="585">
        <v>0</v>
      </c>
    </row>
    <row r="260" spans="1:14" s="504" customFormat="1" ht="14.25" customHeight="1">
      <c r="A260" s="959"/>
      <c r="B260" s="960"/>
      <c r="C260" s="961"/>
      <c r="D260" s="960"/>
      <c r="E260" s="602"/>
      <c r="F260" s="1011"/>
      <c r="G260" s="601" t="s">
        <v>15</v>
      </c>
      <c r="H260" s="584">
        <f>I260+L260</f>
        <v>3476942</v>
      </c>
      <c r="I260" s="585">
        <f>J260+K260</f>
        <v>3476942</v>
      </c>
      <c r="J260" s="585">
        <f>J258+J259</f>
        <v>3476942</v>
      </c>
      <c r="K260" s="585">
        <f>K258+K259</f>
        <v>0</v>
      </c>
      <c r="L260" s="585">
        <f>M260+N260</f>
        <v>0</v>
      </c>
      <c r="M260" s="585">
        <f>M258+M259</f>
        <v>0</v>
      </c>
      <c r="N260" s="585">
        <f>N258+N259</f>
        <v>0</v>
      </c>
    </row>
    <row r="261" spans="1:14" s="504" customFormat="1" ht="15" customHeight="1" hidden="1">
      <c r="A261" s="959"/>
      <c r="B261" s="962"/>
      <c r="C261" s="970" t="s">
        <v>770</v>
      </c>
      <c r="D261" s="971"/>
      <c r="E261" s="601" t="s">
        <v>771</v>
      </c>
      <c r="F261" s="1009" t="s">
        <v>772</v>
      </c>
      <c r="G261" s="610" t="s">
        <v>13</v>
      </c>
      <c r="H261" s="584">
        <f t="shared" si="58"/>
        <v>2677000</v>
      </c>
      <c r="I261" s="585">
        <f t="shared" si="59"/>
        <v>2047000</v>
      </c>
      <c r="J261" s="585">
        <v>12000</v>
      </c>
      <c r="K261" s="585">
        <v>2035000</v>
      </c>
      <c r="L261" s="585">
        <f t="shared" si="60"/>
        <v>630000</v>
      </c>
      <c r="M261" s="585">
        <v>0</v>
      </c>
      <c r="N261" s="585">
        <v>630000</v>
      </c>
    </row>
    <row r="262" spans="1:14" s="504" customFormat="1" ht="15" customHeight="1" hidden="1">
      <c r="A262" s="959"/>
      <c r="B262" s="967"/>
      <c r="C262" s="961"/>
      <c r="D262" s="967"/>
      <c r="E262" s="602"/>
      <c r="F262" s="1010"/>
      <c r="G262" s="610" t="s">
        <v>14</v>
      </c>
      <c r="H262" s="584">
        <f t="shared" si="58"/>
        <v>0</v>
      </c>
      <c r="I262" s="585">
        <f t="shared" si="59"/>
        <v>0</v>
      </c>
      <c r="J262" s="585">
        <v>0</v>
      </c>
      <c r="K262" s="585">
        <v>0</v>
      </c>
      <c r="L262" s="585">
        <f t="shared" si="60"/>
        <v>0</v>
      </c>
      <c r="M262" s="585">
        <v>0</v>
      </c>
      <c r="N262" s="585">
        <v>0</v>
      </c>
    </row>
    <row r="263" spans="1:14" s="504" customFormat="1" ht="15" customHeight="1" hidden="1">
      <c r="A263" s="959"/>
      <c r="B263" s="960"/>
      <c r="C263" s="961"/>
      <c r="D263" s="960"/>
      <c r="E263" s="602"/>
      <c r="F263" s="1011"/>
      <c r="G263" s="601" t="s">
        <v>15</v>
      </c>
      <c r="H263" s="584">
        <f t="shared" si="58"/>
        <v>2677000</v>
      </c>
      <c r="I263" s="585">
        <f t="shared" si="59"/>
        <v>2047000</v>
      </c>
      <c r="J263" s="585">
        <f>J261+J262</f>
        <v>12000</v>
      </c>
      <c r="K263" s="585">
        <f>K261+K262</f>
        <v>2035000</v>
      </c>
      <c r="L263" s="585">
        <f t="shared" si="60"/>
        <v>630000</v>
      </c>
      <c r="M263" s="585">
        <f>M261+M262</f>
        <v>0</v>
      </c>
      <c r="N263" s="585">
        <f>N261+N262</f>
        <v>630000</v>
      </c>
    </row>
    <row r="264" spans="1:14" s="504" customFormat="1" ht="15" customHeight="1" hidden="1">
      <c r="A264" s="959"/>
      <c r="B264" s="962"/>
      <c r="C264" s="970" t="s">
        <v>773</v>
      </c>
      <c r="D264" s="971"/>
      <c r="E264" s="601" t="s">
        <v>774</v>
      </c>
      <c r="F264" s="1009" t="s">
        <v>775</v>
      </c>
      <c r="G264" s="610" t="s">
        <v>13</v>
      </c>
      <c r="H264" s="584">
        <f t="shared" si="58"/>
        <v>64000</v>
      </c>
      <c r="I264" s="585">
        <f t="shared" si="59"/>
        <v>58000</v>
      </c>
      <c r="J264" s="585">
        <v>0</v>
      </c>
      <c r="K264" s="585">
        <f>18000+40000</f>
        <v>58000</v>
      </c>
      <c r="L264" s="585">
        <f t="shared" si="60"/>
        <v>6000</v>
      </c>
      <c r="M264" s="585">
        <v>0</v>
      </c>
      <c r="N264" s="585">
        <v>6000</v>
      </c>
    </row>
    <row r="265" spans="1:14" s="504" customFormat="1" ht="15" customHeight="1" hidden="1">
      <c r="A265" s="959"/>
      <c r="B265" s="967"/>
      <c r="C265" s="961"/>
      <c r="D265" s="967"/>
      <c r="E265" s="602"/>
      <c r="F265" s="1010"/>
      <c r="G265" s="610" t="s">
        <v>14</v>
      </c>
      <c r="H265" s="584">
        <f aca="true" t="shared" si="61" ref="H265:H323">I265+L265</f>
        <v>0</v>
      </c>
      <c r="I265" s="585">
        <f aca="true" t="shared" si="62" ref="I265:I323">J265+K265</f>
        <v>0</v>
      </c>
      <c r="J265" s="585">
        <v>0</v>
      </c>
      <c r="K265" s="585">
        <v>0</v>
      </c>
      <c r="L265" s="585">
        <f aca="true" t="shared" si="63" ref="L265:L323">M265+N265</f>
        <v>0</v>
      </c>
      <c r="M265" s="585">
        <v>0</v>
      </c>
      <c r="N265" s="585">
        <v>0</v>
      </c>
    </row>
    <row r="266" spans="1:14" s="504" customFormat="1" ht="15" customHeight="1" hidden="1">
      <c r="A266" s="959"/>
      <c r="B266" s="960"/>
      <c r="C266" s="961"/>
      <c r="D266" s="960"/>
      <c r="E266" s="604"/>
      <c r="F266" s="1011"/>
      <c r="G266" s="601" t="s">
        <v>15</v>
      </c>
      <c r="H266" s="584">
        <f t="shared" si="61"/>
        <v>64000</v>
      </c>
      <c r="I266" s="585">
        <f t="shared" si="62"/>
        <v>58000</v>
      </c>
      <c r="J266" s="585">
        <f>J264+J265</f>
        <v>0</v>
      </c>
      <c r="K266" s="585">
        <f>K264+K265</f>
        <v>58000</v>
      </c>
      <c r="L266" s="585">
        <f t="shared" si="63"/>
        <v>6000</v>
      </c>
      <c r="M266" s="585">
        <f>M264+M265</f>
        <v>0</v>
      </c>
      <c r="N266" s="585">
        <f>N264+N265</f>
        <v>6000</v>
      </c>
    </row>
    <row r="267" spans="1:14" s="504" customFormat="1" ht="15" customHeight="1" hidden="1">
      <c r="A267" s="959"/>
      <c r="B267" s="962"/>
      <c r="C267" s="961"/>
      <c r="D267" s="963"/>
      <c r="E267" s="602" t="s">
        <v>776</v>
      </c>
      <c r="F267" s="1009" t="s">
        <v>777</v>
      </c>
      <c r="G267" s="610" t="s">
        <v>13</v>
      </c>
      <c r="H267" s="584">
        <f t="shared" si="61"/>
        <v>1007000</v>
      </c>
      <c r="I267" s="585">
        <f t="shared" si="62"/>
        <v>292000</v>
      </c>
      <c r="J267" s="585">
        <v>22000</v>
      </c>
      <c r="K267" s="585">
        <v>270000</v>
      </c>
      <c r="L267" s="585">
        <f t="shared" si="63"/>
        <v>715000</v>
      </c>
      <c r="M267" s="585">
        <v>65000</v>
      </c>
      <c r="N267" s="585">
        <v>650000</v>
      </c>
    </row>
    <row r="268" spans="1:14" s="504" customFormat="1" ht="15" customHeight="1" hidden="1">
      <c r="A268" s="959"/>
      <c r="B268" s="967"/>
      <c r="C268" s="961"/>
      <c r="D268" s="967"/>
      <c r="E268" s="602"/>
      <c r="F268" s="1010"/>
      <c r="G268" s="610" t="s">
        <v>14</v>
      </c>
      <c r="H268" s="584">
        <f t="shared" si="61"/>
        <v>0</v>
      </c>
      <c r="I268" s="585">
        <f t="shared" si="62"/>
        <v>0</v>
      </c>
      <c r="J268" s="585">
        <v>0</v>
      </c>
      <c r="K268" s="585">
        <v>0</v>
      </c>
      <c r="L268" s="585">
        <f t="shared" si="63"/>
        <v>0</v>
      </c>
      <c r="M268" s="585">
        <v>0</v>
      </c>
      <c r="N268" s="585">
        <v>0</v>
      </c>
    </row>
    <row r="269" spans="1:14" s="504" customFormat="1" ht="15" customHeight="1" hidden="1">
      <c r="A269" s="959"/>
      <c r="B269" s="960"/>
      <c r="C269" s="961"/>
      <c r="D269" s="960"/>
      <c r="E269" s="602"/>
      <c r="F269" s="1011"/>
      <c r="G269" s="601" t="s">
        <v>15</v>
      </c>
      <c r="H269" s="584">
        <f t="shared" si="61"/>
        <v>1007000</v>
      </c>
      <c r="I269" s="585">
        <f t="shared" si="62"/>
        <v>292000</v>
      </c>
      <c r="J269" s="585">
        <f>J267+J268</f>
        <v>22000</v>
      </c>
      <c r="K269" s="585">
        <f>K267+K268</f>
        <v>270000</v>
      </c>
      <c r="L269" s="585">
        <f t="shared" si="63"/>
        <v>715000</v>
      </c>
      <c r="M269" s="585">
        <f>M267+M268</f>
        <v>65000</v>
      </c>
      <c r="N269" s="585">
        <f>N267+N268</f>
        <v>650000</v>
      </c>
    </row>
    <row r="270" spans="1:14" s="504" customFormat="1" ht="15" customHeight="1" hidden="1">
      <c r="A270" s="968" t="s">
        <v>240</v>
      </c>
      <c r="B270" s="969"/>
      <c r="C270" s="970" t="s">
        <v>778</v>
      </c>
      <c r="D270" s="971"/>
      <c r="E270" s="601" t="s">
        <v>779</v>
      </c>
      <c r="F270" s="1009" t="s">
        <v>780</v>
      </c>
      <c r="G270" s="610" t="s">
        <v>13</v>
      </c>
      <c r="H270" s="584">
        <f t="shared" si="61"/>
        <v>2030000</v>
      </c>
      <c r="I270" s="585">
        <f t="shared" si="62"/>
        <v>0</v>
      </c>
      <c r="J270" s="585">
        <v>0</v>
      </c>
      <c r="K270" s="585">
        <v>0</v>
      </c>
      <c r="L270" s="585">
        <f t="shared" si="63"/>
        <v>2030000</v>
      </c>
      <c r="M270" s="585">
        <v>80000</v>
      </c>
      <c r="N270" s="585">
        <v>1950000</v>
      </c>
    </row>
    <row r="271" spans="1:14" s="504" customFormat="1" ht="15" customHeight="1" hidden="1">
      <c r="A271" s="959"/>
      <c r="B271" s="967"/>
      <c r="C271" s="961"/>
      <c r="D271" s="967"/>
      <c r="E271" s="602"/>
      <c r="F271" s="1010"/>
      <c r="G271" s="610" t="s">
        <v>14</v>
      </c>
      <c r="H271" s="584">
        <f t="shared" si="61"/>
        <v>0</v>
      </c>
      <c r="I271" s="585">
        <f t="shared" si="62"/>
        <v>0</v>
      </c>
      <c r="J271" s="585">
        <v>0</v>
      </c>
      <c r="K271" s="585">
        <v>0</v>
      </c>
      <c r="L271" s="585">
        <f t="shared" si="63"/>
        <v>0</v>
      </c>
      <c r="M271" s="585">
        <v>0</v>
      </c>
      <c r="N271" s="585">
        <v>0</v>
      </c>
    </row>
    <row r="272" spans="1:14" s="504" customFormat="1" ht="15" customHeight="1" hidden="1">
      <c r="A272" s="959"/>
      <c r="B272" s="960"/>
      <c r="C272" s="961"/>
      <c r="D272" s="960"/>
      <c r="E272" s="602"/>
      <c r="F272" s="1011"/>
      <c r="G272" s="601" t="s">
        <v>15</v>
      </c>
      <c r="H272" s="584">
        <f t="shared" si="61"/>
        <v>2030000</v>
      </c>
      <c r="I272" s="585">
        <f t="shared" si="62"/>
        <v>0</v>
      </c>
      <c r="J272" s="585">
        <f>J270+J271</f>
        <v>0</v>
      </c>
      <c r="K272" s="585">
        <f>K270+K271</f>
        <v>0</v>
      </c>
      <c r="L272" s="585">
        <f t="shared" si="63"/>
        <v>2030000</v>
      </c>
      <c r="M272" s="585">
        <f>M270+M271</f>
        <v>80000</v>
      </c>
      <c r="N272" s="585">
        <f>N270+N271</f>
        <v>1950000</v>
      </c>
    </row>
    <row r="273" spans="1:14" s="504" customFormat="1" ht="15" customHeight="1" hidden="1">
      <c r="A273" s="959"/>
      <c r="B273" s="962"/>
      <c r="C273" s="970" t="s">
        <v>781</v>
      </c>
      <c r="D273" s="971"/>
      <c r="E273" s="601" t="s">
        <v>782</v>
      </c>
      <c r="F273" s="1009" t="s">
        <v>783</v>
      </c>
      <c r="G273" s="610" t="s">
        <v>13</v>
      </c>
      <c r="H273" s="584">
        <f t="shared" si="61"/>
        <v>242000</v>
      </c>
      <c r="I273" s="585">
        <f t="shared" si="62"/>
        <v>211000</v>
      </c>
      <c r="J273" s="585">
        <v>0</v>
      </c>
      <c r="K273" s="585">
        <f>195000+16000</f>
        <v>211000</v>
      </c>
      <c r="L273" s="585">
        <f t="shared" si="63"/>
        <v>31000</v>
      </c>
      <c r="M273" s="585">
        <v>3000</v>
      </c>
      <c r="N273" s="585">
        <v>28000</v>
      </c>
    </row>
    <row r="274" spans="1:14" s="504" customFormat="1" ht="15" customHeight="1" hidden="1">
      <c r="A274" s="959"/>
      <c r="B274" s="967"/>
      <c r="C274" s="961"/>
      <c r="D274" s="967"/>
      <c r="E274" s="602"/>
      <c r="F274" s="1010"/>
      <c r="G274" s="610" t="s">
        <v>14</v>
      </c>
      <c r="H274" s="584">
        <f t="shared" si="61"/>
        <v>0</v>
      </c>
      <c r="I274" s="585">
        <f t="shared" si="62"/>
        <v>0</v>
      </c>
      <c r="J274" s="585">
        <v>0</v>
      </c>
      <c r="K274" s="585">
        <f>-5000+5000</f>
        <v>0</v>
      </c>
      <c r="L274" s="585">
        <f t="shared" si="63"/>
        <v>0</v>
      </c>
      <c r="M274" s="585">
        <v>0</v>
      </c>
      <c r="N274" s="585">
        <v>0</v>
      </c>
    </row>
    <row r="275" spans="1:14" s="504" customFormat="1" ht="15" customHeight="1" hidden="1">
      <c r="A275" s="959"/>
      <c r="B275" s="960"/>
      <c r="C275" s="961"/>
      <c r="D275" s="960"/>
      <c r="E275" s="602"/>
      <c r="F275" s="1011"/>
      <c r="G275" s="601" t="s">
        <v>15</v>
      </c>
      <c r="H275" s="584">
        <f t="shared" si="61"/>
        <v>242000</v>
      </c>
      <c r="I275" s="585">
        <f t="shared" si="62"/>
        <v>211000</v>
      </c>
      <c r="J275" s="585">
        <f>J273+J274</f>
        <v>0</v>
      </c>
      <c r="K275" s="585">
        <f>K273+K274</f>
        <v>211000</v>
      </c>
      <c r="L275" s="585">
        <f t="shared" si="63"/>
        <v>31000</v>
      </c>
      <c r="M275" s="585">
        <f>M273+M274</f>
        <v>3000</v>
      </c>
      <c r="N275" s="585">
        <f>N273+N274</f>
        <v>28000</v>
      </c>
    </row>
    <row r="276" spans="1:14" s="504" customFormat="1" ht="15" customHeight="1" hidden="1">
      <c r="A276" s="959"/>
      <c r="B276" s="962"/>
      <c r="C276" s="970" t="s">
        <v>784</v>
      </c>
      <c r="D276" s="971"/>
      <c r="E276" s="601" t="s">
        <v>785</v>
      </c>
      <c r="F276" s="1009" t="s">
        <v>786</v>
      </c>
      <c r="G276" s="609" t="s">
        <v>13</v>
      </c>
      <c r="H276" s="552">
        <f t="shared" si="61"/>
        <v>655000</v>
      </c>
      <c r="I276" s="553">
        <f t="shared" si="62"/>
        <v>75000</v>
      </c>
      <c r="J276" s="553">
        <v>0</v>
      </c>
      <c r="K276" s="553">
        <v>75000</v>
      </c>
      <c r="L276" s="553">
        <f t="shared" si="63"/>
        <v>580000</v>
      </c>
      <c r="M276" s="553">
        <v>0</v>
      </c>
      <c r="N276" s="553">
        <v>580000</v>
      </c>
    </row>
    <row r="277" spans="1:14" s="504" customFormat="1" ht="15" customHeight="1" hidden="1">
      <c r="A277" s="959"/>
      <c r="B277" s="967"/>
      <c r="C277" s="961"/>
      <c r="D277" s="967"/>
      <c r="E277" s="602"/>
      <c r="F277" s="1010"/>
      <c r="G277" s="609" t="s">
        <v>14</v>
      </c>
      <c r="H277" s="552">
        <f t="shared" si="61"/>
        <v>0</v>
      </c>
      <c r="I277" s="553">
        <f t="shared" si="62"/>
        <v>0</v>
      </c>
      <c r="J277" s="553">
        <v>0</v>
      </c>
      <c r="K277" s="553">
        <v>0</v>
      </c>
      <c r="L277" s="553">
        <f t="shared" si="63"/>
        <v>0</v>
      </c>
      <c r="M277" s="553">
        <v>0</v>
      </c>
      <c r="N277" s="553">
        <v>0</v>
      </c>
    </row>
    <row r="278" spans="1:14" s="504" customFormat="1" ht="15" customHeight="1" hidden="1">
      <c r="A278" s="959"/>
      <c r="B278" s="960"/>
      <c r="C278" s="961"/>
      <c r="D278" s="960"/>
      <c r="E278" s="602"/>
      <c r="F278" s="1011"/>
      <c r="G278" s="601" t="s">
        <v>15</v>
      </c>
      <c r="H278" s="584">
        <f t="shared" si="61"/>
        <v>655000</v>
      </c>
      <c r="I278" s="585">
        <f t="shared" si="62"/>
        <v>75000</v>
      </c>
      <c r="J278" s="585">
        <f>J276+J277</f>
        <v>0</v>
      </c>
      <c r="K278" s="585">
        <f>K276+K277</f>
        <v>75000</v>
      </c>
      <c r="L278" s="585">
        <f t="shared" si="63"/>
        <v>580000</v>
      </c>
      <c r="M278" s="585">
        <f>M276+M277</f>
        <v>0</v>
      </c>
      <c r="N278" s="585">
        <f>N276+N277</f>
        <v>580000</v>
      </c>
    </row>
    <row r="279" spans="1:14" s="504" customFormat="1" ht="14.25" customHeight="1">
      <c r="A279" s="968" t="s">
        <v>240</v>
      </c>
      <c r="B279" s="969"/>
      <c r="C279" s="970" t="s">
        <v>784</v>
      </c>
      <c r="D279" s="971"/>
      <c r="E279" s="601" t="s">
        <v>785</v>
      </c>
      <c r="F279" s="1009" t="s">
        <v>787</v>
      </c>
      <c r="G279" s="609" t="s">
        <v>13</v>
      </c>
      <c r="H279" s="552">
        <f>I279+L279</f>
        <v>0</v>
      </c>
      <c r="I279" s="553">
        <f>J279+K279</f>
        <v>0</v>
      </c>
      <c r="J279" s="553">
        <v>0</v>
      </c>
      <c r="K279" s="553">
        <v>0</v>
      </c>
      <c r="L279" s="553">
        <f>M279+N279</f>
        <v>0</v>
      </c>
      <c r="M279" s="553">
        <v>0</v>
      </c>
      <c r="N279" s="553">
        <v>0</v>
      </c>
    </row>
    <row r="280" spans="1:14" s="504" customFormat="1" ht="14.25" customHeight="1">
      <c r="A280" s="959"/>
      <c r="B280" s="967"/>
      <c r="C280" s="961"/>
      <c r="D280" s="967"/>
      <c r="E280" s="602"/>
      <c r="F280" s="1010"/>
      <c r="G280" s="609" t="s">
        <v>14</v>
      </c>
      <c r="H280" s="552">
        <f>I280+L280</f>
        <v>2343167</v>
      </c>
      <c r="I280" s="553">
        <f>J280+K280</f>
        <v>2343167</v>
      </c>
      <c r="J280" s="553">
        <v>0</v>
      </c>
      <c r="K280" s="553">
        <v>2343167</v>
      </c>
      <c r="L280" s="553">
        <f>M280+N280</f>
        <v>0</v>
      </c>
      <c r="M280" s="553">
        <v>0</v>
      </c>
      <c r="N280" s="553">
        <v>0</v>
      </c>
    </row>
    <row r="281" spans="1:14" s="504" customFormat="1" ht="14.25" customHeight="1">
      <c r="A281" s="959"/>
      <c r="B281" s="960"/>
      <c r="C281" s="961"/>
      <c r="D281" s="960"/>
      <c r="E281" s="602"/>
      <c r="F281" s="1011"/>
      <c r="G281" s="601" t="s">
        <v>15</v>
      </c>
      <c r="H281" s="584">
        <f>I281+L281</f>
        <v>2343167</v>
      </c>
      <c r="I281" s="585">
        <f>J281+K281</f>
        <v>2343167</v>
      </c>
      <c r="J281" s="585">
        <f>J279+J280</f>
        <v>0</v>
      </c>
      <c r="K281" s="585">
        <f>K279+K280</f>
        <v>2343167</v>
      </c>
      <c r="L281" s="585">
        <f>M281+N281</f>
        <v>0</v>
      </c>
      <c r="M281" s="585">
        <f>M279+M280</f>
        <v>0</v>
      </c>
      <c r="N281" s="585">
        <f>N279+N280</f>
        <v>0</v>
      </c>
    </row>
    <row r="282" spans="1:14" s="504" customFormat="1" ht="14.25" customHeight="1">
      <c r="A282" s="959"/>
      <c r="B282" s="962"/>
      <c r="C282" s="961"/>
      <c r="D282" s="963"/>
      <c r="E282" s="601" t="s">
        <v>788</v>
      </c>
      <c r="F282" s="1009" t="s">
        <v>789</v>
      </c>
      <c r="G282" s="610" t="s">
        <v>13</v>
      </c>
      <c r="H282" s="584">
        <f t="shared" si="61"/>
        <v>2451901</v>
      </c>
      <c r="I282" s="585">
        <f t="shared" si="62"/>
        <v>0</v>
      </c>
      <c r="J282" s="585">
        <v>0</v>
      </c>
      <c r="K282" s="585">
        <v>0</v>
      </c>
      <c r="L282" s="585">
        <f t="shared" si="63"/>
        <v>2451901</v>
      </c>
      <c r="M282" s="585">
        <v>0</v>
      </c>
      <c r="N282" s="585">
        <v>2451901</v>
      </c>
    </row>
    <row r="283" spans="1:14" s="504" customFormat="1" ht="14.25" customHeight="1">
      <c r="A283" s="959"/>
      <c r="B283" s="967"/>
      <c r="C283" s="961"/>
      <c r="D283" s="967"/>
      <c r="E283" s="602"/>
      <c r="F283" s="1010"/>
      <c r="G283" s="610" t="s">
        <v>14</v>
      </c>
      <c r="H283" s="584">
        <f t="shared" si="61"/>
        <v>385661</v>
      </c>
      <c r="I283" s="585">
        <f t="shared" si="62"/>
        <v>0</v>
      </c>
      <c r="J283" s="585">
        <v>0</v>
      </c>
      <c r="K283" s="585">
        <v>0</v>
      </c>
      <c r="L283" s="585">
        <f t="shared" si="63"/>
        <v>385661</v>
      </c>
      <c r="M283" s="585">
        <v>0</v>
      </c>
      <c r="N283" s="585">
        <v>385661</v>
      </c>
    </row>
    <row r="284" spans="1:14" s="504" customFormat="1" ht="14.25" customHeight="1">
      <c r="A284" s="959"/>
      <c r="B284" s="960"/>
      <c r="C284" s="961"/>
      <c r="D284" s="960"/>
      <c r="E284" s="602"/>
      <c r="F284" s="1011"/>
      <c r="G284" s="601" t="s">
        <v>15</v>
      </c>
      <c r="H284" s="584">
        <f t="shared" si="61"/>
        <v>2837562</v>
      </c>
      <c r="I284" s="585">
        <f t="shared" si="62"/>
        <v>0</v>
      </c>
      <c r="J284" s="585">
        <f>J282+J283</f>
        <v>0</v>
      </c>
      <c r="K284" s="585">
        <f>K282+K283</f>
        <v>0</v>
      </c>
      <c r="L284" s="585">
        <f t="shared" si="63"/>
        <v>2837562</v>
      </c>
      <c r="M284" s="585">
        <f>M282+M283</f>
        <v>0</v>
      </c>
      <c r="N284" s="585">
        <f>N282+N283</f>
        <v>2837562</v>
      </c>
    </row>
    <row r="285" spans="1:14" s="504" customFormat="1" ht="14.25" customHeight="1">
      <c r="A285" s="959"/>
      <c r="B285" s="962"/>
      <c r="C285" s="961"/>
      <c r="D285" s="963"/>
      <c r="E285" s="602"/>
      <c r="F285" s="1009" t="s">
        <v>790</v>
      </c>
      <c r="G285" s="610" t="s">
        <v>13</v>
      </c>
      <c r="H285" s="584">
        <f t="shared" si="61"/>
        <v>1005777</v>
      </c>
      <c r="I285" s="585">
        <f t="shared" si="62"/>
        <v>1005777</v>
      </c>
      <c r="J285" s="585">
        <v>0</v>
      </c>
      <c r="K285" s="585">
        <v>1005777</v>
      </c>
      <c r="L285" s="585">
        <f t="shared" si="63"/>
        <v>0</v>
      </c>
      <c r="M285" s="585">
        <v>0</v>
      </c>
      <c r="N285" s="585">
        <v>0</v>
      </c>
    </row>
    <row r="286" spans="1:14" s="504" customFormat="1" ht="14.25" customHeight="1">
      <c r="A286" s="959"/>
      <c r="B286" s="967"/>
      <c r="C286" s="961"/>
      <c r="D286" s="967"/>
      <c r="E286" s="602"/>
      <c r="F286" s="1010"/>
      <c r="G286" s="610" t="s">
        <v>14</v>
      </c>
      <c r="H286" s="584">
        <f t="shared" si="61"/>
        <v>72866</v>
      </c>
      <c r="I286" s="585">
        <f t="shared" si="62"/>
        <v>72866</v>
      </c>
      <c r="J286" s="585">
        <v>0</v>
      </c>
      <c r="K286" s="585">
        <v>72866</v>
      </c>
      <c r="L286" s="585">
        <f t="shared" si="63"/>
        <v>0</v>
      </c>
      <c r="M286" s="585">
        <v>0</v>
      </c>
      <c r="N286" s="585">
        <v>0</v>
      </c>
    </row>
    <row r="287" spans="1:14" s="504" customFormat="1" ht="14.25" customHeight="1">
      <c r="A287" s="959"/>
      <c r="B287" s="960"/>
      <c r="C287" s="961"/>
      <c r="D287" s="960"/>
      <c r="E287" s="602"/>
      <c r="F287" s="1011"/>
      <c r="G287" s="601" t="s">
        <v>15</v>
      </c>
      <c r="H287" s="584">
        <f t="shared" si="61"/>
        <v>1078643</v>
      </c>
      <c r="I287" s="585">
        <f t="shared" si="62"/>
        <v>1078643</v>
      </c>
      <c r="J287" s="585">
        <f>J285+J286</f>
        <v>0</v>
      </c>
      <c r="K287" s="585">
        <f>K285+K286</f>
        <v>1078643</v>
      </c>
      <c r="L287" s="585">
        <f t="shared" si="63"/>
        <v>0</v>
      </c>
      <c r="M287" s="585">
        <f>M285+M286</f>
        <v>0</v>
      </c>
      <c r="N287" s="585">
        <f>N285+N286</f>
        <v>0</v>
      </c>
    </row>
    <row r="288" spans="1:14" s="504" customFormat="1" ht="14.25" customHeight="1">
      <c r="A288" s="959"/>
      <c r="B288" s="962"/>
      <c r="C288" s="961"/>
      <c r="D288" s="963"/>
      <c r="E288" s="601" t="s">
        <v>791</v>
      </c>
      <c r="F288" s="1009" t="s">
        <v>792</v>
      </c>
      <c r="G288" s="610" t="s">
        <v>13</v>
      </c>
      <c r="H288" s="584">
        <f t="shared" si="61"/>
        <v>6355000</v>
      </c>
      <c r="I288" s="585">
        <f t="shared" si="62"/>
        <v>1505000</v>
      </c>
      <c r="J288" s="585">
        <v>45000</v>
      </c>
      <c r="K288" s="585">
        <f>1175000+285000</f>
        <v>1460000</v>
      </c>
      <c r="L288" s="585">
        <f t="shared" si="63"/>
        <v>4850000</v>
      </c>
      <c r="M288" s="585">
        <v>150000</v>
      </c>
      <c r="N288" s="585">
        <v>4700000</v>
      </c>
    </row>
    <row r="289" spans="1:14" s="504" customFormat="1" ht="14.25" customHeight="1">
      <c r="A289" s="959"/>
      <c r="B289" s="967"/>
      <c r="C289" s="961"/>
      <c r="D289" s="967"/>
      <c r="E289" s="602"/>
      <c r="F289" s="1010"/>
      <c r="G289" s="610" t="s">
        <v>14</v>
      </c>
      <c r="H289" s="584">
        <f t="shared" si="61"/>
        <v>-314959</v>
      </c>
      <c r="I289" s="585">
        <f t="shared" si="62"/>
        <v>0</v>
      </c>
      <c r="J289" s="585">
        <v>0</v>
      </c>
      <c r="K289" s="585">
        <v>0</v>
      </c>
      <c r="L289" s="585">
        <f t="shared" si="63"/>
        <v>-314959</v>
      </c>
      <c r="M289" s="585">
        <v>0</v>
      </c>
      <c r="N289" s="585">
        <v>-314959</v>
      </c>
    </row>
    <row r="290" spans="1:14" s="504" customFormat="1" ht="14.25" customHeight="1">
      <c r="A290" s="977"/>
      <c r="B290" s="978"/>
      <c r="C290" s="979"/>
      <c r="D290" s="978"/>
      <c r="E290" s="604"/>
      <c r="F290" s="1011"/>
      <c r="G290" s="605" t="s">
        <v>15</v>
      </c>
      <c r="H290" s="552">
        <f t="shared" si="61"/>
        <v>6040041</v>
      </c>
      <c r="I290" s="553">
        <f t="shared" si="62"/>
        <v>1505000</v>
      </c>
      <c r="J290" s="553">
        <f>J288+J289</f>
        <v>45000</v>
      </c>
      <c r="K290" s="553">
        <f>K288+K289</f>
        <v>1460000</v>
      </c>
      <c r="L290" s="553">
        <f t="shared" si="63"/>
        <v>4535041</v>
      </c>
      <c r="M290" s="553">
        <f>M288+M289</f>
        <v>150000</v>
      </c>
      <c r="N290" s="553">
        <f>N288+N289</f>
        <v>4385041</v>
      </c>
    </row>
    <row r="291" spans="1:14" s="504" customFormat="1" ht="15" customHeight="1">
      <c r="A291" s="968"/>
      <c r="B291" s="969"/>
      <c r="C291" s="970"/>
      <c r="D291" s="971"/>
      <c r="E291" s="601"/>
      <c r="F291" s="1009" t="s">
        <v>793</v>
      </c>
      <c r="G291" s="609" t="s">
        <v>13</v>
      </c>
      <c r="H291" s="552">
        <f t="shared" si="61"/>
        <v>5197165</v>
      </c>
      <c r="I291" s="553">
        <f t="shared" si="62"/>
        <v>5197165</v>
      </c>
      <c r="J291" s="553">
        <v>0</v>
      </c>
      <c r="K291" s="553">
        <v>5197165</v>
      </c>
      <c r="L291" s="553">
        <f t="shared" si="63"/>
        <v>0</v>
      </c>
      <c r="M291" s="553">
        <v>0</v>
      </c>
      <c r="N291" s="553">
        <v>0</v>
      </c>
    </row>
    <row r="292" spans="1:14" s="504" customFormat="1" ht="15" customHeight="1">
      <c r="A292" s="959"/>
      <c r="B292" s="967"/>
      <c r="C292" s="961"/>
      <c r="D292" s="967"/>
      <c r="E292" s="602"/>
      <c r="F292" s="1010"/>
      <c r="G292" s="609" t="s">
        <v>14</v>
      </c>
      <c r="H292" s="552">
        <f t="shared" si="61"/>
        <v>-5197165</v>
      </c>
      <c r="I292" s="553">
        <f t="shared" si="62"/>
        <v>-5197165</v>
      </c>
      <c r="J292" s="553">
        <v>0</v>
      </c>
      <c r="K292" s="553">
        <f>-5197165</f>
        <v>-5197165</v>
      </c>
      <c r="L292" s="553">
        <f t="shared" si="63"/>
        <v>0</v>
      </c>
      <c r="M292" s="553">
        <v>0</v>
      </c>
      <c r="N292" s="553">
        <v>0</v>
      </c>
    </row>
    <row r="293" spans="1:14" s="504" customFormat="1" ht="15" customHeight="1">
      <c r="A293" s="977"/>
      <c r="B293" s="978"/>
      <c r="C293" s="979"/>
      <c r="D293" s="978"/>
      <c r="E293" s="604"/>
      <c r="F293" s="1011"/>
      <c r="G293" s="605" t="s">
        <v>15</v>
      </c>
      <c r="H293" s="552">
        <f t="shared" si="61"/>
        <v>0</v>
      </c>
      <c r="I293" s="553">
        <f t="shared" si="62"/>
        <v>0</v>
      </c>
      <c r="J293" s="553">
        <f>J291+J292</f>
        <v>0</v>
      </c>
      <c r="K293" s="553">
        <f>K291+K292</f>
        <v>0</v>
      </c>
      <c r="L293" s="553">
        <f t="shared" si="63"/>
        <v>0</v>
      </c>
      <c r="M293" s="553">
        <f>M291+M292</f>
        <v>0</v>
      </c>
      <c r="N293" s="553">
        <f>N291+N292</f>
        <v>0</v>
      </c>
    </row>
    <row r="294" spans="1:14" s="593" customFormat="1" ht="15" customHeight="1" hidden="1">
      <c r="A294" s="946" t="s">
        <v>77</v>
      </c>
      <c r="B294" s="947"/>
      <c r="C294" s="948" t="s">
        <v>344</v>
      </c>
      <c r="D294" s="949"/>
      <c r="E294" s="608" t="s">
        <v>794</v>
      </c>
      <c r="F294" s="1009" t="s">
        <v>795</v>
      </c>
      <c r="G294" s="610" t="s">
        <v>13</v>
      </c>
      <c r="H294" s="584">
        <f t="shared" si="61"/>
        <v>1955198</v>
      </c>
      <c r="I294" s="585">
        <f t="shared" si="62"/>
        <v>64000</v>
      </c>
      <c r="J294" s="585">
        <v>0</v>
      </c>
      <c r="K294" s="585">
        <v>64000</v>
      </c>
      <c r="L294" s="585">
        <f t="shared" si="63"/>
        <v>1891198</v>
      </c>
      <c r="M294" s="585">
        <v>0</v>
      </c>
      <c r="N294" s="585">
        <v>1891198</v>
      </c>
    </row>
    <row r="295" spans="1:14" s="593" customFormat="1" ht="15" customHeight="1" hidden="1">
      <c r="A295" s="972"/>
      <c r="B295" s="967"/>
      <c r="C295" s="974"/>
      <c r="D295" s="967"/>
      <c r="E295" s="603"/>
      <c r="F295" s="1010"/>
      <c r="G295" s="610" t="s">
        <v>14</v>
      </c>
      <c r="H295" s="584">
        <f t="shared" si="61"/>
        <v>0</v>
      </c>
      <c r="I295" s="585">
        <f t="shared" si="62"/>
        <v>0</v>
      </c>
      <c r="J295" s="585">
        <v>0</v>
      </c>
      <c r="K295" s="585">
        <v>0</v>
      </c>
      <c r="L295" s="585">
        <f t="shared" si="63"/>
        <v>0</v>
      </c>
      <c r="M295" s="585">
        <v>0</v>
      </c>
      <c r="N295" s="585">
        <v>0</v>
      </c>
    </row>
    <row r="296" spans="1:14" s="504" customFormat="1" ht="15" customHeight="1" hidden="1">
      <c r="A296" s="959"/>
      <c r="B296" s="960"/>
      <c r="C296" s="961"/>
      <c r="D296" s="960"/>
      <c r="E296" s="602"/>
      <c r="F296" s="1011"/>
      <c r="G296" s="601" t="s">
        <v>15</v>
      </c>
      <c r="H296" s="584">
        <f t="shared" si="61"/>
        <v>1955198</v>
      </c>
      <c r="I296" s="585">
        <f t="shared" si="62"/>
        <v>64000</v>
      </c>
      <c r="J296" s="585">
        <f>J294+J295</f>
        <v>0</v>
      </c>
      <c r="K296" s="585">
        <f>K294+K295</f>
        <v>64000</v>
      </c>
      <c r="L296" s="585">
        <f t="shared" si="63"/>
        <v>1891198</v>
      </c>
      <c r="M296" s="585">
        <f>M294+M295</f>
        <v>0</v>
      </c>
      <c r="N296" s="585">
        <f>N294+N295</f>
        <v>1891198</v>
      </c>
    </row>
    <row r="297" spans="1:14" s="504" customFormat="1" ht="24.75" customHeight="1" hidden="1">
      <c r="A297" s="959"/>
      <c r="B297" s="962"/>
      <c r="C297" s="961"/>
      <c r="D297" s="963"/>
      <c r="E297" s="601" t="s">
        <v>796</v>
      </c>
      <c r="F297" s="1012" t="s">
        <v>797</v>
      </c>
      <c r="G297" s="610" t="s">
        <v>13</v>
      </c>
      <c r="H297" s="584">
        <f t="shared" si="61"/>
        <v>0</v>
      </c>
      <c r="I297" s="585">
        <f t="shared" si="62"/>
        <v>0</v>
      </c>
      <c r="J297" s="585">
        <v>0</v>
      </c>
      <c r="K297" s="585">
        <v>0</v>
      </c>
      <c r="L297" s="585">
        <f t="shared" si="63"/>
        <v>0</v>
      </c>
      <c r="M297" s="585">
        <v>0</v>
      </c>
      <c r="N297" s="585">
        <v>0</v>
      </c>
    </row>
    <row r="298" spans="1:14" s="504" customFormat="1" ht="24.75" customHeight="1" hidden="1">
      <c r="A298" s="959"/>
      <c r="B298" s="967"/>
      <c r="C298" s="961"/>
      <c r="D298" s="967"/>
      <c r="E298" s="602"/>
      <c r="F298" s="1010"/>
      <c r="G298" s="610" t="s">
        <v>14</v>
      </c>
      <c r="H298" s="584">
        <f t="shared" si="61"/>
        <v>0</v>
      </c>
      <c r="I298" s="585">
        <f t="shared" si="62"/>
        <v>0</v>
      </c>
      <c r="J298" s="585">
        <v>0</v>
      </c>
      <c r="K298" s="585">
        <v>0</v>
      </c>
      <c r="L298" s="585">
        <f t="shared" si="63"/>
        <v>0</v>
      </c>
      <c r="M298" s="585">
        <v>0</v>
      </c>
      <c r="N298" s="585">
        <v>0</v>
      </c>
    </row>
    <row r="299" spans="1:14" s="504" customFormat="1" ht="24.75" customHeight="1" hidden="1">
      <c r="A299" s="959"/>
      <c r="B299" s="960"/>
      <c r="C299" s="961"/>
      <c r="D299" s="960"/>
      <c r="E299" s="602"/>
      <c r="F299" s="1011"/>
      <c r="G299" s="601" t="s">
        <v>15</v>
      </c>
      <c r="H299" s="584">
        <f t="shared" si="61"/>
        <v>0</v>
      </c>
      <c r="I299" s="585">
        <f t="shared" si="62"/>
        <v>0</v>
      </c>
      <c r="J299" s="585">
        <f>J297+J298</f>
        <v>0</v>
      </c>
      <c r="K299" s="585">
        <f>K297+K298</f>
        <v>0</v>
      </c>
      <c r="L299" s="585">
        <f t="shared" si="63"/>
        <v>0</v>
      </c>
      <c r="M299" s="585">
        <f>M297+M298</f>
        <v>0</v>
      </c>
      <c r="N299" s="585">
        <f>N297+N298</f>
        <v>0</v>
      </c>
    </row>
    <row r="300" spans="1:14" s="504" customFormat="1" ht="15" customHeight="1" hidden="1">
      <c r="A300" s="959"/>
      <c r="B300" s="962"/>
      <c r="C300" s="961"/>
      <c r="D300" s="963"/>
      <c r="E300" s="601" t="s">
        <v>798</v>
      </c>
      <c r="F300" s="1009" t="s">
        <v>799</v>
      </c>
      <c r="G300" s="610" t="s">
        <v>13</v>
      </c>
      <c r="H300" s="584">
        <f t="shared" si="61"/>
        <v>376530</v>
      </c>
      <c r="I300" s="585">
        <f t="shared" si="62"/>
        <v>0</v>
      </c>
      <c r="J300" s="585">
        <v>0</v>
      </c>
      <c r="K300" s="585">
        <v>0</v>
      </c>
      <c r="L300" s="585">
        <f t="shared" si="63"/>
        <v>376530</v>
      </c>
      <c r="M300" s="585">
        <v>0</v>
      </c>
      <c r="N300" s="585">
        <v>376530</v>
      </c>
    </row>
    <row r="301" spans="1:14" s="504" customFormat="1" ht="15" customHeight="1" hidden="1">
      <c r="A301" s="959"/>
      <c r="B301" s="967"/>
      <c r="C301" s="961"/>
      <c r="D301" s="967"/>
      <c r="E301" s="602"/>
      <c r="F301" s="1010"/>
      <c r="G301" s="610" t="s">
        <v>14</v>
      </c>
      <c r="H301" s="584">
        <f t="shared" si="61"/>
        <v>0</v>
      </c>
      <c r="I301" s="585">
        <f t="shared" si="62"/>
        <v>0</v>
      </c>
      <c r="J301" s="585">
        <v>0</v>
      </c>
      <c r="K301" s="585">
        <v>0</v>
      </c>
      <c r="L301" s="585">
        <f t="shared" si="63"/>
        <v>0</v>
      </c>
      <c r="M301" s="585">
        <v>0</v>
      </c>
      <c r="N301" s="585">
        <v>0</v>
      </c>
    </row>
    <row r="302" spans="1:14" s="504" customFormat="1" ht="15" customHeight="1" hidden="1">
      <c r="A302" s="959"/>
      <c r="B302" s="960"/>
      <c r="C302" s="961"/>
      <c r="D302" s="960"/>
      <c r="E302" s="602"/>
      <c r="F302" s="1010"/>
      <c r="G302" s="601" t="s">
        <v>15</v>
      </c>
      <c r="H302" s="584">
        <f t="shared" si="61"/>
        <v>376530</v>
      </c>
      <c r="I302" s="585">
        <f t="shared" si="62"/>
        <v>0</v>
      </c>
      <c r="J302" s="585">
        <f>J300+J301</f>
        <v>0</v>
      </c>
      <c r="K302" s="585">
        <f>K300+K301</f>
        <v>0</v>
      </c>
      <c r="L302" s="585">
        <f t="shared" si="63"/>
        <v>376530</v>
      </c>
      <c r="M302" s="585">
        <f>M300+M301</f>
        <v>0</v>
      </c>
      <c r="N302" s="585">
        <f>N300+N301</f>
        <v>376530</v>
      </c>
    </row>
    <row r="303" spans="1:14" s="504" customFormat="1" ht="15" customHeight="1">
      <c r="A303" s="968" t="s">
        <v>400</v>
      </c>
      <c r="B303" s="969"/>
      <c r="C303" s="970" t="s">
        <v>800</v>
      </c>
      <c r="D303" s="971"/>
      <c r="E303" s="601" t="s">
        <v>791</v>
      </c>
      <c r="F303" s="1009" t="s">
        <v>793</v>
      </c>
      <c r="G303" s="609" t="s">
        <v>13</v>
      </c>
      <c r="H303" s="552">
        <f>I303+L303</f>
        <v>0</v>
      </c>
      <c r="I303" s="553">
        <f>J303+K303</f>
        <v>0</v>
      </c>
      <c r="J303" s="553">
        <v>0</v>
      </c>
      <c r="K303" s="553">
        <v>0</v>
      </c>
      <c r="L303" s="553">
        <f>M303+N303</f>
        <v>0</v>
      </c>
      <c r="M303" s="553">
        <v>0</v>
      </c>
      <c r="N303" s="553">
        <v>0</v>
      </c>
    </row>
    <row r="304" spans="1:14" s="504" customFormat="1" ht="15" customHeight="1">
      <c r="A304" s="959"/>
      <c r="B304" s="967"/>
      <c r="C304" s="961"/>
      <c r="D304" s="967"/>
      <c r="E304" s="602"/>
      <c r="F304" s="1010"/>
      <c r="G304" s="609" t="s">
        <v>14</v>
      </c>
      <c r="H304" s="552">
        <f>I304+L304</f>
        <v>5769121</v>
      </c>
      <c r="I304" s="553">
        <f>J304+K304</f>
        <v>5769121</v>
      </c>
      <c r="J304" s="553">
        <v>0</v>
      </c>
      <c r="K304" s="553">
        <v>5769121</v>
      </c>
      <c r="L304" s="553">
        <f>M304+N304</f>
        <v>0</v>
      </c>
      <c r="M304" s="553">
        <v>0</v>
      </c>
      <c r="N304" s="553">
        <v>0</v>
      </c>
    </row>
    <row r="305" spans="1:14" s="504" customFormat="1" ht="15" customHeight="1">
      <c r="A305" s="977"/>
      <c r="B305" s="978"/>
      <c r="C305" s="979"/>
      <c r="D305" s="978"/>
      <c r="E305" s="604"/>
      <c r="F305" s="1011"/>
      <c r="G305" s="605" t="s">
        <v>15</v>
      </c>
      <c r="H305" s="552">
        <f>I305+L305</f>
        <v>5769121</v>
      </c>
      <c r="I305" s="553">
        <f>J305+K305</f>
        <v>5769121</v>
      </c>
      <c r="J305" s="553">
        <f>J303+J304</f>
        <v>0</v>
      </c>
      <c r="K305" s="553">
        <f>K303+K304</f>
        <v>5769121</v>
      </c>
      <c r="L305" s="553">
        <f>M305+N305</f>
        <v>0</v>
      </c>
      <c r="M305" s="553">
        <f>M303+M304</f>
        <v>0</v>
      </c>
      <c r="N305" s="553">
        <f>N303+N304</f>
        <v>0</v>
      </c>
    </row>
    <row r="306" spans="1:14" s="593" customFormat="1" ht="15" customHeight="1" hidden="1">
      <c r="A306" s="946" t="s">
        <v>79</v>
      </c>
      <c r="B306" s="947"/>
      <c r="C306" s="948" t="s">
        <v>801</v>
      </c>
      <c r="D306" s="949"/>
      <c r="E306" s="608" t="s">
        <v>521</v>
      </c>
      <c r="F306" s="1009" t="s">
        <v>802</v>
      </c>
      <c r="G306" s="609" t="s">
        <v>13</v>
      </c>
      <c r="H306" s="552">
        <f t="shared" si="61"/>
        <v>3941541</v>
      </c>
      <c r="I306" s="553">
        <f t="shared" si="62"/>
        <v>3941541</v>
      </c>
      <c r="J306" s="553">
        <v>3941541</v>
      </c>
      <c r="K306" s="553">
        <v>0</v>
      </c>
      <c r="L306" s="553">
        <f t="shared" si="63"/>
        <v>0</v>
      </c>
      <c r="M306" s="553">
        <v>0</v>
      </c>
      <c r="N306" s="553">
        <v>0</v>
      </c>
    </row>
    <row r="307" spans="1:14" s="593" customFormat="1" ht="15" customHeight="1" hidden="1">
      <c r="A307" s="972"/>
      <c r="B307" s="967"/>
      <c r="C307" s="974"/>
      <c r="D307" s="967"/>
      <c r="E307" s="603"/>
      <c r="F307" s="1010"/>
      <c r="G307" s="609" t="s">
        <v>14</v>
      </c>
      <c r="H307" s="552">
        <f t="shared" si="61"/>
        <v>0</v>
      </c>
      <c r="I307" s="553">
        <f t="shared" si="62"/>
        <v>0</v>
      </c>
      <c r="J307" s="553">
        <v>0</v>
      </c>
      <c r="K307" s="553">
        <v>0</v>
      </c>
      <c r="L307" s="553">
        <f t="shared" si="63"/>
        <v>0</v>
      </c>
      <c r="M307" s="553">
        <v>0</v>
      </c>
      <c r="N307" s="553">
        <v>0</v>
      </c>
    </row>
    <row r="308" spans="1:14" s="504" customFormat="1" ht="15" customHeight="1" hidden="1">
      <c r="A308" s="959"/>
      <c r="B308" s="960"/>
      <c r="C308" s="961"/>
      <c r="D308" s="960"/>
      <c r="E308" s="602"/>
      <c r="F308" s="1011"/>
      <c r="G308" s="601" t="s">
        <v>15</v>
      </c>
      <c r="H308" s="584">
        <f t="shared" si="61"/>
        <v>3941541</v>
      </c>
      <c r="I308" s="585">
        <f t="shared" si="62"/>
        <v>3941541</v>
      </c>
      <c r="J308" s="585">
        <f>J306+J307</f>
        <v>3941541</v>
      </c>
      <c r="K308" s="585">
        <f>K306+K307</f>
        <v>0</v>
      </c>
      <c r="L308" s="585">
        <f t="shared" si="63"/>
        <v>0</v>
      </c>
      <c r="M308" s="585">
        <f>M306+M307</f>
        <v>0</v>
      </c>
      <c r="N308" s="585">
        <f>N306+N307</f>
        <v>0</v>
      </c>
    </row>
    <row r="309" spans="1:14" s="504" customFormat="1" ht="15" customHeight="1">
      <c r="A309" s="968" t="s">
        <v>79</v>
      </c>
      <c r="B309" s="969"/>
      <c r="C309" s="970" t="s">
        <v>803</v>
      </c>
      <c r="D309" s="971"/>
      <c r="E309" s="601" t="s">
        <v>804</v>
      </c>
      <c r="F309" s="1009" t="s">
        <v>805</v>
      </c>
      <c r="G309" s="609" t="s">
        <v>13</v>
      </c>
      <c r="H309" s="552">
        <f t="shared" si="61"/>
        <v>4297591</v>
      </c>
      <c r="I309" s="553">
        <f t="shared" si="62"/>
        <v>2141341</v>
      </c>
      <c r="J309" s="553">
        <v>2141341</v>
      </c>
      <c r="K309" s="553">
        <v>0</v>
      </c>
      <c r="L309" s="553">
        <f t="shared" si="63"/>
        <v>2156250</v>
      </c>
      <c r="M309" s="553">
        <v>2156250</v>
      </c>
      <c r="N309" s="553">
        <v>0</v>
      </c>
    </row>
    <row r="310" spans="1:14" s="504" customFormat="1" ht="15" customHeight="1">
      <c r="A310" s="959"/>
      <c r="B310" s="967"/>
      <c r="C310" s="961"/>
      <c r="D310" s="967"/>
      <c r="E310" s="602"/>
      <c r="F310" s="1010"/>
      <c r="G310" s="609" t="s">
        <v>14</v>
      </c>
      <c r="H310" s="552">
        <f t="shared" si="61"/>
        <v>-4118044</v>
      </c>
      <c r="I310" s="553">
        <f t="shared" si="62"/>
        <v>-1961794</v>
      </c>
      <c r="J310" s="553">
        <v>-1961794</v>
      </c>
      <c r="K310" s="553">
        <v>0</v>
      </c>
      <c r="L310" s="553">
        <f t="shared" si="63"/>
        <v>-2156250</v>
      </c>
      <c r="M310" s="553">
        <v>-2156250</v>
      </c>
      <c r="N310" s="553">
        <v>0</v>
      </c>
    </row>
    <row r="311" spans="1:14" s="504" customFormat="1" ht="15" customHeight="1">
      <c r="A311" s="959"/>
      <c r="B311" s="960"/>
      <c r="C311" s="961"/>
      <c r="D311" s="960"/>
      <c r="E311" s="602"/>
      <c r="F311" s="1011"/>
      <c r="G311" s="601" t="s">
        <v>15</v>
      </c>
      <c r="H311" s="584">
        <f t="shared" si="61"/>
        <v>179547</v>
      </c>
      <c r="I311" s="585">
        <f t="shared" si="62"/>
        <v>179547</v>
      </c>
      <c r="J311" s="585">
        <f>J309+J310</f>
        <v>179547</v>
      </c>
      <c r="K311" s="585">
        <f>K309+K310</f>
        <v>0</v>
      </c>
      <c r="L311" s="585">
        <f t="shared" si="63"/>
        <v>0</v>
      </c>
      <c r="M311" s="585">
        <f>M309+M310</f>
        <v>0</v>
      </c>
      <c r="N311" s="585">
        <f>N309+N310</f>
        <v>0</v>
      </c>
    </row>
    <row r="312" spans="1:14" s="593" customFormat="1" ht="15" customHeight="1">
      <c r="A312" s="972"/>
      <c r="B312" s="973"/>
      <c r="C312" s="974"/>
      <c r="D312" s="975"/>
      <c r="E312" s="608" t="s">
        <v>806</v>
      </c>
      <c r="F312" s="1009" t="s">
        <v>807</v>
      </c>
      <c r="G312" s="609" t="s">
        <v>13</v>
      </c>
      <c r="H312" s="552">
        <f t="shared" si="61"/>
        <v>4312500</v>
      </c>
      <c r="I312" s="553">
        <f t="shared" si="62"/>
        <v>2156250</v>
      </c>
      <c r="J312" s="553">
        <v>2156250</v>
      </c>
      <c r="K312" s="553">
        <v>0</v>
      </c>
      <c r="L312" s="553">
        <f t="shared" si="63"/>
        <v>2156250</v>
      </c>
      <c r="M312" s="553">
        <v>2156250</v>
      </c>
      <c r="N312" s="553">
        <v>0</v>
      </c>
    </row>
    <row r="313" spans="1:14" s="593" customFormat="1" ht="15" customHeight="1">
      <c r="A313" s="972"/>
      <c r="B313" s="967"/>
      <c r="C313" s="974"/>
      <c r="D313" s="967"/>
      <c r="E313" s="603"/>
      <c r="F313" s="1010"/>
      <c r="G313" s="609" t="s">
        <v>14</v>
      </c>
      <c r="H313" s="552">
        <f t="shared" si="61"/>
        <v>-120805</v>
      </c>
      <c r="I313" s="553">
        <f t="shared" si="62"/>
        <v>2035445</v>
      </c>
      <c r="J313" s="553">
        <v>2035445</v>
      </c>
      <c r="K313" s="553">
        <v>0</v>
      </c>
      <c r="L313" s="553">
        <f t="shared" si="63"/>
        <v>-2156250</v>
      </c>
      <c r="M313" s="553">
        <v>-2156250</v>
      </c>
      <c r="N313" s="553">
        <v>0</v>
      </c>
    </row>
    <row r="314" spans="1:14" s="504" customFormat="1" ht="15" customHeight="1">
      <c r="A314" s="959"/>
      <c r="B314" s="960"/>
      <c r="C314" s="961"/>
      <c r="D314" s="960"/>
      <c r="E314" s="602"/>
      <c r="F314" s="1011"/>
      <c r="G314" s="601" t="s">
        <v>15</v>
      </c>
      <c r="H314" s="584">
        <f t="shared" si="61"/>
        <v>4191695</v>
      </c>
      <c r="I314" s="585">
        <f t="shared" si="62"/>
        <v>4191695</v>
      </c>
      <c r="J314" s="585">
        <f>J312+J313</f>
        <v>4191695</v>
      </c>
      <c r="K314" s="585">
        <f>K312+K313</f>
        <v>0</v>
      </c>
      <c r="L314" s="585">
        <f t="shared" si="63"/>
        <v>0</v>
      </c>
      <c r="M314" s="585">
        <f>M312+M313</f>
        <v>0</v>
      </c>
      <c r="N314" s="585">
        <f>N312+N313</f>
        <v>0</v>
      </c>
    </row>
    <row r="315" spans="1:14" s="593" customFormat="1" ht="15" customHeight="1" hidden="1">
      <c r="A315" s="946" t="s">
        <v>250</v>
      </c>
      <c r="B315" s="947"/>
      <c r="C315" s="948" t="s">
        <v>808</v>
      </c>
      <c r="D315" s="949"/>
      <c r="E315" s="608" t="s">
        <v>809</v>
      </c>
      <c r="F315" s="1006" t="s">
        <v>810</v>
      </c>
      <c r="G315" s="609" t="s">
        <v>13</v>
      </c>
      <c r="H315" s="552">
        <f t="shared" si="61"/>
        <v>2060498</v>
      </c>
      <c r="I315" s="553">
        <f t="shared" si="62"/>
        <v>0</v>
      </c>
      <c r="J315" s="553">
        <v>0</v>
      </c>
      <c r="K315" s="553">
        <v>0</v>
      </c>
      <c r="L315" s="553">
        <f t="shared" si="63"/>
        <v>2060498</v>
      </c>
      <c r="M315" s="553">
        <v>0</v>
      </c>
      <c r="N315" s="553">
        <v>2060498</v>
      </c>
    </row>
    <row r="316" spans="1:14" s="593" customFormat="1" ht="15" customHeight="1" hidden="1">
      <c r="A316" s="956"/>
      <c r="B316" s="957"/>
      <c r="C316" s="958"/>
      <c r="D316" s="957"/>
      <c r="E316" s="603"/>
      <c r="F316" s="1007"/>
      <c r="G316" s="609" t="s">
        <v>14</v>
      </c>
      <c r="H316" s="552">
        <f t="shared" si="61"/>
        <v>0</v>
      </c>
      <c r="I316" s="553">
        <f t="shared" si="62"/>
        <v>0</v>
      </c>
      <c r="J316" s="553">
        <v>0</v>
      </c>
      <c r="K316" s="553">
        <v>0</v>
      </c>
      <c r="L316" s="553">
        <f t="shared" si="63"/>
        <v>0</v>
      </c>
      <c r="M316" s="553">
        <v>0</v>
      </c>
      <c r="N316" s="553">
        <v>0</v>
      </c>
    </row>
    <row r="317" spans="1:14" s="504" customFormat="1" ht="15" customHeight="1" hidden="1">
      <c r="A317" s="959"/>
      <c r="B317" s="960"/>
      <c r="C317" s="961"/>
      <c r="D317" s="960"/>
      <c r="E317" s="602"/>
      <c r="F317" s="1008"/>
      <c r="G317" s="601" t="s">
        <v>15</v>
      </c>
      <c r="H317" s="584">
        <f t="shared" si="61"/>
        <v>2060498</v>
      </c>
      <c r="I317" s="585">
        <f t="shared" si="62"/>
        <v>0</v>
      </c>
      <c r="J317" s="585">
        <f>J315+J316</f>
        <v>0</v>
      </c>
      <c r="K317" s="585">
        <f>K315+K316</f>
        <v>0</v>
      </c>
      <c r="L317" s="585">
        <f t="shared" si="63"/>
        <v>2060498</v>
      </c>
      <c r="M317" s="585">
        <f>M315+M316</f>
        <v>0</v>
      </c>
      <c r="N317" s="585">
        <f>N315+N316</f>
        <v>2060498</v>
      </c>
    </row>
    <row r="318" spans="1:14" s="593" customFormat="1" ht="15" customHeight="1">
      <c r="A318" s="946" t="s">
        <v>250</v>
      </c>
      <c r="B318" s="947"/>
      <c r="C318" s="948" t="s">
        <v>260</v>
      </c>
      <c r="D318" s="949"/>
      <c r="E318" s="608" t="s">
        <v>809</v>
      </c>
      <c r="F318" s="1006" t="s">
        <v>811</v>
      </c>
      <c r="G318" s="609" t="s">
        <v>13</v>
      </c>
      <c r="H318" s="552">
        <f t="shared" si="61"/>
        <v>0</v>
      </c>
      <c r="I318" s="553">
        <f t="shared" si="62"/>
        <v>0</v>
      </c>
      <c r="J318" s="553">
        <v>0</v>
      </c>
      <c r="K318" s="553">
        <v>0</v>
      </c>
      <c r="L318" s="553">
        <f t="shared" si="63"/>
        <v>0</v>
      </c>
      <c r="M318" s="553">
        <v>0</v>
      </c>
      <c r="N318" s="553">
        <v>0</v>
      </c>
    </row>
    <row r="319" spans="1:14" s="593" customFormat="1" ht="15" customHeight="1">
      <c r="A319" s="956"/>
      <c r="B319" s="957"/>
      <c r="C319" s="958"/>
      <c r="D319" s="957"/>
      <c r="E319" s="603"/>
      <c r="F319" s="1007"/>
      <c r="G319" s="609" t="s">
        <v>14</v>
      </c>
      <c r="H319" s="552">
        <f t="shared" si="61"/>
        <v>137900</v>
      </c>
      <c r="I319" s="553">
        <f t="shared" si="62"/>
        <v>0</v>
      </c>
      <c r="J319" s="553">
        <v>0</v>
      </c>
      <c r="K319" s="553">
        <v>0</v>
      </c>
      <c r="L319" s="553">
        <f t="shared" si="63"/>
        <v>137900</v>
      </c>
      <c r="M319" s="553">
        <v>0</v>
      </c>
      <c r="N319" s="553">
        <v>137900</v>
      </c>
    </row>
    <row r="320" spans="1:14" s="504" customFormat="1" ht="15" customHeight="1">
      <c r="A320" s="959"/>
      <c r="B320" s="960"/>
      <c r="C320" s="961"/>
      <c r="D320" s="960"/>
      <c r="E320" s="602"/>
      <c r="F320" s="1008"/>
      <c r="G320" s="601" t="s">
        <v>15</v>
      </c>
      <c r="H320" s="584">
        <f t="shared" si="61"/>
        <v>137900</v>
      </c>
      <c r="I320" s="585">
        <f t="shared" si="62"/>
        <v>0</v>
      </c>
      <c r="J320" s="585">
        <f>J318+J319</f>
        <v>0</v>
      </c>
      <c r="K320" s="585">
        <f>K318+K319</f>
        <v>0</v>
      </c>
      <c r="L320" s="585">
        <f t="shared" si="63"/>
        <v>137900</v>
      </c>
      <c r="M320" s="585">
        <f>M318+M319</f>
        <v>0</v>
      </c>
      <c r="N320" s="585">
        <f>N318+N319</f>
        <v>137900</v>
      </c>
    </row>
    <row r="321" spans="1:14" s="593" customFormat="1" ht="15" customHeight="1">
      <c r="A321" s="972"/>
      <c r="B321" s="973"/>
      <c r="C321" s="974"/>
      <c r="D321" s="975"/>
      <c r="E321" s="603"/>
      <c r="F321" s="1006" t="s">
        <v>812</v>
      </c>
      <c r="G321" s="609" t="s">
        <v>13</v>
      </c>
      <c r="H321" s="552">
        <f t="shared" si="61"/>
        <v>0</v>
      </c>
      <c r="I321" s="553">
        <f t="shared" si="62"/>
        <v>0</v>
      </c>
      <c r="J321" s="553">
        <v>0</v>
      </c>
      <c r="K321" s="553">
        <v>0</v>
      </c>
      <c r="L321" s="553">
        <f t="shared" si="63"/>
        <v>0</v>
      </c>
      <c r="M321" s="553">
        <v>0</v>
      </c>
      <c r="N321" s="553">
        <v>0</v>
      </c>
    </row>
    <row r="322" spans="1:14" s="593" customFormat="1" ht="15" customHeight="1">
      <c r="A322" s="956"/>
      <c r="B322" s="957"/>
      <c r="C322" s="958"/>
      <c r="D322" s="957"/>
      <c r="E322" s="603"/>
      <c r="F322" s="1007"/>
      <c r="G322" s="609" t="s">
        <v>14</v>
      </c>
      <c r="H322" s="552">
        <f t="shared" si="61"/>
        <v>1232281</v>
      </c>
      <c r="I322" s="553">
        <f t="shared" si="62"/>
        <v>275995</v>
      </c>
      <c r="J322" s="553">
        <v>0</v>
      </c>
      <c r="K322" s="553">
        <v>275995</v>
      </c>
      <c r="L322" s="553">
        <f t="shared" si="63"/>
        <v>956286</v>
      </c>
      <c r="M322" s="553">
        <v>0</v>
      </c>
      <c r="N322" s="553">
        <v>956286</v>
      </c>
    </row>
    <row r="323" spans="1:14" s="504" customFormat="1" ht="15" customHeight="1">
      <c r="A323" s="959"/>
      <c r="B323" s="960"/>
      <c r="C323" s="961"/>
      <c r="D323" s="960"/>
      <c r="E323" s="602"/>
      <c r="F323" s="1008"/>
      <c r="G323" s="601" t="s">
        <v>15</v>
      </c>
      <c r="H323" s="584">
        <f t="shared" si="61"/>
        <v>1232281</v>
      </c>
      <c r="I323" s="585">
        <f t="shared" si="62"/>
        <v>275995</v>
      </c>
      <c r="J323" s="585">
        <f>J321+J322</f>
        <v>0</v>
      </c>
      <c r="K323" s="585">
        <f>K321+K322</f>
        <v>275995</v>
      </c>
      <c r="L323" s="585">
        <f t="shared" si="63"/>
        <v>956286</v>
      </c>
      <c r="M323" s="585">
        <f>M321+M322</f>
        <v>0</v>
      </c>
      <c r="N323" s="585">
        <f>N321+N322</f>
        <v>956286</v>
      </c>
    </row>
    <row r="324" spans="1:14" s="580" customFormat="1" ht="5.25" customHeight="1">
      <c r="A324" s="574"/>
      <c r="B324" s="575"/>
      <c r="C324" s="575"/>
      <c r="D324" s="575"/>
      <c r="E324" s="575"/>
      <c r="F324" s="575"/>
      <c r="G324" s="576"/>
      <c r="H324" s="577"/>
      <c r="I324" s="578"/>
      <c r="J324" s="578"/>
      <c r="K324" s="578"/>
      <c r="L324" s="578"/>
      <c r="M324" s="578"/>
      <c r="N324" s="579"/>
    </row>
    <row r="325" spans="1:14" s="597" customFormat="1" ht="15" customHeight="1" hidden="1">
      <c r="A325" s="995" t="s">
        <v>813</v>
      </c>
      <c r="B325" s="996"/>
      <c r="C325" s="996"/>
      <c r="D325" s="996"/>
      <c r="E325" s="996"/>
      <c r="F325" s="996"/>
      <c r="G325" s="598" t="s">
        <v>13</v>
      </c>
      <c r="H325" s="595">
        <f>I325+L325</f>
        <v>5617704</v>
      </c>
      <c r="I325" s="596">
        <f>J325+K325</f>
        <v>3741704</v>
      </c>
      <c r="J325" s="596">
        <f aca="true" t="shared" si="64" ref="J325:K327">J329+J332</f>
        <v>0</v>
      </c>
      <c r="K325" s="596">
        <f t="shared" si="64"/>
        <v>3741704</v>
      </c>
      <c r="L325" s="596">
        <f>M325+N325</f>
        <v>1876000</v>
      </c>
      <c r="M325" s="596">
        <f aca="true" t="shared" si="65" ref="M325:N327">M329+M332</f>
        <v>0</v>
      </c>
      <c r="N325" s="596">
        <f t="shared" si="65"/>
        <v>1876000</v>
      </c>
    </row>
    <row r="326" spans="1:14" s="597" customFormat="1" ht="15" customHeight="1" hidden="1">
      <c r="A326" s="991"/>
      <c r="B326" s="992"/>
      <c r="C326" s="992"/>
      <c r="D326" s="992"/>
      <c r="E326" s="992"/>
      <c r="F326" s="992"/>
      <c r="G326" s="598" t="s">
        <v>14</v>
      </c>
      <c r="H326" s="595">
        <f>I326+L326</f>
        <v>0</v>
      </c>
      <c r="I326" s="596">
        <f>J326+K326</f>
        <v>0</v>
      </c>
      <c r="J326" s="596">
        <f t="shared" si="64"/>
        <v>0</v>
      </c>
      <c r="K326" s="596">
        <f t="shared" si="64"/>
        <v>0</v>
      </c>
      <c r="L326" s="596">
        <f>M326+N326</f>
        <v>0</v>
      </c>
      <c r="M326" s="596">
        <f t="shared" si="65"/>
        <v>0</v>
      </c>
      <c r="N326" s="596">
        <f t="shared" si="65"/>
        <v>0</v>
      </c>
    </row>
    <row r="327" spans="1:14" s="597" customFormat="1" ht="15" customHeight="1" hidden="1">
      <c r="A327" s="993"/>
      <c r="B327" s="994"/>
      <c r="C327" s="994"/>
      <c r="D327" s="994"/>
      <c r="E327" s="994"/>
      <c r="F327" s="994"/>
      <c r="G327" s="598" t="s">
        <v>15</v>
      </c>
      <c r="H327" s="595">
        <f>I327+L327</f>
        <v>5617704</v>
      </c>
      <c r="I327" s="596">
        <f>J327+K327</f>
        <v>3741704</v>
      </c>
      <c r="J327" s="596">
        <f t="shared" si="64"/>
        <v>0</v>
      </c>
      <c r="K327" s="596">
        <f t="shared" si="64"/>
        <v>3741704</v>
      </c>
      <c r="L327" s="596">
        <f>M327+N327</f>
        <v>1876000</v>
      </c>
      <c r="M327" s="596">
        <f t="shared" si="65"/>
        <v>0</v>
      </c>
      <c r="N327" s="596">
        <f t="shared" si="65"/>
        <v>1876000</v>
      </c>
    </row>
    <row r="328" spans="1:14" s="580" customFormat="1" ht="5.25" customHeight="1" hidden="1">
      <c r="A328" s="599"/>
      <c r="B328" s="575"/>
      <c r="C328" s="575"/>
      <c r="D328" s="575"/>
      <c r="E328" s="575"/>
      <c r="F328" s="575"/>
      <c r="G328" s="576"/>
      <c r="H328" s="577"/>
      <c r="I328" s="578"/>
      <c r="J328" s="578"/>
      <c r="K328" s="578"/>
      <c r="L328" s="578"/>
      <c r="M328" s="578"/>
      <c r="N328" s="579"/>
    </row>
    <row r="329" spans="1:14" s="504" customFormat="1" ht="15" customHeight="1" hidden="1">
      <c r="A329" s="968" t="s">
        <v>240</v>
      </c>
      <c r="B329" s="969"/>
      <c r="C329" s="970" t="s">
        <v>784</v>
      </c>
      <c r="D329" s="971"/>
      <c r="E329" s="601" t="s">
        <v>814</v>
      </c>
      <c r="F329" s="1003" t="s">
        <v>595</v>
      </c>
      <c r="G329" s="551" t="s">
        <v>13</v>
      </c>
      <c r="H329" s="584">
        <f aca="true" t="shared" si="66" ref="H329:H334">I329+L329</f>
        <v>3741704</v>
      </c>
      <c r="I329" s="585">
        <f aca="true" t="shared" si="67" ref="I329:I334">J329+K329</f>
        <v>3741704</v>
      </c>
      <c r="J329" s="585">
        <v>0</v>
      </c>
      <c r="K329" s="585">
        <f>2054418+1687286</f>
        <v>3741704</v>
      </c>
      <c r="L329" s="585">
        <f aca="true" t="shared" si="68" ref="L329:L334">M329+N329</f>
        <v>0</v>
      </c>
      <c r="M329" s="585">
        <v>0</v>
      </c>
      <c r="N329" s="585">
        <v>0</v>
      </c>
    </row>
    <row r="330" spans="1:14" s="504" customFormat="1" ht="15" customHeight="1" hidden="1">
      <c r="A330" s="959"/>
      <c r="B330" s="967"/>
      <c r="C330" s="961"/>
      <c r="D330" s="967"/>
      <c r="E330" s="602"/>
      <c r="F330" s="1004"/>
      <c r="G330" s="551" t="s">
        <v>14</v>
      </c>
      <c r="H330" s="584">
        <f t="shared" si="66"/>
        <v>0</v>
      </c>
      <c r="I330" s="585">
        <f t="shared" si="67"/>
        <v>0</v>
      </c>
      <c r="J330" s="585">
        <v>0</v>
      </c>
      <c r="K330" s="585">
        <v>0</v>
      </c>
      <c r="L330" s="585">
        <f t="shared" si="68"/>
        <v>0</v>
      </c>
      <c r="M330" s="585">
        <v>0</v>
      </c>
      <c r="N330" s="585">
        <v>0</v>
      </c>
    </row>
    <row r="331" spans="1:14" s="504" customFormat="1" ht="15" customHeight="1" hidden="1">
      <c r="A331" s="959"/>
      <c r="B331" s="960"/>
      <c r="C331" s="961"/>
      <c r="D331" s="960"/>
      <c r="E331" s="602"/>
      <c r="F331" s="1005"/>
      <c r="G331" s="601" t="s">
        <v>15</v>
      </c>
      <c r="H331" s="584">
        <f t="shared" si="66"/>
        <v>3741704</v>
      </c>
      <c r="I331" s="585">
        <f t="shared" si="67"/>
        <v>3741704</v>
      </c>
      <c r="J331" s="585">
        <f>J329+J330</f>
        <v>0</v>
      </c>
      <c r="K331" s="585">
        <f>K329+K330</f>
        <v>3741704</v>
      </c>
      <c r="L331" s="585">
        <f t="shared" si="68"/>
        <v>0</v>
      </c>
      <c r="M331" s="585">
        <f>M329+M330</f>
        <v>0</v>
      </c>
      <c r="N331" s="585">
        <f>N329+N330</f>
        <v>0</v>
      </c>
    </row>
    <row r="332" spans="1:14" s="504" customFormat="1" ht="15" customHeight="1" hidden="1">
      <c r="A332" s="1000" t="s">
        <v>77</v>
      </c>
      <c r="B332" s="1000"/>
      <c r="C332" s="1001" t="s">
        <v>78</v>
      </c>
      <c r="D332" s="1001"/>
      <c r="E332" s="601" t="s">
        <v>815</v>
      </c>
      <c r="F332" s="950" t="s">
        <v>816</v>
      </c>
      <c r="G332" s="601" t="s">
        <v>13</v>
      </c>
      <c r="H332" s="584">
        <f t="shared" si="66"/>
        <v>1876000</v>
      </c>
      <c r="I332" s="585">
        <f t="shared" si="67"/>
        <v>0</v>
      </c>
      <c r="J332" s="585">
        <v>0</v>
      </c>
      <c r="K332" s="585">
        <v>0</v>
      </c>
      <c r="L332" s="585">
        <f t="shared" si="68"/>
        <v>1876000</v>
      </c>
      <c r="M332" s="585">
        <v>0</v>
      </c>
      <c r="N332" s="585">
        <v>1876000</v>
      </c>
    </row>
    <row r="333" spans="1:14" s="504" customFormat="1" ht="15" customHeight="1" hidden="1">
      <c r="A333" s="959"/>
      <c r="B333" s="962"/>
      <c r="C333" s="961"/>
      <c r="D333" s="963"/>
      <c r="E333" s="602"/>
      <c r="F333" s="1002"/>
      <c r="G333" s="601" t="s">
        <v>14</v>
      </c>
      <c r="H333" s="584">
        <f t="shared" si="66"/>
        <v>0</v>
      </c>
      <c r="I333" s="585">
        <f t="shared" si="67"/>
        <v>0</v>
      </c>
      <c r="J333" s="585">
        <v>0</v>
      </c>
      <c r="K333" s="585">
        <v>0</v>
      </c>
      <c r="L333" s="585">
        <f t="shared" si="68"/>
        <v>0</v>
      </c>
      <c r="M333" s="585">
        <v>0</v>
      </c>
      <c r="N333" s="585">
        <v>0</v>
      </c>
    </row>
    <row r="334" spans="1:14" s="504" customFormat="1" ht="15" customHeight="1" hidden="1">
      <c r="A334" s="959"/>
      <c r="B334" s="960"/>
      <c r="C334" s="961"/>
      <c r="D334" s="960"/>
      <c r="E334" s="602"/>
      <c r="F334" s="954"/>
      <c r="G334" s="605" t="s">
        <v>15</v>
      </c>
      <c r="H334" s="584">
        <f t="shared" si="66"/>
        <v>1876000</v>
      </c>
      <c r="I334" s="585">
        <f t="shared" si="67"/>
        <v>0</v>
      </c>
      <c r="J334" s="585">
        <f>J332+J333</f>
        <v>0</v>
      </c>
      <c r="K334" s="585">
        <f>K332+K333</f>
        <v>0</v>
      </c>
      <c r="L334" s="585">
        <f t="shared" si="68"/>
        <v>1876000</v>
      </c>
      <c r="M334" s="585">
        <f>M332+M333</f>
        <v>0</v>
      </c>
      <c r="N334" s="585">
        <f>N332+N333</f>
        <v>1876000</v>
      </c>
    </row>
    <row r="335" spans="1:14" s="580" customFormat="1" ht="5.25" customHeight="1" hidden="1">
      <c r="A335" s="574"/>
      <c r="B335" s="575"/>
      <c r="C335" s="575"/>
      <c r="D335" s="575"/>
      <c r="E335" s="575"/>
      <c r="F335" s="575"/>
      <c r="G335" s="576"/>
      <c r="H335" s="577"/>
      <c r="I335" s="578"/>
      <c r="J335" s="578"/>
      <c r="K335" s="578"/>
      <c r="L335" s="578"/>
      <c r="M335" s="578"/>
      <c r="N335" s="579"/>
    </row>
    <row r="336" spans="1:14" s="597" customFormat="1" ht="15" customHeight="1" hidden="1">
      <c r="A336" s="995" t="s">
        <v>817</v>
      </c>
      <c r="B336" s="996"/>
      <c r="C336" s="996"/>
      <c r="D336" s="996"/>
      <c r="E336" s="996"/>
      <c r="F336" s="996"/>
      <c r="G336" s="598" t="s">
        <v>13</v>
      </c>
      <c r="H336" s="595">
        <f>I336+L336</f>
        <v>580000</v>
      </c>
      <c r="I336" s="596">
        <f>J336+K336</f>
        <v>100000</v>
      </c>
      <c r="J336" s="596">
        <f aca="true" t="shared" si="69" ref="J336:K338">J340</f>
        <v>0</v>
      </c>
      <c r="K336" s="596">
        <f t="shared" si="69"/>
        <v>100000</v>
      </c>
      <c r="L336" s="596">
        <f>M336+N336</f>
        <v>480000</v>
      </c>
      <c r="M336" s="596">
        <f aca="true" t="shared" si="70" ref="M336:N338">M340</f>
        <v>0</v>
      </c>
      <c r="N336" s="596">
        <f t="shared" si="70"/>
        <v>480000</v>
      </c>
    </row>
    <row r="337" spans="1:14" s="597" customFormat="1" ht="15" customHeight="1" hidden="1">
      <c r="A337" s="991"/>
      <c r="B337" s="992"/>
      <c r="C337" s="992"/>
      <c r="D337" s="992"/>
      <c r="E337" s="992"/>
      <c r="F337" s="992"/>
      <c r="G337" s="598" t="s">
        <v>14</v>
      </c>
      <c r="H337" s="595">
        <f>I337+L337</f>
        <v>0</v>
      </c>
      <c r="I337" s="596">
        <f>J337+K337</f>
        <v>0</v>
      </c>
      <c r="J337" s="596">
        <f t="shared" si="69"/>
        <v>0</v>
      </c>
      <c r="K337" s="596">
        <f t="shared" si="69"/>
        <v>0</v>
      </c>
      <c r="L337" s="596">
        <f>M337+N337</f>
        <v>0</v>
      </c>
      <c r="M337" s="596">
        <f t="shared" si="70"/>
        <v>0</v>
      </c>
      <c r="N337" s="596">
        <f t="shared" si="70"/>
        <v>0</v>
      </c>
    </row>
    <row r="338" spans="1:14" s="597" customFormat="1" ht="15" customHeight="1" hidden="1">
      <c r="A338" s="993"/>
      <c r="B338" s="994"/>
      <c r="C338" s="994"/>
      <c r="D338" s="994"/>
      <c r="E338" s="994"/>
      <c r="F338" s="994"/>
      <c r="G338" s="598" t="s">
        <v>15</v>
      </c>
      <c r="H338" s="595">
        <f>I338+L338</f>
        <v>580000</v>
      </c>
      <c r="I338" s="596">
        <f>J338+K338</f>
        <v>100000</v>
      </c>
      <c r="J338" s="596">
        <f t="shared" si="69"/>
        <v>0</v>
      </c>
      <c r="K338" s="596">
        <f t="shared" si="69"/>
        <v>100000</v>
      </c>
      <c r="L338" s="596">
        <f>M338+N338</f>
        <v>480000</v>
      </c>
      <c r="M338" s="596">
        <f t="shared" si="70"/>
        <v>0</v>
      </c>
      <c r="N338" s="596">
        <f t="shared" si="70"/>
        <v>480000</v>
      </c>
    </row>
    <row r="339" spans="1:14" s="580" customFormat="1" ht="5.25" customHeight="1" hidden="1">
      <c r="A339" s="599"/>
      <c r="B339" s="575"/>
      <c r="C339" s="575"/>
      <c r="D339" s="575"/>
      <c r="E339" s="575"/>
      <c r="F339" s="575"/>
      <c r="G339" s="576"/>
      <c r="H339" s="577"/>
      <c r="I339" s="578"/>
      <c r="J339" s="578"/>
      <c r="K339" s="578"/>
      <c r="L339" s="578"/>
      <c r="M339" s="578"/>
      <c r="N339" s="579"/>
    </row>
    <row r="340" spans="1:14" s="593" customFormat="1" ht="15" customHeight="1" hidden="1">
      <c r="A340" s="946" t="s">
        <v>16</v>
      </c>
      <c r="B340" s="947"/>
      <c r="C340" s="948" t="s">
        <v>104</v>
      </c>
      <c r="D340" s="949"/>
      <c r="E340" s="950" t="s">
        <v>818</v>
      </c>
      <c r="F340" s="950"/>
      <c r="G340" s="611" t="s">
        <v>13</v>
      </c>
      <c r="H340" s="584">
        <f>I340+L340</f>
        <v>580000</v>
      </c>
      <c r="I340" s="585">
        <f>J340+K340</f>
        <v>100000</v>
      </c>
      <c r="J340" s="585">
        <v>0</v>
      </c>
      <c r="K340" s="585">
        <v>100000</v>
      </c>
      <c r="L340" s="585">
        <f>M340+N340</f>
        <v>480000</v>
      </c>
      <c r="M340" s="585">
        <v>0</v>
      </c>
      <c r="N340" s="585">
        <v>480000</v>
      </c>
    </row>
    <row r="341" spans="1:14" s="593" customFormat="1" ht="15" customHeight="1" hidden="1">
      <c r="A341" s="956"/>
      <c r="B341" s="999"/>
      <c r="C341" s="958"/>
      <c r="D341" s="999"/>
      <c r="E341" s="997"/>
      <c r="F341" s="997"/>
      <c r="G341" s="611" t="s">
        <v>14</v>
      </c>
      <c r="H341" s="584">
        <f>I341+L341</f>
        <v>0</v>
      </c>
      <c r="I341" s="585">
        <f>J341+K341</f>
        <v>0</v>
      </c>
      <c r="J341" s="585">
        <v>0</v>
      </c>
      <c r="K341" s="585">
        <v>0</v>
      </c>
      <c r="L341" s="585">
        <f>M341+N341</f>
        <v>0</v>
      </c>
      <c r="M341" s="585">
        <v>0</v>
      </c>
      <c r="N341" s="585">
        <v>0</v>
      </c>
    </row>
    <row r="342" spans="1:14" s="504" customFormat="1" ht="15" customHeight="1" hidden="1">
      <c r="A342" s="959"/>
      <c r="B342" s="960"/>
      <c r="C342" s="961"/>
      <c r="D342" s="960"/>
      <c r="E342" s="998"/>
      <c r="F342" s="998"/>
      <c r="G342" s="611" t="s">
        <v>15</v>
      </c>
      <c r="H342" s="584">
        <f>I342+L342</f>
        <v>580000</v>
      </c>
      <c r="I342" s="585">
        <f>J342+K342</f>
        <v>100000</v>
      </c>
      <c r="J342" s="585">
        <f>J340+J341</f>
        <v>0</v>
      </c>
      <c r="K342" s="585">
        <f>K340+K341</f>
        <v>100000</v>
      </c>
      <c r="L342" s="585">
        <f>M342+N342</f>
        <v>480000</v>
      </c>
      <c r="M342" s="585">
        <f>M340+M341</f>
        <v>0</v>
      </c>
      <c r="N342" s="585">
        <f>N340+N341</f>
        <v>480000</v>
      </c>
    </row>
    <row r="343" spans="1:14" s="580" customFormat="1" ht="6.75" customHeight="1" hidden="1">
      <c r="A343" s="574"/>
      <c r="B343" s="575"/>
      <c r="C343" s="575"/>
      <c r="D343" s="575"/>
      <c r="E343" s="575"/>
      <c r="F343" s="575"/>
      <c r="G343" s="576"/>
      <c r="H343" s="577"/>
      <c r="I343" s="578"/>
      <c r="J343" s="578"/>
      <c r="K343" s="578"/>
      <c r="L343" s="578"/>
      <c r="M343" s="578"/>
      <c r="N343" s="579"/>
    </row>
    <row r="344" spans="1:14" s="597" customFormat="1" ht="15.75" customHeight="1">
      <c r="A344" s="989" t="s">
        <v>819</v>
      </c>
      <c r="B344" s="990"/>
      <c r="C344" s="990"/>
      <c r="D344" s="990"/>
      <c r="E344" s="990"/>
      <c r="F344" s="990"/>
      <c r="G344" s="612" t="s">
        <v>13</v>
      </c>
      <c r="H344" s="572">
        <f>I344+L344</f>
        <v>42384975</v>
      </c>
      <c r="I344" s="572">
        <f>J344+K344</f>
        <v>32200799</v>
      </c>
      <c r="J344" s="572">
        <f aca="true" t="shared" si="71" ref="J344:K346">J348+J351+J354+J357+J360+J363+J366+J369+J372+J375+J378+J381+J384+J387+J390+J393+J396+J399+J402+J405+J408+J411+J414+J417+J420+J423+J426+J429+J432+J435+J438+J441+J444+J447+J450+J453+J456+J459+J462+J465+J468+J471+J474+J477+J480+J483+J486+J489+J492+J495+J498+J501+J504+J507+J510+J513+J516+J519+J522+J525+J528+J531+J534+J537+J540+J543+J546+J549+J552+J555+J558+J561+J564+J567+J570+J573+J576+J579+J582+J585+J588+J591+J594+J597+J600+J603+J606+J609+J612+J615+J618+J621+J624+J627+J630+J633+J636+J639+J642</f>
        <v>24940258</v>
      </c>
      <c r="K344" s="572">
        <f t="shared" si="71"/>
        <v>7260541</v>
      </c>
      <c r="L344" s="572">
        <f>M344+N344</f>
        <v>10184176</v>
      </c>
      <c r="M344" s="572">
        <f aca="true" t="shared" si="72" ref="M344:N346">M348+M351+M354+M357+M360+M363+M366+M369+M372+M375+M378+M381+M384+M387+M390+M393+M396+M399+M402+M405+M408+M411+M414+M417+M420+M423+M426+M429+M432+M435+M438+M441+M444+M447+M450+M453+M456+M459+M462+M465+M468+M471+M474+M477+M480+M483+M486+M489+M492+M495+M498+M501+M504+M507+M510+M513+M516+M519+M522+M525+M528+M531+M534+M537+M540+M543+M546+M549+M552+M555+M558+M561+M564+M567+M570+M573+M576+M579+M582+M585+M588+M591+M594+M597+M600+M603+M606+M609+M612+M615+M618+M621+M624+M627+M630+M633+M636+M639+M642</f>
        <v>0</v>
      </c>
      <c r="N344" s="572">
        <f t="shared" si="72"/>
        <v>10184176</v>
      </c>
    </row>
    <row r="345" spans="1:14" s="597" customFormat="1" ht="15.75" customHeight="1">
      <c r="A345" s="991"/>
      <c r="B345" s="992"/>
      <c r="C345" s="992"/>
      <c r="D345" s="992"/>
      <c r="E345" s="992"/>
      <c r="F345" s="992"/>
      <c r="G345" s="612" t="s">
        <v>14</v>
      </c>
      <c r="H345" s="572">
        <f>I345+L345</f>
        <v>4296682</v>
      </c>
      <c r="I345" s="572">
        <f>J345+K345</f>
        <v>3963410</v>
      </c>
      <c r="J345" s="572">
        <f t="shared" si="71"/>
        <v>3176075</v>
      </c>
      <c r="K345" s="572">
        <f t="shared" si="71"/>
        <v>787335</v>
      </c>
      <c r="L345" s="572">
        <f>M345+N345</f>
        <v>333272</v>
      </c>
      <c r="M345" s="572">
        <f t="shared" si="72"/>
        <v>50000</v>
      </c>
      <c r="N345" s="572">
        <f t="shared" si="72"/>
        <v>283272</v>
      </c>
    </row>
    <row r="346" spans="1:14" s="597" customFormat="1" ht="15.75" customHeight="1">
      <c r="A346" s="993"/>
      <c r="B346" s="994"/>
      <c r="C346" s="994"/>
      <c r="D346" s="994"/>
      <c r="E346" s="994"/>
      <c r="F346" s="994"/>
      <c r="G346" s="612" t="s">
        <v>15</v>
      </c>
      <c r="H346" s="572">
        <f>I346+L346</f>
        <v>46681657</v>
      </c>
      <c r="I346" s="572">
        <f>J346+K346</f>
        <v>36164209</v>
      </c>
      <c r="J346" s="572">
        <f t="shared" si="71"/>
        <v>28116333</v>
      </c>
      <c r="K346" s="572">
        <f t="shared" si="71"/>
        <v>8047876</v>
      </c>
      <c r="L346" s="572">
        <f>M346+N346</f>
        <v>10517448</v>
      </c>
      <c r="M346" s="572">
        <f t="shared" si="72"/>
        <v>50000</v>
      </c>
      <c r="N346" s="572">
        <f t="shared" si="72"/>
        <v>10467448</v>
      </c>
    </row>
    <row r="347" spans="1:14" s="580" customFormat="1" ht="6.75" customHeight="1">
      <c r="A347" s="574"/>
      <c r="B347" s="575"/>
      <c r="C347" s="575"/>
      <c r="D347" s="575"/>
      <c r="E347" s="575"/>
      <c r="F347" s="575"/>
      <c r="G347" s="576"/>
      <c r="H347" s="577"/>
      <c r="I347" s="578"/>
      <c r="J347" s="578"/>
      <c r="K347" s="578"/>
      <c r="L347" s="578"/>
      <c r="M347" s="578"/>
      <c r="N347" s="579"/>
    </row>
    <row r="348" spans="1:14" s="593" customFormat="1" ht="15" customHeight="1" hidden="1">
      <c r="A348" s="946" t="s">
        <v>16</v>
      </c>
      <c r="B348" s="947"/>
      <c r="C348" s="948" t="s">
        <v>101</v>
      </c>
      <c r="D348" s="949"/>
      <c r="E348" s="964" t="s">
        <v>820</v>
      </c>
      <c r="F348" s="951"/>
      <c r="G348" s="551" t="s">
        <v>13</v>
      </c>
      <c r="H348" s="584">
        <f aca="true" t="shared" si="73" ref="H348:H420">I348+L348</f>
        <v>1300000</v>
      </c>
      <c r="I348" s="585">
        <f aca="true" t="shared" si="74" ref="I348:I420">J348+K348</f>
        <v>0</v>
      </c>
      <c r="J348" s="585">
        <v>0</v>
      </c>
      <c r="K348" s="585">
        <v>0</v>
      </c>
      <c r="L348" s="585">
        <f aca="true" t="shared" si="75" ref="L348:L420">M348+N348</f>
        <v>1300000</v>
      </c>
      <c r="M348" s="585">
        <v>0</v>
      </c>
      <c r="N348" s="585">
        <v>1300000</v>
      </c>
    </row>
    <row r="349" spans="1:14" s="593" customFormat="1" ht="15" customHeight="1" hidden="1">
      <c r="A349" s="972"/>
      <c r="B349" s="967"/>
      <c r="C349" s="974"/>
      <c r="D349" s="967"/>
      <c r="E349" s="965"/>
      <c r="F349" s="953"/>
      <c r="G349" s="551" t="s">
        <v>14</v>
      </c>
      <c r="H349" s="584">
        <f t="shared" si="73"/>
        <v>0</v>
      </c>
      <c r="I349" s="585">
        <f t="shared" si="74"/>
        <v>0</v>
      </c>
      <c r="J349" s="585">
        <v>0</v>
      </c>
      <c r="K349" s="585">
        <v>0</v>
      </c>
      <c r="L349" s="585">
        <f t="shared" si="75"/>
        <v>0</v>
      </c>
      <c r="M349" s="585">
        <v>0</v>
      </c>
      <c r="N349" s="585">
        <v>0</v>
      </c>
    </row>
    <row r="350" spans="1:14" s="504" customFormat="1" ht="15" customHeight="1" hidden="1">
      <c r="A350" s="959"/>
      <c r="B350" s="960"/>
      <c r="C350" s="961"/>
      <c r="D350" s="960"/>
      <c r="E350" s="966"/>
      <c r="F350" s="955"/>
      <c r="G350" s="611" t="s">
        <v>15</v>
      </c>
      <c r="H350" s="584">
        <f t="shared" si="73"/>
        <v>1300000</v>
      </c>
      <c r="I350" s="585">
        <f t="shared" si="74"/>
        <v>0</v>
      </c>
      <c r="J350" s="585">
        <f>J348+J349</f>
        <v>0</v>
      </c>
      <c r="K350" s="585">
        <f>K348+K349</f>
        <v>0</v>
      </c>
      <c r="L350" s="585">
        <f t="shared" si="75"/>
        <v>1300000</v>
      </c>
      <c r="M350" s="585">
        <f>M348+M349</f>
        <v>0</v>
      </c>
      <c r="N350" s="585">
        <f>N348+N349</f>
        <v>1300000</v>
      </c>
    </row>
    <row r="351" spans="1:14" s="593" customFormat="1" ht="15" customHeight="1">
      <c r="A351" s="946" t="s">
        <v>16</v>
      </c>
      <c r="B351" s="947"/>
      <c r="C351" s="948" t="s">
        <v>66</v>
      </c>
      <c r="D351" s="949"/>
      <c r="E351" s="964" t="s">
        <v>821</v>
      </c>
      <c r="F351" s="951"/>
      <c r="G351" s="551" t="s">
        <v>13</v>
      </c>
      <c r="H351" s="584">
        <f t="shared" si="73"/>
        <v>22045</v>
      </c>
      <c r="I351" s="585">
        <f t="shared" si="74"/>
        <v>22045</v>
      </c>
      <c r="J351" s="585">
        <v>22045</v>
      </c>
      <c r="K351" s="585">
        <v>0</v>
      </c>
      <c r="L351" s="585">
        <f t="shared" si="75"/>
        <v>0</v>
      </c>
      <c r="M351" s="585">
        <v>0</v>
      </c>
      <c r="N351" s="585">
        <v>0</v>
      </c>
    </row>
    <row r="352" spans="1:14" s="593" customFormat="1" ht="15" customHeight="1">
      <c r="A352" s="972"/>
      <c r="B352" s="967"/>
      <c r="C352" s="974"/>
      <c r="D352" s="967"/>
      <c r="E352" s="965"/>
      <c r="F352" s="953"/>
      <c r="G352" s="551" t="s">
        <v>14</v>
      </c>
      <c r="H352" s="584">
        <f t="shared" si="73"/>
        <v>44261</v>
      </c>
      <c r="I352" s="585">
        <f t="shared" si="74"/>
        <v>44261</v>
      </c>
      <c r="J352" s="585">
        <v>44261</v>
      </c>
      <c r="K352" s="585">
        <v>0</v>
      </c>
      <c r="L352" s="585">
        <f t="shared" si="75"/>
        <v>0</v>
      </c>
      <c r="M352" s="585">
        <v>0</v>
      </c>
      <c r="N352" s="585">
        <v>0</v>
      </c>
    </row>
    <row r="353" spans="1:14" s="504" customFormat="1" ht="15" customHeight="1">
      <c r="A353" s="959"/>
      <c r="B353" s="960"/>
      <c r="C353" s="961"/>
      <c r="D353" s="960"/>
      <c r="E353" s="966"/>
      <c r="F353" s="955"/>
      <c r="G353" s="611" t="s">
        <v>15</v>
      </c>
      <c r="H353" s="584">
        <f t="shared" si="73"/>
        <v>66306</v>
      </c>
      <c r="I353" s="585">
        <f t="shared" si="74"/>
        <v>66306</v>
      </c>
      <c r="J353" s="585">
        <f>J351+J352</f>
        <v>66306</v>
      </c>
      <c r="K353" s="585">
        <f>K351+K352</f>
        <v>0</v>
      </c>
      <c r="L353" s="585">
        <f t="shared" si="75"/>
        <v>0</v>
      </c>
      <c r="M353" s="585">
        <f>M351+M352</f>
        <v>0</v>
      </c>
      <c r="N353" s="585">
        <f>N351+N352</f>
        <v>0</v>
      </c>
    </row>
    <row r="354" spans="1:14" s="504" customFormat="1" ht="15" customHeight="1" hidden="1">
      <c r="A354" s="959"/>
      <c r="B354" s="962"/>
      <c r="C354" s="970" t="s">
        <v>18</v>
      </c>
      <c r="D354" s="971"/>
      <c r="E354" s="964" t="s">
        <v>822</v>
      </c>
      <c r="F354" s="951"/>
      <c r="G354" s="551" t="s">
        <v>13</v>
      </c>
      <c r="H354" s="584">
        <f t="shared" si="73"/>
        <v>6000000</v>
      </c>
      <c r="I354" s="585">
        <f t="shared" si="74"/>
        <v>6000000</v>
      </c>
      <c r="J354" s="585">
        <v>6000000</v>
      </c>
      <c r="K354" s="585">
        <v>0</v>
      </c>
      <c r="L354" s="585">
        <f t="shared" si="75"/>
        <v>0</v>
      </c>
      <c r="M354" s="585">
        <v>0</v>
      </c>
      <c r="N354" s="585">
        <v>0</v>
      </c>
    </row>
    <row r="355" spans="1:14" s="504" customFormat="1" ht="15" customHeight="1" hidden="1">
      <c r="A355" s="959"/>
      <c r="B355" s="967"/>
      <c r="C355" s="961"/>
      <c r="D355" s="967"/>
      <c r="E355" s="965"/>
      <c r="F355" s="953"/>
      <c r="G355" s="551" t="s">
        <v>14</v>
      </c>
      <c r="H355" s="584">
        <f t="shared" si="73"/>
        <v>0</v>
      </c>
      <c r="I355" s="585">
        <f t="shared" si="74"/>
        <v>0</v>
      </c>
      <c r="J355" s="585">
        <v>0</v>
      </c>
      <c r="K355" s="585">
        <v>0</v>
      </c>
      <c r="L355" s="585">
        <f t="shared" si="75"/>
        <v>0</v>
      </c>
      <c r="M355" s="585">
        <v>0</v>
      </c>
      <c r="N355" s="585">
        <v>0</v>
      </c>
    </row>
    <row r="356" spans="1:14" s="504" customFormat="1" ht="15" customHeight="1" hidden="1">
      <c r="A356" s="959"/>
      <c r="B356" s="960"/>
      <c r="C356" s="961"/>
      <c r="D356" s="960"/>
      <c r="E356" s="966"/>
      <c r="F356" s="955"/>
      <c r="G356" s="611" t="s">
        <v>15</v>
      </c>
      <c r="H356" s="584">
        <f t="shared" si="73"/>
        <v>6000000</v>
      </c>
      <c r="I356" s="585">
        <f t="shared" si="74"/>
        <v>6000000</v>
      </c>
      <c r="J356" s="585">
        <f>J354+J355</f>
        <v>6000000</v>
      </c>
      <c r="K356" s="585">
        <f>K354+K355</f>
        <v>0</v>
      </c>
      <c r="L356" s="585">
        <f t="shared" si="75"/>
        <v>0</v>
      </c>
      <c r="M356" s="585">
        <f>M354+M355</f>
        <v>0</v>
      </c>
      <c r="N356" s="585">
        <f>N354+N355</f>
        <v>0</v>
      </c>
    </row>
    <row r="357" spans="1:14" s="504" customFormat="1" ht="15" customHeight="1" hidden="1">
      <c r="A357" s="959"/>
      <c r="B357" s="962"/>
      <c r="C357" s="970" t="s">
        <v>107</v>
      </c>
      <c r="D357" s="971"/>
      <c r="E357" s="964" t="s">
        <v>823</v>
      </c>
      <c r="F357" s="951"/>
      <c r="G357" s="586" t="s">
        <v>13</v>
      </c>
      <c r="H357" s="552">
        <f t="shared" si="73"/>
        <v>80000</v>
      </c>
      <c r="I357" s="553">
        <f t="shared" si="74"/>
        <v>80000</v>
      </c>
      <c r="J357" s="553">
        <v>0</v>
      </c>
      <c r="K357" s="553">
        <v>80000</v>
      </c>
      <c r="L357" s="553">
        <f t="shared" si="75"/>
        <v>0</v>
      </c>
      <c r="M357" s="553">
        <v>0</v>
      </c>
      <c r="N357" s="553">
        <v>0</v>
      </c>
    </row>
    <row r="358" spans="1:14" s="504" customFormat="1" ht="15" customHeight="1" hidden="1">
      <c r="A358" s="959"/>
      <c r="B358" s="967"/>
      <c r="C358" s="961"/>
      <c r="D358" s="967"/>
      <c r="E358" s="965"/>
      <c r="F358" s="953"/>
      <c r="G358" s="586" t="s">
        <v>14</v>
      </c>
      <c r="H358" s="552">
        <f t="shared" si="73"/>
        <v>0</v>
      </c>
      <c r="I358" s="553">
        <f t="shared" si="74"/>
        <v>0</v>
      </c>
      <c r="J358" s="553">
        <v>0</v>
      </c>
      <c r="K358" s="553">
        <v>0</v>
      </c>
      <c r="L358" s="553">
        <f t="shared" si="75"/>
        <v>0</v>
      </c>
      <c r="M358" s="553">
        <v>0</v>
      </c>
      <c r="N358" s="553">
        <v>0</v>
      </c>
    </row>
    <row r="359" spans="1:14" s="504" customFormat="1" ht="15" customHeight="1" hidden="1">
      <c r="A359" s="959"/>
      <c r="B359" s="960"/>
      <c r="C359" s="961"/>
      <c r="D359" s="960"/>
      <c r="E359" s="966"/>
      <c r="F359" s="955"/>
      <c r="G359" s="611" t="s">
        <v>15</v>
      </c>
      <c r="H359" s="584">
        <f t="shared" si="73"/>
        <v>80000</v>
      </c>
      <c r="I359" s="585">
        <f t="shared" si="74"/>
        <v>80000</v>
      </c>
      <c r="J359" s="585">
        <f>J357+J358</f>
        <v>0</v>
      </c>
      <c r="K359" s="585">
        <f>K357+K358</f>
        <v>80000</v>
      </c>
      <c r="L359" s="585">
        <f t="shared" si="75"/>
        <v>0</v>
      </c>
      <c r="M359" s="585">
        <f>M357+M358</f>
        <v>0</v>
      </c>
      <c r="N359" s="585">
        <f>N357+N358</f>
        <v>0</v>
      </c>
    </row>
    <row r="360" spans="1:14" s="593" customFormat="1" ht="15" customHeight="1">
      <c r="A360" s="946" t="s">
        <v>339</v>
      </c>
      <c r="B360" s="947"/>
      <c r="C360" s="948" t="s">
        <v>341</v>
      </c>
      <c r="D360" s="949"/>
      <c r="E360" s="964" t="s">
        <v>821</v>
      </c>
      <c r="F360" s="951"/>
      <c r="G360" s="551" t="s">
        <v>13</v>
      </c>
      <c r="H360" s="584">
        <f>I360+L360</f>
        <v>0</v>
      </c>
      <c r="I360" s="585">
        <f>J360+K360</f>
        <v>0</v>
      </c>
      <c r="J360" s="585">
        <v>0</v>
      </c>
      <c r="K360" s="585">
        <v>0</v>
      </c>
      <c r="L360" s="585">
        <f>M360+N360</f>
        <v>0</v>
      </c>
      <c r="M360" s="585">
        <v>0</v>
      </c>
      <c r="N360" s="585">
        <v>0</v>
      </c>
    </row>
    <row r="361" spans="1:14" s="593" customFormat="1" ht="15" customHeight="1">
      <c r="A361" s="972"/>
      <c r="B361" s="967"/>
      <c r="C361" s="974"/>
      <c r="D361" s="967"/>
      <c r="E361" s="965"/>
      <c r="F361" s="953"/>
      <c r="G361" s="551" t="s">
        <v>14</v>
      </c>
      <c r="H361" s="584">
        <f>I361+L361</f>
        <v>18293</v>
      </c>
      <c r="I361" s="585">
        <f>J361+K361</f>
        <v>18293</v>
      </c>
      <c r="J361" s="585">
        <v>18293</v>
      </c>
      <c r="K361" s="585">
        <v>0</v>
      </c>
      <c r="L361" s="585">
        <f>M361+N361</f>
        <v>0</v>
      </c>
      <c r="M361" s="585">
        <v>0</v>
      </c>
      <c r="N361" s="585">
        <v>0</v>
      </c>
    </row>
    <row r="362" spans="1:14" s="504" customFormat="1" ht="15" customHeight="1">
      <c r="A362" s="959"/>
      <c r="B362" s="960"/>
      <c r="C362" s="961"/>
      <c r="D362" s="960"/>
      <c r="E362" s="966"/>
      <c r="F362" s="955"/>
      <c r="G362" s="611" t="s">
        <v>15</v>
      </c>
      <c r="H362" s="584">
        <f>I362+L362</f>
        <v>18293</v>
      </c>
      <c r="I362" s="585">
        <f>J362+K362</f>
        <v>18293</v>
      </c>
      <c r="J362" s="585">
        <f>J360+J361</f>
        <v>18293</v>
      </c>
      <c r="K362" s="585">
        <f>K360+K361</f>
        <v>0</v>
      </c>
      <c r="L362" s="585">
        <f>M362+N362</f>
        <v>0</v>
      </c>
      <c r="M362" s="585">
        <f>M360+M361</f>
        <v>0</v>
      </c>
      <c r="N362" s="585">
        <f>N360+N361</f>
        <v>0</v>
      </c>
    </row>
    <row r="363" spans="1:14" s="593" customFormat="1" ht="15" customHeight="1" hidden="1">
      <c r="A363" s="946" t="s">
        <v>110</v>
      </c>
      <c r="B363" s="947"/>
      <c r="C363" s="948" t="s">
        <v>206</v>
      </c>
      <c r="D363" s="949"/>
      <c r="E363" s="964" t="s">
        <v>824</v>
      </c>
      <c r="F363" s="951"/>
      <c r="G363" s="586" t="s">
        <v>13</v>
      </c>
      <c r="H363" s="552">
        <f t="shared" si="73"/>
        <v>2403767</v>
      </c>
      <c r="I363" s="553">
        <f t="shared" si="74"/>
        <v>2403767</v>
      </c>
      <c r="J363" s="553">
        <v>0</v>
      </c>
      <c r="K363" s="553">
        <v>2403767</v>
      </c>
      <c r="L363" s="553">
        <f t="shared" si="75"/>
        <v>0</v>
      </c>
      <c r="M363" s="553">
        <v>0</v>
      </c>
      <c r="N363" s="553">
        <v>0</v>
      </c>
    </row>
    <row r="364" spans="1:14" s="593" customFormat="1" ht="15" customHeight="1" hidden="1">
      <c r="A364" s="972"/>
      <c r="B364" s="967"/>
      <c r="C364" s="974"/>
      <c r="D364" s="967"/>
      <c r="E364" s="965"/>
      <c r="F364" s="953"/>
      <c r="G364" s="586" t="s">
        <v>14</v>
      </c>
      <c r="H364" s="552">
        <f t="shared" si="73"/>
        <v>0</v>
      </c>
      <c r="I364" s="553">
        <f t="shared" si="74"/>
        <v>0</v>
      </c>
      <c r="J364" s="553">
        <v>0</v>
      </c>
      <c r="K364" s="553">
        <v>0</v>
      </c>
      <c r="L364" s="553">
        <f t="shared" si="75"/>
        <v>0</v>
      </c>
      <c r="M364" s="553">
        <v>0</v>
      </c>
      <c r="N364" s="553">
        <v>0</v>
      </c>
    </row>
    <row r="365" spans="1:14" s="504" customFormat="1" ht="15" customHeight="1" hidden="1">
      <c r="A365" s="959"/>
      <c r="B365" s="960"/>
      <c r="C365" s="961"/>
      <c r="D365" s="960"/>
      <c r="E365" s="966"/>
      <c r="F365" s="955"/>
      <c r="G365" s="611" t="s">
        <v>15</v>
      </c>
      <c r="H365" s="584">
        <f t="shared" si="73"/>
        <v>2403767</v>
      </c>
      <c r="I365" s="585">
        <f t="shared" si="74"/>
        <v>2403767</v>
      </c>
      <c r="J365" s="585">
        <f>J363+J364</f>
        <v>0</v>
      </c>
      <c r="K365" s="585">
        <f>K363+K364</f>
        <v>2403767</v>
      </c>
      <c r="L365" s="585">
        <f t="shared" si="75"/>
        <v>0</v>
      </c>
      <c r="M365" s="585">
        <f>M363+M364</f>
        <v>0</v>
      </c>
      <c r="N365" s="585">
        <f>N363+N364</f>
        <v>0</v>
      </c>
    </row>
    <row r="366" spans="1:14" s="504" customFormat="1" ht="15" customHeight="1" hidden="1">
      <c r="A366" s="968" t="s">
        <v>19</v>
      </c>
      <c r="B366" s="969"/>
      <c r="C366" s="970" t="s">
        <v>119</v>
      </c>
      <c r="D366" s="971"/>
      <c r="E366" s="964" t="s">
        <v>825</v>
      </c>
      <c r="F366" s="951"/>
      <c r="G366" s="586" t="s">
        <v>13</v>
      </c>
      <c r="H366" s="552">
        <f t="shared" si="73"/>
        <v>1300000</v>
      </c>
      <c r="I366" s="553">
        <f t="shared" si="74"/>
        <v>1300000</v>
      </c>
      <c r="J366" s="553">
        <v>0</v>
      </c>
      <c r="K366" s="553">
        <v>1300000</v>
      </c>
      <c r="L366" s="553">
        <f t="shared" si="75"/>
        <v>0</v>
      </c>
      <c r="M366" s="553">
        <v>0</v>
      </c>
      <c r="N366" s="553">
        <v>0</v>
      </c>
    </row>
    <row r="367" spans="1:14" s="504" customFormat="1" ht="15" customHeight="1" hidden="1">
      <c r="A367" s="959"/>
      <c r="B367" s="967"/>
      <c r="C367" s="961"/>
      <c r="D367" s="967"/>
      <c r="E367" s="965"/>
      <c r="F367" s="953"/>
      <c r="G367" s="586" t="s">
        <v>14</v>
      </c>
      <c r="H367" s="552">
        <f t="shared" si="73"/>
        <v>0</v>
      </c>
      <c r="I367" s="553">
        <f t="shared" si="74"/>
        <v>0</v>
      </c>
      <c r="J367" s="553">
        <v>0</v>
      </c>
      <c r="K367" s="553">
        <v>0</v>
      </c>
      <c r="L367" s="553">
        <f t="shared" si="75"/>
        <v>0</v>
      </c>
      <c r="M367" s="553">
        <v>0</v>
      </c>
      <c r="N367" s="553">
        <v>0</v>
      </c>
    </row>
    <row r="368" spans="1:14" s="504" customFormat="1" ht="15" customHeight="1" hidden="1">
      <c r="A368" s="959"/>
      <c r="B368" s="960"/>
      <c r="C368" s="961"/>
      <c r="D368" s="960"/>
      <c r="E368" s="966"/>
      <c r="F368" s="955"/>
      <c r="G368" s="611" t="s">
        <v>15</v>
      </c>
      <c r="H368" s="584">
        <f t="shared" si="73"/>
        <v>1300000</v>
      </c>
      <c r="I368" s="585">
        <f t="shared" si="74"/>
        <v>1300000</v>
      </c>
      <c r="J368" s="585">
        <f>J366+J367</f>
        <v>0</v>
      </c>
      <c r="K368" s="585">
        <f>K366+K367</f>
        <v>1300000</v>
      </c>
      <c r="L368" s="585">
        <f t="shared" si="75"/>
        <v>0</v>
      </c>
      <c r="M368" s="585">
        <f>M366+M367</f>
        <v>0</v>
      </c>
      <c r="N368" s="585">
        <f>N366+N367</f>
        <v>0</v>
      </c>
    </row>
    <row r="369" spans="1:14" s="593" customFormat="1" ht="18" customHeight="1" hidden="1">
      <c r="A369" s="972"/>
      <c r="B369" s="973"/>
      <c r="C369" s="948" t="s">
        <v>82</v>
      </c>
      <c r="D369" s="949"/>
      <c r="E369" s="964" t="s">
        <v>826</v>
      </c>
      <c r="F369" s="951"/>
      <c r="G369" s="586" t="s">
        <v>13</v>
      </c>
      <c r="H369" s="552">
        <f t="shared" si="73"/>
        <v>4800000</v>
      </c>
      <c r="I369" s="553">
        <f t="shared" si="74"/>
        <v>4800000</v>
      </c>
      <c r="J369" s="553">
        <v>4800000</v>
      </c>
      <c r="K369" s="553">
        <v>0</v>
      </c>
      <c r="L369" s="553">
        <f t="shared" si="75"/>
        <v>0</v>
      </c>
      <c r="M369" s="553">
        <v>0</v>
      </c>
      <c r="N369" s="553">
        <v>0</v>
      </c>
    </row>
    <row r="370" spans="1:14" s="593" customFormat="1" ht="18" customHeight="1" hidden="1">
      <c r="A370" s="972"/>
      <c r="B370" s="967"/>
      <c r="C370" s="974"/>
      <c r="D370" s="967"/>
      <c r="E370" s="965"/>
      <c r="F370" s="953"/>
      <c r="G370" s="586" t="s">
        <v>14</v>
      </c>
      <c r="H370" s="552">
        <f t="shared" si="73"/>
        <v>0</v>
      </c>
      <c r="I370" s="553">
        <f t="shared" si="74"/>
        <v>0</v>
      </c>
      <c r="J370" s="553">
        <v>0</v>
      </c>
      <c r="K370" s="553">
        <v>0</v>
      </c>
      <c r="L370" s="553">
        <f t="shared" si="75"/>
        <v>0</v>
      </c>
      <c r="M370" s="553">
        <v>0</v>
      </c>
      <c r="N370" s="553">
        <v>0</v>
      </c>
    </row>
    <row r="371" spans="1:14" s="504" customFormat="1" ht="18" customHeight="1" hidden="1">
      <c r="A371" s="959"/>
      <c r="B371" s="960"/>
      <c r="C371" s="961"/>
      <c r="D371" s="960"/>
      <c r="E371" s="966"/>
      <c r="F371" s="955"/>
      <c r="G371" s="611" t="s">
        <v>15</v>
      </c>
      <c r="H371" s="584">
        <f t="shared" si="73"/>
        <v>4800000</v>
      </c>
      <c r="I371" s="585">
        <f t="shared" si="74"/>
        <v>4800000</v>
      </c>
      <c r="J371" s="585">
        <f>J369+J370</f>
        <v>4800000</v>
      </c>
      <c r="K371" s="585">
        <f>K369+K370</f>
        <v>0</v>
      </c>
      <c r="L371" s="585">
        <f t="shared" si="75"/>
        <v>0</v>
      </c>
      <c r="M371" s="585">
        <f>M369+M370</f>
        <v>0</v>
      </c>
      <c r="N371" s="585">
        <f>N369+N370</f>
        <v>0</v>
      </c>
    </row>
    <row r="372" spans="1:14" s="593" customFormat="1" ht="15" customHeight="1" hidden="1">
      <c r="A372" s="972"/>
      <c r="B372" s="973"/>
      <c r="C372" s="948" t="s">
        <v>45</v>
      </c>
      <c r="D372" s="949"/>
      <c r="E372" s="964" t="s">
        <v>827</v>
      </c>
      <c r="F372" s="951"/>
      <c r="G372" s="586" t="s">
        <v>13</v>
      </c>
      <c r="H372" s="552">
        <f t="shared" si="73"/>
        <v>150000</v>
      </c>
      <c r="I372" s="553">
        <f t="shared" si="74"/>
        <v>150000</v>
      </c>
      <c r="J372" s="553">
        <v>150000</v>
      </c>
      <c r="K372" s="553">
        <v>0</v>
      </c>
      <c r="L372" s="553">
        <f t="shared" si="75"/>
        <v>0</v>
      </c>
      <c r="M372" s="553">
        <v>0</v>
      </c>
      <c r="N372" s="553">
        <v>0</v>
      </c>
    </row>
    <row r="373" spans="1:14" s="593" customFormat="1" ht="15" customHeight="1" hidden="1">
      <c r="A373" s="972"/>
      <c r="B373" s="967"/>
      <c r="C373" s="974"/>
      <c r="D373" s="967"/>
      <c r="E373" s="965"/>
      <c r="F373" s="953"/>
      <c r="G373" s="586" t="s">
        <v>14</v>
      </c>
      <c r="H373" s="552">
        <f t="shared" si="73"/>
        <v>0</v>
      </c>
      <c r="I373" s="553">
        <f t="shared" si="74"/>
        <v>0</v>
      </c>
      <c r="J373" s="553">
        <v>0</v>
      </c>
      <c r="K373" s="553">
        <v>0</v>
      </c>
      <c r="L373" s="553">
        <f t="shared" si="75"/>
        <v>0</v>
      </c>
      <c r="M373" s="553">
        <v>0</v>
      </c>
      <c r="N373" s="553">
        <v>0</v>
      </c>
    </row>
    <row r="374" spans="1:14" s="504" customFormat="1" ht="15" customHeight="1" hidden="1">
      <c r="A374" s="959"/>
      <c r="B374" s="960"/>
      <c r="C374" s="961"/>
      <c r="D374" s="960"/>
      <c r="E374" s="966"/>
      <c r="F374" s="955"/>
      <c r="G374" s="611" t="s">
        <v>15</v>
      </c>
      <c r="H374" s="584">
        <f t="shared" si="73"/>
        <v>150000</v>
      </c>
      <c r="I374" s="585">
        <f t="shared" si="74"/>
        <v>150000</v>
      </c>
      <c r="J374" s="585">
        <f>J372+J373</f>
        <v>150000</v>
      </c>
      <c r="K374" s="585">
        <f>K372+K373</f>
        <v>0</v>
      </c>
      <c r="L374" s="585">
        <f t="shared" si="75"/>
        <v>0</v>
      </c>
      <c r="M374" s="585">
        <f>M372+M373</f>
        <v>0</v>
      </c>
      <c r="N374" s="585">
        <f>N372+N373</f>
        <v>0</v>
      </c>
    </row>
    <row r="375" spans="1:14" s="593" customFormat="1" ht="15" customHeight="1" hidden="1">
      <c r="A375" s="972"/>
      <c r="B375" s="973"/>
      <c r="C375" s="948" t="s">
        <v>51</v>
      </c>
      <c r="D375" s="949"/>
      <c r="E375" s="964" t="s">
        <v>828</v>
      </c>
      <c r="F375" s="951"/>
      <c r="G375" s="586" t="s">
        <v>13</v>
      </c>
      <c r="H375" s="552">
        <f t="shared" si="73"/>
        <v>50000</v>
      </c>
      <c r="I375" s="553">
        <f t="shared" si="74"/>
        <v>50000</v>
      </c>
      <c r="J375" s="553">
        <v>0</v>
      </c>
      <c r="K375" s="553">
        <v>50000</v>
      </c>
      <c r="L375" s="553">
        <f t="shared" si="75"/>
        <v>0</v>
      </c>
      <c r="M375" s="553">
        <v>0</v>
      </c>
      <c r="N375" s="553">
        <v>0</v>
      </c>
    </row>
    <row r="376" spans="1:14" s="593" customFormat="1" ht="15" customHeight="1" hidden="1">
      <c r="A376" s="972"/>
      <c r="B376" s="967"/>
      <c r="C376" s="974"/>
      <c r="D376" s="967"/>
      <c r="E376" s="965"/>
      <c r="F376" s="953"/>
      <c r="G376" s="586" t="s">
        <v>14</v>
      </c>
      <c r="H376" s="552">
        <f t="shared" si="73"/>
        <v>0</v>
      </c>
      <c r="I376" s="553">
        <f t="shared" si="74"/>
        <v>0</v>
      </c>
      <c r="J376" s="553">
        <v>0</v>
      </c>
      <c r="K376" s="553">
        <v>0</v>
      </c>
      <c r="L376" s="553">
        <f t="shared" si="75"/>
        <v>0</v>
      </c>
      <c r="M376" s="553">
        <v>0</v>
      </c>
      <c r="N376" s="553">
        <v>0</v>
      </c>
    </row>
    <row r="377" spans="1:14" s="504" customFormat="1" ht="15" customHeight="1" hidden="1">
      <c r="A377" s="959"/>
      <c r="B377" s="960"/>
      <c r="C377" s="961"/>
      <c r="D377" s="960"/>
      <c r="E377" s="966"/>
      <c r="F377" s="955"/>
      <c r="G377" s="611" t="s">
        <v>15</v>
      </c>
      <c r="H377" s="584">
        <f t="shared" si="73"/>
        <v>50000</v>
      </c>
      <c r="I377" s="585">
        <f t="shared" si="74"/>
        <v>50000</v>
      </c>
      <c r="J377" s="585">
        <f>J375+J376</f>
        <v>0</v>
      </c>
      <c r="K377" s="585">
        <f>K375+K376</f>
        <v>50000</v>
      </c>
      <c r="L377" s="585">
        <f t="shared" si="75"/>
        <v>0</v>
      </c>
      <c r="M377" s="585">
        <f>M375+M376</f>
        <v>0</v>
      </c>
      <c r="N377" s="585">
        <f>N375+N376</f>
        <v>0</v>
      </c>
    </row>
    <row r="378" spans="1:14" s="504" customFormat="1" ht="15" customHeight="1" hidden="1">
      <c r="A378" s="968" t="s">
        <v>69</v>
      </c>
      <c r="B378" s="969"/>
      <c r="C378" s="970" t="s">
        <v>126</v>
      </c>
      <c r="D378" s="971"/>
      <c r="E378" s="964" t="s">
        <v>829</v>
      </c>
      <c r="F378" s="951"/>
      <c r="G378" s="551" t="s">
        <v>13</v>
      </c>
      <c r="H378" s="584">
        <f t="shared" si="73"/>
        <v>150000</v>
      </c>
      <c r="I378" s="585">
        <f t="shared" si="74"/>
        <v>0</v>
      </c>
      <c r="J378" s="585">
        <v>0</v>
      </c>
      <c r="K378" s="585">
        <v>0</v>
      </c>
      <c r="L378" s="585">
        <f t="shared" si="75"/>
        <v>150000</v>
      </c>
      <c r="M378" s="585">
        <v>0</v>
      </c>
      <c r="N378" s="585">
        <v>150000</v>
      </c>
    </row>
    <row r="379" spans="1:14" s="504" customFormat="1" ht="15" customHeight="1" hidden="1">
      <c r="A379" s="959"/>
      <c r="B379" s="967"/>
      <c r="C379" s="961"/>
      <c r="D379" s="967"/>
      <c r="E379" s="965"/>
      <c r="F379" s="953"/>
      <c r="G379" s="551" t="s">
        <v>14</v>
      </c>
      <c r="H379" s="584">
        <f t="shared" si="73"/>
        <v>0</v>
      </c>
      <c r="I379" s="585">
        <f t="shared" si="74"/>
        <v>0</v>
      </c>
      <c r="J379" s="585">
        <v>0</v>
      </c>
      <c r="K379" s="585">
        <v>0</v>
      </c>
      <c r="L379" s="585">
        <f t="shared" si="75"/>
        <v>0</v>
      </c>
      <c r="M379" s="585">
        <v>0</v>
      </c>
      <c r="N379" s="585">
        <v>0</v>
      </c>
    </row>
    <row r="380" spans="1:14" s="504" customFormat="1" ht="15" customHeight="1" hidden="1">
      <c r="A380" s="959"/>
      <c r="B380" s="960"/>
      <c r="C380" s="961"/>
      <c r="D380" s="960"/>
      <c r="E380" s="966"/>
      <c r="F380" s="955"/>
      <c r="G380" s="611" t="s">
        <v>15</v>
      </c>
      <c r="H380" s="584">
        <f t="shared" si="73"/>
        <v>150000</v>
      </c>
      <c r="I380" s="585">
        <f t="shared" si="74"/>
        <v>0</v>
      </c>
      <c r="J380" s="585">
        <f>J378+J379</f>
        <v>0</v>
      </c>
      <c r="K380" s="585">
        <f>K378+K379</f>
        <v>0</v>
      </c>
      <c r="L380" s="585">
        <f t="shared" si="75"/>
        <v>150000</v>
      </c>
      <c r="M380" s="585">
        <f>M378+M379</f>
        <v>0</v>
      </c>
      <c r="N380" s="585">
        <f>N378+N379</f>
        <v>150000</v>
      </c>
    </row>
    <row r="381" spans="1:14" s="504" customFormat="1" ht="15" customHeight="1" hidden="1">
      <c r="A381" s="959"/>
      <c r="B381" s="962"/>
      <c r="C381" s="970" t="s">
        <v>83</v>
      </c>
      <c r="D381" s="971"/>
      <c r="E381" s="964" t="s">
        <v>830</v>
      </c>
      <c r="F381" s="951"/>
      <c r="G381" s="586" t="s">
        <v>13</v>
      </c>
      <c r="H381" s="552">
        <f t="shared" si="73"/>
        <v>122400</v>
      </c>
      <c r="I381" s="553">
        <f t="shared" si="74"/>
        <v>0</v>
      </c>
      <c r="J381" s="553">
        <v>0</v>
      </c>
      <c r="K381" s="553">
        <v>0</v>
      </c>
      <c r="L381" s="553">
        <f t="shared" si="75"/>
        <v>122400</v>
      </c>
      <c r="M381" s="553">
        <v>0</v>
      </c>
      <c r="N381" s="553">
        <v>122400</v>
      </c>
    </row>
    <row r="382" spans="1:14" s="504" customFormat="1" ht="15" customHeight="1" hidden="1">
      <c r="A382" s="959"/>
      <c r="B382" s="967"/>
      <c r="C382" s="961"/>
      <c r="D382" s="967"/>
      <c r="E382" s="965"/>
      <c r="F382" s="953"/>
      <c r="G382" s="586" t="s">
        <v>14</v>
      </c>
      <c r="H382" s="552">
        <f t="shared" si="73"/>
        <v>0</v>
      </c>
      <c r="I382" s="553">
        <f t="shared" si="74"/>
        <v>0</v>
      </c>
      <c r="J382" s="553">
        <v>0</v>
      </c>
      <c r="K382" s="553">
        <v>0</v>
      </c>
      <c r="L382" s="553">
        <f t="shared" si="75"/>
        <v>0</v>
      </c>
      <c r="M382" s="553">
        <v>0</v>
      </c>
      <c r="N382" s="553">
        <v>0</v>
      </c>
    </row>
    <row r="383" spans="1:14" s="504" customFormat="1" ht="15" customHeight="1" hidden="1">
      <c r="A383" s="959"/>
      <c r="B383" s="960"/>
      <c r="C383" s="961"/>
      <c r="D383" s="960"/>
      <c r="E383" s="966"/>
      <c r="F383" s="955"/>
      <c r="G383" s="611" t="s">
        <v>15</v>
      </c>
      <c r="H383" s="584">
        <f t="shared" si="73"/>
        <v>122400</v>
      </c>
      <c r="I383" s="585">
        <f t="shared" si="74"/>
        <v>0</v>
      </c>
      <c r="J383" s="585">
        <f>J381+J382</f>
        <v>0</v>
      </c>
      <c r="K383" s="585">
        <f>K381+K382</f>
        <v>0</v>
      </c>
      <c r="L383" s="585">
        <f t="shared" si="75"/>
        <v>122400</v>
      </c>
      <c r="M383" s="585">
        <f>M381+M382</f>
        <v>0</v>
      </c>
      <c r="N383" s="585">
        <f>N381+N382</f>
        <v>122400</v>
      </c>
    </row>
    <row r="384" spans="1:14" s="504" customFormat="1" ht="15" customHeight="1">
      <c r="A384" s="968" t="s">
        <v>71</v>
      </c>
      <c r="B384" s="969"/>
      <c r="C384" s="970" t="s">
        <v>73</v>
      </c>
      <c r="D384" s="971"/>
      <c r="E384" s="964" t="s">
        <v>288</v>
      </c>
      <c r="F384" s="951"/>
      <c r="G384" s="586" t="s">
        <v>13</v>
      </c>
      <c r="H384" s="552">
        <f t="shared" si="73"/>
        <v>779472</v>
      </c>
      <c r="I384" s="553">
        <f t="shared" si="74"/>
        <v>779472</v>
      </c>
      <c r="J384" s="553">
        <v>779472</v>
      </c>
      <c r="K384" s="553">
        <v>0</v>
      </c>
      <c r="L384" s="553">
        <f t="shared" si="75"/>
        <v>0</v>
      </c>
      <c r="M384" s="553">
        <v>0</v>
      </c>
      <c r="N384" s="553">
        <v>0</v>
      </c>
    </row>
    <row r="385" spans="1:14" s="504" customFormat="1" ht="15" customHeight="1">
      <c r="A385" s="959"/>
      <c r="B385" s="967"/>
      <c r="C385" s="961"/>
      <c r="D385" s="967"/>
      <c r="E385" s="985"/>
      <c r="F385" s="986"/>
      <c r="G385" s="586" t="s">
        <v>14</v>
      </c>
      <c r="H385" s="552">
        <f t="shared" si="73"/>
        <v>117200</v>
      </c>
      <c r="I385" s="553">
        <f t="shared" si="74"/>
        <v>117200</v>
      </c>
      <c r="J385" s="553">
        <v>117200</v>
      </c>
      <c r="K385" s="553">
        <v>0</v>
      </c>
      <c r="L385" s="553">
        <f t="shared" si="75"/>
        <v>0</v>
      </c>
      <c r="M385" s="553">
        <v>0</v>
      </c>
      <c r="N385" s="553">
        <v>0</v>
      </c>
    </row>
    <row r="386" spans="1:14" s="504" customFormat="1" ht="15" customHeight="1">
      <c r="A386" s="959"/>
      <c r="B386" s="960"/>
      <c r="C386" s="961"/>
      <c r="D386" s="960"/>
      <c r="E386" s="987"/>
      <c r="F386" s="988"/>
      <c r="G386" s="611" t="s">
        <v>15</v>
      </c>
      <c r="H386" s="584">
        <f t="shared" si="73"/>
        <v>896672</v>
      </c>
      <c r="I386" s="585">
        <f t="shared" si="74"/>
        <v>896672</v>
      </c>
      <c r="J386" s="585">
        <f>J384+J385</f>
        <v>896672</v>
      </c>
      <c r="K386" s="585">
        <f>K384+K385</f>
        <v>0</v>
      </c>
      <c r="L386" s="585">
        <f t="shared" si="75"/>
        <v>0</v>
      </c>
      <c r="M386" s="585">
        <f>M384+M385</f>
        <v>0</v>
      </c>
      <c r="N386" s="585">
        <f>N384+N385</f>
        <v>0</v>
      </c>
    </row>
    <row r="387" spans="1:14" s="593" customFormat="1" ht="15" customHeight="1" hidden="1">
      <c r="A387" s="946" t="s">
        <v>333</v>
      </c>
      <c r="B387" s="947"/>
      <c r="C387" s="948" t="s">
        <v>335</v>
      </c>
      <c r="D387" s="949"/>
      <c r="E387" s="964" t="s">
        <v>831</v>
      </c>
      <c r="F387" s="951"/>
      <c r="G387" s="586" t="s">
        <v>13</v>
      </c>
      <c r="H387" s="552">
        <f>I387+L387</f>
        <v>2100000</v>
      </c>
      <c r="I387" s="553">
        <f>J387+K387</f>
        <v>2100000</v>
      </c>
      <c r="J387" s="553">
        <v>2100000</v>
      </c>
      <c r="K387" s="553">
        <v>0</v>
      </c>
      <c r="L387" s="553">
        <f>M387+N387</f>
        <v>0</v>
      </c>
      <c r="M387" s="553">
        <v>0</v>
      </c>
      <c r="N387" s="553">
        <v>0</v>
      </c>
    </row>
    <row r="388" spans="1:14" s="593" customFormat="1" ht="15" customHeight="1" hidden="1">
      <c r="A388" s="972"/>
      <c r="B388" s="967"/>
      <c r="C388" s="974"/>
      <c r="D388" s="967"/>
      <c r="E388" s="965"/>
      <c r="F388" s="953"/>
      <c r="G388" s="586" t="s">
        <v>14</v>
      </c>
      <c r="H388" s="552">
        <f>I388+L388</f>
        <v>0</v>
      </c>
      <c r="I388" s="553">
        <f>J388+K388</f>
        <v>0</v>
      </c>
      <c r="J388" s="553">
        <v>0</v>
      </c>
      <c r="K388" s="553">
        <v>0</v>
      </c>
      <c r="L388" s="553">
        <f>M388+N388</f>
        <v>0</v>
      </c>
      <c r="M388" s="553">
        <v>0</v>
      </c>
      <c r="N388" s="553">
        <v>0</v>
      </c>
    </row>
    <row r="389" spans="1:14" s="504" customFormat="1" ht="15" customHeight="1" hidden="1">
      <c r="A389" s="959"/>
      <c r="B389" s="960"/>
      <c r="C389" s="961"/>
      <c r="D389" s="960"/>
      <c r="E389" s="966"/>
      <c r="F389" s="955"/>
      <c r="G389" s="611" t="s">
        <v>15</v>
      </c>
      <c r="H389" s="584">
        <f>I389+L389</f>
        <v>2100000</v>
      </c>
      <c r="I389" s="585">
        <f>J389+K389</f>
        <v>2100000</v>
      </c>
      <c r="J389" s="585">
        <f>J387+J388</f>
        <v>2100000</v>
      </c>
      <c r="K389" s="585">
        <f>K387+K388</f>
        <v>0</v>
      </c>
      <c r="L389" s="585">
        <f>M389+N389</f>
        <v>0</v>
      </c>
      <c r="M389" s="585">
        <f>M387+M388</f>
        <v>0</v>
      </c>
      <c r="N389" s="585">
        <f>N387+N388</f>
        <v>0</v>
      </c>
    </row>
    <row r="390" spans="1:14" s="504" customFormat="1" ht="15" customHeight="1" hidden="1">
      <c r="A390" s="968" t="s">
        <v>28</v>
      </c>
      <c r="B390" s="969"/>
      <c r="C390" s="970" t="s">
        <v>139</v>
      </c>
      <c r="D390" s="971"/>
      <c r="E390" s="964" t="s">
        <v>832</v>
      </c>
      <c r="F390" s="951"/>
      <c r="G390" s="551" t="s">
        <v>13</v>
      </c>
      <c r="H390" s="584">
        <f t="shared" si="73"/>
        <v>135000</v>
      </c>
      <c r="I390" s="585">
        <f t="shared" si="74"/>
        <v>0</v>
      </c>
      <c r="J390" s="585">
        <v>0</v>
      </c>
      <c r="K390" s="585">
        <v>0</v>
      </c>
      <c r="L390" s="585">
        <f t="shared" si="75"/>
        <v>135000</v>
      </c>
      <c r="M390" s="585">
        <v>0</v>
      </c>
      <c r="N390" s="585">
        <v>135000</v>
      </c>
    </row>
    <row r="391" spans="1:14" s="504" customFormat="1" ht="15" customHeight="1" hidden="1">
      <c r="A391" s="959"/>
      <c r="B391" s="967"/>
      <c r="C391" s="961"/>
      <c r="D391" s="967"/>
      <c r="E391" s="965"/>
      <c r="F391" s="953"/>
      <c r="G391" s="551" t="s">
        <v>14</v>
      </c>
      <c r="H391" s="584">
        <f t="shared" si="73"/>
        <v>0</v>
      </c>
      <c r="I391" s="585">
        <f t="shared" si="74"/>
        <v>0</v>
      </c>
      <c r="J391" s="585">
        <v>0</v>
      </c>
      <c r="K391" s="585">
        <v>0</v>
      </c>
      <c r="L391" s="585">
        <f t="shared" si="75"/>
        <v>0</v>
      </c>
      <c r="M391" s="585">
        <v>0</v>
      </c>
      <c r="N391" s="585">
        <v>0</v>
      </c>
    </row>
    <row r="392" spans="1:14" s="504" customFormat="1" ht="15" customHeight="1" hidden="1">
      <c r="A392" s="959"/>
      <c r="B392" s="960"/>
      <c r="C392" s="961"/>
      <c r="D392" s="960"/>
      <c r="E392" s="966"/>
      <c r="F392" s="955"/>
      <c r="G392" s="611" t="s">
        <v>15</v>
      </c>
      <c r="H392" s="584">
        <f t="shared" si="73"/>
        <v>135000</v>
      </c>
      <c r="I392" s="585">
        <f t="shared" si="74"/>
        <v>0</v>
      </c>
      <c r="J392" s="585">
        <f>J390+J391</f>
        <v>0</v>
      </c>
      <c r="K392" s="585">
        <f>K390+K391</f>
        <v>0</v>
      </c>
      <c r="L392" s="585">
        <f t="shared" si="75"/>
        <v>135000</v>
      </c>
      <c r="M392" s="585">
        <f>M390+M391</f>
        <v>0</v>
      </c>
      <c r="N392" s="585">
        <f>N390+N391</f>
        <v>135000</v>
      </c>
    </row>
    <row r="393" spans="1:14" s="593" customFormat="1" ht="15" customHeight="1" hidden="1">
      <c r="A393" s="946" t="s">
        <v>85</v>
      </c>
      <c r="B393" s="947"/>
      <c r="C393" s="948" t="s">
        <v>292</v>
      </c>
      <c r="D393" s="949"/>
      <c r="E393" s="964" t="s">
        <v>831</v>
      </c>
      <c r="F393" s="951"/>
      <c r="G393" s="586" t="s">
        <v>13</v>
      </c>
      <c r="H393" s="552">
        <f t="shared" si="73"/>
        <v>0</v>
      </c>
      <c r="I393" s="553">
        <f t="shared" si="74"/>
        <v>0</v>
      </c>
      <c r="J393" s="553">
        <v>0</v>
      </c>
      <c r="K393" s="553">
        <v>0</v>
      </c>
      <c r="L393" s="553">
        <f t="shared" si="75"/>
        <v>0</v>
      </c>
      <c r="M393" s="553">
        <v>0</v>
      </c>
      <c r="N393" s="553">
        <v>0</v>
      </c>
    </row>
    <row r="394" spans="1:14" s="593" customFormat="1" ht="15" customHeight="1" hidden="1">
      <c r="A394" s="972"/>
      <c r="B394" s="967"/>
      <c r="C394" s="974"/>
      <c r="D394" s="967"/>
      <c r="E394" s="965"/>
      <c r="F394" s="953"/>
      <c r="G394" s="586" t="s">
        <v>14</v>
      </c>
      <c r="H394" s="552">
        <f t="shared" si="73"/>
        <v>0</v>
      </c>
      <c r="I394" s="553">
        <f t="shared" si="74"/>
        <v>0</v>
      </c>
      <c r="J394" s="553">
        <v>0</v>
      </c>
      <c r="K394" s="553">
        <v>0</v>
      </c>
      <c r="L394" s="553">
        <f t="shared" si="75"/>
        <v>0</v>
      </c>
      <c r="M394" s="553">
        <v>0</v>
      </c>
      <c r="N394" s="553">
        <v>0</v>
      </c>
    </row>
    <row r="395" spans="1:14" s="504" customFormat="1" ht="15" customHeight="1" hidden="1">
      <c r="A395" s="977"/>
      <c r="B395" s="978"/>
      <c r="C395" s="979"/>
      <c r="D395" s="978"/>
      <c r="E395" s="966"/>
      <c r="F395" s="955"/>
      <c r="G395" s="613" t="s">
        <v>15</v>
      </c>
      <c r="H395" s="552">
        <f t="shared" si="73"/>
        <v>0</v>
      </c>
      <c r="I395" s="553">
        <f t="shared" si="74"/>
        <v>0</v>
      </c>
      <c r="J395" s="553">
        <f>J393+J394</f>
        <v>0</v>
      </c>
      <c r="K395" s="553">
        <f>K393+K394</f>
        <v>0</v>
      </c>
      <c r="L395" s="553">
        <f t="shared" si="75"/>
        <v>0</v>
      </c>
      <c r="M395" s="553">
        <f>M393+M394</f>
        <v>0</v>
      </c>
      <c r="N395" s="553">
        <f>N393+N394</f>
        <v>0</v>
      </c>
    </row>
    <row r="396" spans="1:14" s="593" customFormat="1" ht="18" customHeight="1" hidden="1">
      <c r="A396" s="946" t="s">
        <v>34</v>
      </c>
      <c r="B396" s="947"/>
      <c r="C396" s="948" t="s">
        <v>295</v>
      </c>
      <c r="D396" s="949"/>
      <c r="E396" s="964" t="s">
        <v>833</v>
      </c>
      <c r="F396" s="951"/>
      <c r="G396" s="551" t="s">
        <v>13</v>
      </c>
      <c r="H396" s="584">
        <f t="shared" si="73"/>
        <v>221779</v>
      </c>
      <c r="I396" s="585">
        <f t="shared" si="74"/>
        <v>221779</v>
      </c>
      <c r="J396" s="585">
        <v>221779</v>
      </c>
      <c r="K396" s="585">
        <v>0</v>
      </c>
      <c r="L396" s="585">
        <f t="shared" si="75"/>
        <v>0</v>
      </c>
      <c r="M396" s="585">
        <v>0</v>
      </c>
      <c r="N396" s="585">
        <v>0</v>
      </c>
    </row>
    <row r="397" spans="1:14" s="593" customFormat="1" ht="18" customHeight="1" hidden="1">
      <c r="A397" s="972"/>
      <c r="B397" s="967"/>
      <c r="C397" s="974"/>
      <c r="D397" s="967"/>
      <c r="E397" s="965"/>
      <c r="F397" s="953"/>
      <c r="G397" s="551" t="s">
        <v>14</v>
      </c>
      <c r="H397" s="584">
        <f t="shared" si="73"/>
        <v>0</v>
      </c>
      <c r="I397" s="585">
        <f t="shared" si="74"/>
        <v>0</v>
      </c>
      <c r="J397" s="585">
        <v>0</v>
      </c>
      <c r="K397" s="585">
        <v>0</v>
      </c>
      <c r="L397" s="585">
        <f t="shared" si="75"/>
        <v>0</v>
      </c>
      <c r="M397" s="585">
        <v>0</v>
      </c>
      <c r="N397" s="585">
        <v>0</v>
      </c>
    </row>
    <row r="398" spans="1:14" s="504" customFormat="1" ht="18" customHeight="1" hidden="1">
      <c r="A398" s="959"/>
      <c r="B398" s="960"/>
      <c r="C398" s="961"/>
      <c r="D398" s="960"/>
      <c r="E398" s="966"/>
      <c r="F398" s="955"/>
      <c r="G398" s="611" t="s">
        <v>15</v>
      </c>
      <c r="H398" s="584">
        <f t="shared" si="73"/>
        <v>221779</v>
      </c>
      <c r="I398" s="585">
        <f t="shared" si="74"/>
        <v>221779</v>
      </c>
      <c r="J398" s="585">
        <f>J396+J397</f>
        <v>221779</v>
      </c>
      <c r="K398" s="585">
        <f>K396+K397</f>
        <v>0</v>
      </c>
      <c r="L398" s="585">
        <f t="shared" si="75"/>
        <v>0</v>
      </c>
      <c r="M398" s="585">
        <f>M396+M397</f>
        <v>0</v>
      </c>
      <c r="N398" s="585">
        <f>N396+N397</f>
        <v>0</v>
      </c>
    </row>
    <row r="399" spans="1:14" s="593" customFormat="1" ht="18" customHeight="1" hidden="1">
      <c r="A399" s="972"/>
      <c r="B399" s="973"/>
      <c r="C399" s="974"/>
      <c r="D399" s="975"/>
      <c r="E399" s="964" t="s">
        <v>834</v>
      </c>
      <c r="F399" s="951"/>
      <c r="G399" s="551" t="s">
        <v>13</v>
      </c>
      <c r="H399" s="584">
        <f t="shared" si="73"/>
        <v>242784</v>
      </c>
      <c r="I399" s="585">
        <f t="shared" si="74"/>
        <v>242784</v>
      </c>
      <c r="J399" s="585">
        <v>242784</v>
      </c>
      <c r="K399" s="585">
        <v>0</v>
      </c>
      <c r="L399" s="585">
        <f t="shared" si="75"/>
        <v>0</v>
      </c>
      <c r="M399" s="585">
        <v>0</v>
      </c>
      <c r="N399" s="585">
        <v>0</v>
      </c>
    </row>
    <row r="400" spans="1:14" s="593" customFormat="1" ht="18" customHeight="1" hidden="1">
      <c r="A400" s="972"/>
      <c r="B400" s="967"/>
      <c r="C400" s="974"/>
      <c r="D400" s="967"/>
      <c r="E400" s="965"/>
      <c r="F400" s="953"/>
      <c r="G400" s="551" t="s">
        <v>14</v>
      </c>
      <c r="H400" s="584">
        <f t="shared" si="73"/>
        <v>0</v>
      </c>
      <c r="I400" s="585">
        <f t="shared" si="74"/>
        <v>0</v>
      </c>
      <c r="J400" s="585">
        <v>0</v>
      </c>
      <c r="K400" s="585">
        <v>0</v>
      </c>
      <c r="L400" s="585">
        <f t="shared" si="75"/>
        <v>0</v>
      </c>
      <c r="M400" s="585">
        <v>0</v>
      </c>
      <c r="N400" s="585">
        <v>0</v>
      </c>
    </row>
    <row r="401" spans="1:14" s="504" customFormat="1" ht="18" customHeight="1" hidden="1">
      <c r="A401" s="959"/>
      <c r="B401" s="960"/>
      <c r="C401" s="961"/>
      <c r="D401" s="960"/>
      <c r="E401" s="966"/>
      <c r="F401" s="955"/>
      <c r="G401" s="611" t="s">
        <v>15</v>
      </c>
      <c r="H401" s="584">
        <f t="shared" si="73"/>
        <v>242784</v>
      </c>
      <c r="I401" s="585">
        <f t="shared" si="74"/>
        <v>242784</v>
      </c>
      <c r="J401" s="585">
        <f>J399+J400</f>
        <v>242784</v>
      </c>
      <c r="K401" s="585">
        <f>K399+K400</f>
        <v>0</v>
      </c>
      <c r="L401" s="585">
        <f t="shared" si="75"/>
        <v>0</v>
      </c>
      <c r="M401" s="585">
        <f>M399+M400</f>
        <v>0</v>
      </c>
      <c r="N401" s="585">
        <f>N399+N400</f>
        <v>0</v>
      </c>
    </row>
    <row r="402" spans="1:14" s="593" customFormat="1" ht="15" customHeight="1" hidden="1">
      <c r="A402" s="972"/>
      <c r="B402" s="973"/>
      <c r="C402" s="948" t="s">
        <v>301</v>
      </c>
      <c r="D402" s="949"/>
      <c r="E402" s="964" t="s">
        <v>835</v>
      </c>
      <c r="F402" s="951"/>
      <c r="G402" s="551" t="s">
        <v>13</v>
      </c>
      <c r="H402" s="584">
        <f t="shared" si="73"/>
        <v>286128</v>
      </c>
      <c r="I402" s="585">
        <f t="shared" si="74"/>
        <v>286128</v>
      </c>
      <c r="J402" s="585">
        <v>286128</v>
      </c>
      <c r="K402" s="585">
        <v>0</v>
      </c>
      <c r="L402" s="585">
        <f t="shared" si="75"/>
        <v>0</v>
      </c>
      <c r="M402" s="585">
        <v>0</v>
      </c>
      <c r="N402" s="585">
        <v>0</v>
      </c>
    </row>
    <row r="403" spans="1:14" s="593" customFormat="1" ht="15" customHeight="1" hidden="1">
      <c r="A403" s="972"/>
      <c r="B403" s="967"/>
      <c r="C403" s="974"/>
      <c r="D403" s="967"/>
      <c r="E403" s="965"/>
      <c r="F403" s="953"/>
      <c r="G403" s="551" t="s">
        <v>14</v>
      </c>
      <c r="H403" s="584">
        <f t="shared" si="73"/>
        <v>0</v>
      </c>
      <c r="I403" s="585">
        <f t="shared" si="74"/>
        <v>0</v>
      </c>
      <c r="J403" s="585">
        <v>0</v>
      </c>
      <c r="K403" s="585">
        <v>0</v>
      </c>
      <c r="L403" s="585">
        <f t="shared" si="75"/>
        <v>0</v>
      </c>
      <c r="M403" s="585">
        <v>0</v>
      </c>
      <c r="N403" s="585">
        <v>0</v>
      </c>
    </row>
    <row r="404" spans="1:14" s="504" customFormat="1" ht="15" customHeight="1" hidden="1">
      <c r="A404" s="959"/>
      <c r="B404" s="960"/>
      <c r="C404" s="961"/>
      <c r="D404" s="960"/>
      <c r="E404" s="966"/>
      <c r="F404" s="955"/>
      <c r="G404" s="611" t="s">
        <v>15</v>
      </c>
      <c r="H404" s="584">
        <f t="shared" si="73"/>
        <v>286128</v>
      </c>
      <c r="I404" s="585">
        <f t="shared" si="74"/>
        <v>286128</v>
      </c>
      <c r="J404" s="585">
        <f>J402+J403</f>
        <v>286128</v>
      </c>
      <c r="K404" s="585">
        <f>K402+K403</f>
        <v>0</v>
      </c>
      <c r="L404" s="585">
        <f t="shared" si="75"/>
        <v>0</v>
      </c>
      <c r="M404" s="585">
        <f>M402+M403</f>
        <v>0</v>
      </c>
      <c r="N404" s="585">
        <f>N402+N403</f>
        <v>0</v>
      </c>
    </row>
    <row r="405" spans="1:14" s="593" customFormat="1" ht="15" customHeight="1">
      <c r="A405" s="946" t="s">
        <v>34</v>
      </c>
      <c r="B405" s="947"/>
      <c r="C405" s="948" t="s">
        <v>351</v>
      </c>
      <c r="D405" s="949"/>
      <c r="E405" s="964" t="s">
        <v>836</v>
      </c>
      <c r="F405" s="951"/>
      <c r="G405" s="551" t="s">
        <v>13</v>
      </c>
      <c r="H405" s="584">
        <f>I405+L405</f>
        <v>0</v>
      </c>
      <c r="I405" s="585">
        <f>J405+K405</f>
        <v>0</v>
      </c>
      <c r="J405" s="585">
        <v>0</v>
      </c>
      <c r="K405" s="585">
        <v>0</v>
      </c>
      <c r="L405" s="585">
        <f>M405+N405</f>
        <v>0</v>
      </c>
      <c r="M405" s="585">
        <v>0</v>
      </c>
      <c r="N405" s="585">
        <v>0</v>
      </c>
    </row>
    <row r="406" spans="1:14" s="593" customFormat="1" ht="15" customHeight="1">
      <c r="A406" s="972"/>
      <c r="B406" s="967"/>
      <c r="C406" s="974"/>
      <c r="D406" s="967"/>
      <c r="E406" s="965"/>
      <c r="F406" s="953"/>
      <c r="G406" s="551" t="s">
        <v>14</v>
      </c>
      <c r="H406" s="584">
        <f>I406+L406</f>
        <v>96637</v>
      </c>
      <c r="I406" s="585">
        <f>J406+K406</f>
        <v>96637</v>
      </c>
      <c r="J406" s="585">
        <v>96637</v>
      </c>
      <c r="K406" s="585">
        <v>0</v>
      </c>
      <c r="L406" s="585">
        <f>M406+N406</f>
        <v>0</v>
      </c>
      <c r="M406" s="585">
        <v>0</v>
      </c>
      <c r="N406" s="585">
        <v>0</v>
      </c>
    </row>
    <row r="407" spans="1:14" s="504" customFormat="1" ht="15" customHeight="1">
      <c r="A407" s="959"/>
      <c r="B407" s="960"/>
      <c r="C407" s="961"/>
      <c r="D407" s="960"/>
      <c r="E407" s="966"/>
      <c r="F407" s="955"/>
      <c r="G407" s="611" t="s">
        <v>15</v>
      </c>
      <c r="H407" s="584">
        <f>I407+L407</f>
        <v>96637</v>
      </c>
      <c r="I407" s="585">
        <f>J407+K407</f>
        <v>96637</v>
      </c>
      <c r="J407" s="585">
        <f>J405+J406</f>
        <v>96637</v>
      </c>
      <c r="K407" s="585">
        <f>K405+K406</f>
        <v>0</v>
      </c>
      <c r="L407" s="585">
        <f>M407+N407</f>
        <v>0</v>
      </c>
      <c r="M407" s="585">
        <f>M405+M406</f>
        <v>0</v>
      </c>
      <c r="N407" s="585">
        <f>N405+N406</f>
        <v>0</v>
      </c>
    </row>
    <row r="408" spans="1:14" s="504" customFormat="1" ht="15" customHeight="1" hidden="1">
      <c r="A408" s="959"/>
      <c r="B408" s="962"/>
      <c r="C408" s="970" t="s">
        <v>770</v>
      </c>
      <c r="D408" s="971"/>
      <c r="E408" s="964" t="s">
        <v>837</v>
      </c>
      <c r="F408" s="951"/>
      <c r="G408" s="551" t="s">
        <v>13</v>
      </c>
      <c r="H408" s="584">
        <f t="shared" si="73"/>
        <v>100000</v>
      </c>
      <c r="I408" s="585">
        <f t="shared" si="74"/>
        <v>0</v>
      </c>
      <c r="J408" s="585">
        <v>0</v>
      </c>
      <c r="K408" s="585">
        <v>0</v>
      </c>
      <c r="L408" s="585">
        <f t="shared" si="75"/>
        <v>100000</v>
      </c>
      <c r="M408" s="585">
        <v>0</v>
      </c>
      <c r="N408" s="585">
        <v>100000</v>
      </c>
    </row>
    <row r="409" spans="1:14" s="504" customFormat="1" ht="15" customHeight="1" hidden="1">
      <c r="A409" s="959"/>
      <c r="B409" s="967"/>
      <c r="C409" s="961"/>
      <c r="D409" s="967"/>
      <c r="E409" s="965"/>
      <c r="F409" s="953"/>
      <c r="G409" s="551" t="s">
        <v>14</v>
      </c>
      <c r="H409" s="584">
        <f t="shared" si="73"/>
        <v>0</v>
      </c>
      <c r="I409" s="585">
        <f t="shared" si="74"/>
        <v>0</v>
      </c>
      <c r="J409" s="585">
        <v>0</v>
      </c>
      <c r="K409" s="585">
        <v>0</v>
      </c>
      <c r="L409" s="585">
        <f t="shared" si="75"/>
        <v>0</v>
      </c>
      <c r="M409" s="585">
        <v>0</v>
      </c>
      <c r="N409" s="585">
        <v>0</v>
      </c>
    </row>
    <row r="410" spans="1:14" s="504" customFormat="1" ht="15" customHeight="1" hidden="1">
      <c r="A410" s="959"/>
      <c r="B410" s="960"/>
      <c r="C410" s="961"/>
      <c r="D410" s="960"/>
      <c r="E410" s="966"/>
      <c r="F410" s="955"/>
      <c r="G410" s="611" t="s">
        <v>15</v>
      </c>
      <c r="H410" s="584">
        <f t="shared" si="73"/>
        <v>100000</v>
      </c>
      <c r="I410" s="585">
        <f t="shared" si="74"/>
        <v>0</v>
      </c>
      <c r="J410" s="585">
        <f>J408+J409</f>
        <v>0</v>
      </c>
      <c r="K410" s="585">
        <f>K408+K409</f>
        <v>0</v>
      </c>
      <c r="L410" s="585">
        <f t="shared" si="75"/>
        <v>100000</v>
      </c>
      <c r="M410" s="585">
        <f>M408+M409</f>
        <v>0</v>
      </c>
      <c r="N410" s="585">
        <f>N408+N409</f>
        <v>100000</v>
      </c>
    </row>
    <row r="411" spans="1:14" s="504" customFormat="1" ht="15" customHeight="1" hidden="1">
      <c r="A411" s="959"/>
      <c r="B411" s="962"/>
      <c r="C411" s="961"/>
      <c r="D411" s="963"/>
      <c r="E411" s="964" t="s">
        <v>838</v>
      </c>
      <c r="F411" s="951"/>
      <c r="G411" s="551" t="s">
        <v>13</v>
      </c>
      <c r="H411" s="584">
        <f t="shared" si="73"/>
        <v>875000</v>
      </c>
      <c r="I411" s="585">
        <f t="shared" si="74"/>
        <v>380000</v>
      </c>
      <c r="J411" s="585">
        <v>0</v>
      </c>
      <c r="K411" s="585">
        <v>380000</v>
      </c>
      <c r="L411" s="585">
        <f t="shared" si="75"/>
        <v>495000</v>
      </c>
      <c r="M411" s="585">
        <v>0</v>
      </c>
      <c r="N411" s="585">
        <v>495000</v>
      </c>
    </row>
    <row r="412" spans="1:14" s="504" customFormat="1" ht="15" customHeight="1" hidden="1">
      <c r="A412" s="959"/>
      <c r="B412" s="967"/>
      <c r="C412" s="961"/>
      <c r="D412" s="967"/>
      <c r="E412" s="965"/>
      <c r="F412" s="953"/>
      <c r="G412" s="551" t="s">
        <v>14</v>
      </c>
      <c r="H412" s="584">
        <f t="shared" si="73"/>
        <v>0</v>
      </c>
      <c r="I412" s="585">
        <f t="shared" si="74"/>
        <v>0</v>
      </c>
      <c r="J412" s="585">
        <v>0</v>
      </c>
      <c r="K412" s="585">
        <v>0</v>
      </c>
      <c r="L412" s="585">
        <f t="shared" si="75"/>
        <v>0</v>
      </c>
      <c r="M412" s="585">
        <v>0</v>
      </c>
      <c r="N412" s="585">
        <v>0</v>
      </c>
    </row>
    <row r="413" spans="1:14" s="504" customFormat="1" ht="15" customHeight="1" hidden="1">
      <c r="A413" s="959"/>
      <c r="B413" s="960"/>
      <c r="C413" s="961"/>
      <c r="D413" s="960"/>
      <c r="E413" s="966"/>
      <c r="F413" s="955"/>
      <c r="G413" s="611" t="s">
        <v>15</v>
      </c>
      <c r="H413" s="584">
        <f t="shared" si="73"/>
        <v>875000</v>
      </c>
      <c r="I413" s="585">
        <f t="shared" si="74"/>
        <v>380000</v>
      </c>
      <c r="J413" s="585">
        <f>J411+J412</f>
        <v>0</v>
      </c>
      <c r="K413" s="585">
        <f>K411+K412</f>
        <v>380000</v>
      </c>
      <c r="L413" s="585">
        <f t="shared" si="75"/>
        <v>495000</v>
      </c>
      <c r="M413" s="585">
        <f>M411+M412</f>
        <v>0</v>
      </c>
      <c r="N413" s="585">
        <f>N411+N412</f>
        <v>495000</v>
      </c>
    </row>
    <row r="414" spans="1:14" s="504" customFormat="1" ht="15" customHeight="1" hidden="1">
      <c r="A414" s="959"/>
      <c r="B414" s="962"/>
      <c r="C414" s="970" t="s">
        <v>839</v>
      </c>
      <c r="D414" s="971"/>
      <c r="E414" s="964" t="s">
        <v>840</v>
      </c>
      <c r="F414" s="951"/>
      <c r="G414" s="551" t="s">
        <v>13</v>
      </c>
      <c r="H414" s="584">
        <f t="shared" si="73"/>
        <v>350000</v>
      </c>
      <c r="I414" s="585">
        <f t="shared" si="74"/>
        <v>0</v>
      </c>
      <c r="J414" s="585">
        <v>0</v>
      </c>
      <c r="K414" s="585">
        <v>0</v>
      </c>
      <c r="L414" s="585">
        <f t="shared" si="75"/>
        <v>350000</v>
      </c>
      <c r="M414" s="585">
        <v>0</v>
      </c>
      <c r="N414" s="585">
        <v>350000</v>
      </c>
    </row>
    <row r="415" spans="1:14" s="504" customFormat="1" ht="15" customHeight="1" hidden="1">
      <c r="A415" s="959"/>
      <c r="B415" s="967"/>
      <c r="C415" s="961"/>
      <c r="D415" s="967"/>
      <c r="E415" s="965"/>
      <c r="F415" s="953"/>
      <c r="G415" s="551" t="s">
        <v>14</v>
      </c>
      <c r="H415" s="584">
        <f t="shared" si="73"/>
        <v>0</v>
      </c>
      <c r="I415" s="585">
        <f t="shared" si="74"/>
        <v>0</v>
      </c>
      <c r="J415" s="585">
        <v>0</v>
      </c>
      <c r="K415" s="585">
        <v>0</v>
      </c>
      <c r="L415" s="585">
        <f t="shared" si="75"/>
        <v>0</v>
      </c>
      <c r="M415" s="585">
        <v>0</v>
      </c>
      <c r="N415" s="585">
        <v>0</v>
      </c>
    </row>
    <row r="416" spans="1:14" s="504" customFormat="1" ht="15" customHeight="1" hidden="1">
      <c r="A416" s="959"/>
      <c r="B416" s="960"/>
      <c r="C416" s="961"/>
      <c r="D416" s="960"/>
      <c r="E416" s="966"/>
      <c r="F416" s="955"/>
      <c r="G416" s="611" t="s">
        <v>15</v>
      </c>
      <c r="H416" s="584">
        <f t="shared" si="73"/>
        <v>350000</v>
      </c>
      <c r="I416" s="585">
        <f t="shared" si="74"/>
        <v>0</v>
      </c>
      <c r="J416" s="585">
        <f>J414+J415</f>
        <v>0</v>
      </c>
      <c r="K416" s="585">
        <f>K414+K415</f>
        <v>0</v>
      </c>
      <c r="L416" s="585">
        <f t="shared" si="75"/>
        <v>350000</v>
      </c>
      <c r="M416" s="585">
        <f>M414+M415</f>
        <v>0</v>
      </c>
      <c r="N416" s="585">
        <f>N414+N415</f>
        <v>350000</v>
      </c>
    </row>
    <row r="417" spans="1:14" s="504" customFormat="1" ht="15" customHeight="1" hidden="1">
      <c r="A417" s="959"/>
      <c r="B417" s="962"/>
      <c r="C417" s="970" t="s">
        <v>305</v>
      </c>
      <c r="D417" s="971"/>
      <c r="E417" s="964" t="s">
        <v>841</v>
      </c>
      <c r="F417" s="951"/>
      <c r="G417" s="551" t="s">
        <v>13</v>
      </c>
      <c r="H417" s="584">
        <f t="shared" si="73"/>
        <v>30000</v>
      </c>
      <c r="I417" s="585">
        <f t="shared" si="74"/>
        <v>30000</v>
      </c>
      <c r="J417" s="585">
        <v>0</v>
      </c>
      <c r="K417" s="585">
        <v>30000</v>
      </c>
      <c r="L417" s="585">
        <f t="shared" si="75"/>
        <v>0</v>
      </c>
      <c r="M417" s="585">
        <v>0</v>
      </c>
      <c r="N417" s="585">
        <v>0</v>
      </c>
    </row>
    <row r="418" spans="1:14" s="504" customFormat="1" ht="15" customHeight="1" hidden="1">
      <c r="A418" s="959"/>
      <c r="B418" s="967"/>
      <c r="C418" s="961"/>
      <c r="D418" s="967"/>
      <c r="E418" s="965"/>
      <c r="F418" s="953"/>
      <c r="G418" s="551" t="s">
        <v>14</v>
      </c>
      <c r="H418" s="584">
        <f t="shared" si="73"/>
        <v>0</v>
      </c>
      <c r="I418" s="585">
        <f t="shared" si="74"/>
        <v>0</v>
      </c>
      <c r="J418" s="585">
        <v>0</v>
      </c>
      <c r="K418" s="585">
        <v>0</v>
      </c>
      <c r="L418" s="585">
        <f t="shared" si="75"/>
        <v>0</v>
      </c>
      <c r="M418" s="585">
        <v>0</v>
      </c>
      <c r="N418" s="585">
        <v>0</v>
      </c>
    </row>
    <row r="419" spans="1:14" s="504" customFormat="1" ht="15" customHeight="1" hidden="1">
      <c r="A419" s="959"/>
      <c r="B419" s="960"/>
      <c r="C419" s="961"/>
      <c r="D419" s="960"/>
      <c r="E419" s="966"/>
      <c r="F419" s="955"/>
      <c r="G419" s="611" t="s">
        <v>15</v>
      </c>
      <c r="H419" s="584">
        <f t="shared" si="73"/>
        <v>30000</v>
      </c>
      <c r="I419" s="585">
        <f t="shared" si="74"/>
        <v>30000</v>
      </c>
      <c r="J419" s="585">
        <f>J417+J418</f>
        <v>0</v>
      </c>
      <c r="K419" s="585">
        <f>K417+K418</f>
        <v>30000</v>
      </c>
      <c r="L419" s="585">
        <f t="shared" si="75"/>
        <v>0</v>
      </c>
      <c r="M419" s="585">
        <f>M417+M418</f>
        <v>0</v>
      </c>
      <c r="N419" s="585">
        <f>N417+N418</f>
        <v>0</v>
      </c>
    </row>
    <row r="420" spans="1:14" s="593" customFormat="1" ht="15" customHeight="1" hidden="1">
      <c r="A420" s="972"/>
      <c r="B420" s="973"/>
      <c r="C420" s="974"/>
      <c r="D420" s="975"/>
      <c r="E420" s="964" t="s">
        <v>842</v>
      </c>
      <c r="F420" s="951"/>
      <c r="G420" s="586" t="s">
        <v>13</v>
      </c>
      <c r="H420" s="552">
        <f t="shared" si="73"/>
        <v>70000</v>
      </c>
      <c r="I420" s="553">
        <f t="shared" si="74"/>
        <v>0</v>
      </c>
      <c r="J420" s="553">
        <v>0</v>
      </c>
      <c r="K420" s="553">
        <v>0</v>
      </c>
      <c r="L420" s="553">
        <f t="shared" si="75"/>
        <v>70000</v>
      </c>
      <c r="M420" s="553">
        <v>0</v>
      </c>
      <c r="N420" s="553">
        <v>70000</v>
      </c>
    </row>
    <row r="421" spans="1:14" s="593" customFormat="1" ht="15" customHeight="1" hidden="1">
      <c r="A421" s="972"/>
      <c r="B421" s="967"/>
      <c r="C421" s="974"/>
      <c r="D421" s="967"/>
      <c r="E421" s="965"/>
      <c r="F421" s="953"/>
      <c r="G421" s="586" t="s">
        <v>14</v>
      </c>
      <c r="H421" s="552">
        <f aca="true" t="shared" si="76" ref="H421:H529">I421+L421</f>
        <v>0</v>
      </c>
      <c r="I421" s="553">
        <f aca="true" t="shared" si="77" ref="I421:I529">J421+K421</f>
        <v>0</v>
      </c>
      <c r="J421" s="553">
        <v>0</v>
      </c>
      <c r="K421" s="553">
        <v>0</v>
      </c>
      <c r="L421" s="553">
        <f aca="true" t="shared" si="78" ref="L421:L529">M421+N421</f>
        <v>0</v>
      </c>
      <c r="M421" s="553">
        <v>0</v>
      </c>
      <c r="N421" s="553">
        <v>0</v>
      </c>
    </row>
    <row r="422" spans="1:14" s="504" customFormat="1" ht="15" customHeight="1" hidden="1">
      <c r="A422" s="959"/>
      <c r="B422" s="960"/>
      <c r="C422" s="961"/>
      <c r="D422" s="960"/>
      <c r="E422" s="966"/>
      <c r="F422" s="955"/>
      <c r="G422" s="611" t="s">
        <v>15</v>
      </c>
      <c r="H422" s="584">
        <f t="shared" si="76"/>
        <v>70000</v>
      </c>
      <c r="I422" s="585">
        <f t="shared" si="77"/>
        <v>0</v>
      </c>
      <c r="J422" s="585">
        <f>J420+J421</f>
        <v>0</v>
      </c>
      <c r="K422" s="585">
        <f>K420+K421</f>
        <v>0</v>
      </c>
      <c r="L422" s="585">
        <f t="shared" si="78"/>
        <v>70000</v>
      </c>
      <c r="M422" s="585">
        <f>M420+M421</f>
        <v>0</v>
      </c>
      <c r="N422" s="585">
        <f>N420+N421</f>
        <v>70000</v>
      </c>
    </row>
    <row r="423" spans="1:14" s="593" customFormat="1" ht="15" customHeight="1" hidden="1">
      <c r="A423" s="972"/>
      <c r="B423" s="973"/>
      <c r="C423" s="974"/>
      <c r="D423" s="975"/>
      <c r="E423" s="964" t="s">
        <v>843</v>
      </c>
      <c r="F423" s="951"/>
      <c r="G423" s="586" t="s">
        <v>13</v>
      </c>
      <c r="H423" s="552">
        <f t="shared" si="76"/>
        <v>260000</v>
      </c>
      <c r="I423" s="553">
        <f t="shared" si="77"/>
        <v>0</v>
      </c>
      <c r="J423" s="553">
        <v>0</v>
      </c>
      <c r="K423" s="553">
        <v>0</v>
      </c>
      <c r="L423" s="553">
        <f t="shared" si="78"/>
        <v>260000</v>
      </c>
      <c r="M423" s="553">
        <v>0</v>
      </c>
      <c r="N423" s="553">
        <v>260000</v>
      </c>
    </row>
    <row r="424" spans="1:14" s="593" customFormat="1" ht="15" customHeight="1" hidden="1">
      <c r="A424" s="972"/>
      <c r="B424" s="967"/>
      <c r="C424" s="974"/>
      <c r="D424" s="967"/>
      <c r="E424" s="965"/>
      <c r="F424" s="953"/>
      <c r="G424" s="586" t="s">
        <v>14</v>
      </c>
      <c r="H424" s="552">
        <f t="shared" si="76"/>
        <v>0</v>
      </c>
      <c r="I424" s="553">
        <f t="shared" si="77"/>
        <v>0</v>
      </c>
      <c r="J424" s="553">
        <v>0</v>
      </c>
      <c r="K424" s="553">
        <v>0</v>
      </c>
      <c r="L424" s="553">
        <f t="shared" si="78"/>
        <v>0</v>
      </c>
      <c r="M424" s="553">
        <v>0</v>
      </c>
      <c r="N424" s="553">
        <v>0</v>
      </c>
    </row>
    <row r="425" spans="1:14" s="504" customFormat="1" ht="15" customHeight="1" hidden="1">
      <c r="A425" s="959"/>
      <c r="B425" s="960"/>
      <c r="C425" s="961"/>
      <c r="D425" s="960"/>
      <c r="E425" s="966"/>
      <c r="F425" s="955"/>
      <c r="G425" s="611" t="s">
        <v>15</v>
      </c>
      <c r="H425" s="584">
        <f t="shared" si="76"/>
        <v>260000</v>
      </c>
      <c r="I425" s="585">
        <f t="shared" si="77"/>
        <v>0</v>
      </c>
      <c r="J425" s="585">
        <f>J423+J424</f>
        <v>0</v>
      </c>
      <c r="K425" s="585">
        <f>K423+K424</f>
        <v>0</v>
      </c>
      <c r="L425" s="585">
        <f t="shared" si="78"/>
        <v>260000</v>
      </c>
      <c r="M425" s="585">
        <f>M423+M424</f>
        <v>0</v>
      </c>
      <c r="N425" s="585">
        <f>N423+N424</f>
        <v>260000</v>
      </c>
    </row>
    <row r="426" spans="1:14" s="593" customFormat="1" ht="15" customHeight="1" hidden="1">
      <c r="A426" s="972"/>
      <c r="B426" s="973"/>
      <c r="C426" s="974"/>
      <c r="D426" s="975"/>
      <c r="E426" s="976" t="s">
        <v>844</v>
      </c>
      <c r="F426" s="980"/>
      <c r="G426" s="614" t="s">
        <v>13</v>
      </c>
      <c r="H426" s="552">
        <f t="shared" si="76"/>
        <v>1900000</v>
      </c>
      <c r="I426" s="553">
        <f t="shared" si="77"/>
        <v>1900000</v>
      </c>
      <c r="J426" s="553">
        <v>1900000</v>
      </c>
      <c r="K426" s="553">
        <v>0</v>
      </c>
      <c r="L426" s="553">
        <f t="shared" si="78"/>
        <v>0</v>
      </c>
      <c r="M426" s="553">
        <v>0</v>
      </c>
      <c r="N426" s="553">
        <v>0</v>
      </c>
    </row>
    <row r="427" spans="1:14" s="593" customFormat="1" ht="15" customHeight="1" hidden="1">
      <c r="A427" s="972"/>
      <c r="B427" s="967"/>
      <c r="C427" s="974"/>
      <c r="D427" s="967"/>
      <c r="E427" s="965"/>
      <c r="F427" s="953"/>
      <c r="G427" s="614" t="s">
        <v>14</v>
      </c>
      <c r="H427" s="552">
        <f t="shared" si="76"/>
        <v>0</v>
      </c>
      <c r="I427" s="553">
        <f t="shared" si="77"/>
        <v>0</v>
      </c>
      <c r="J427" s="553">
        <v>0</v>
      </c>
      <c r="K427" s="553">
        <v>0</v>
      </c>
      <c r="L427" s="553">
        <f t="shared" si="78"/>
        <v>0</v>
      </c>
      <c r="M427" s="553">
        <v>0</v>
      </c>
      <c r="N427" s="553">
        <v>0</v>
      </c>
    </row>
    <row r="428" spans="1:14" s="504" customFormat="1" ht="15" customHeight="1" hidden="1">
      <c r="A428" s="959"/>
      <c r="B428" s="960"/>
      <c r="C428" s="961"/>
      <c r="D428" s="960"/>
      <c r="E428" s="966"/>
      <c r="F428" s="955"/>
      <c r="G428" s="611" t="s">
        <v>15</v>
      </c>
      <c r="H428" s="584">
        <f t="shared" si="76"/>
        <v>1900000</v>
      </c>
      <c r="I428" s="585">
        <f t="shared" si="77"/>
        <v>1900000</v>
      </c>
      <c r="J428" s="585">
        <f>J426+J427</f>
        <v>1900000</v>
      </c>
      <c r="K428" s="585">
        <f>K426+K427</f>
        <v>0</v>
      </c>
      <c r="L428" s="585">
        <f t="shared" si="78"/>
        <v>0</v>
      </c>
      <c r="M428" s="585">
        <f>M426+M427</f>
        <v>0</v>
      </c>
      <c r="N428" s="585">
        <f>N426+N427</f>
        <v>0</v>
      </c>
    </row>
    <row r="429" spans="1:14" s="504" customFormat="1" ht="15" customHeight="1" hidden="1">
      <c r="A429" s="968" t="s">
        <v>240</v>
      </c>
      <c r="B429" s="969"/>
      <c r="C429" s="970" t="s">
        <v>845</v>
      </c>
      <c r="D429" s="971"/>
      <c r="E429" s="964" t="s">
        <v>846</v>
      </c>
      <c r="F429" s="951"/>
      <c r="G429" s="586" t="s">
        <v>13</v>
      </c>
      <c r="H429" s="552">
        <f t="shared" si="76"/>
        <v>40000</v>
      </c>
      <c r="I429" s="553">
        <f t="shared" si="77"/>
        <v>0</v>
      </c>
      <c r="J429" s="553">
        <v>0</v>
      </c>
      <c r="K429" s="553"/>
      <c r="L429" s="553">
        <f t="shared" si="78"/>
        <v>40000</v>
      </c>
      <c r="M429" s="553">
        <v>0</v>
      </c>
      <c r="N429" s="553">
        <v>40000</v>
      </c>
    </row>
    <row r="430" spans="1:14" s="504" customFormat="1" ht="15" customHeight="1" hidden="1">
      <c r="A430" s="959"/>
      <c r="B430" s="967"/>
      <c r="C430" s="961"/>
      <c r="D430" s="967"/>
      <c r="E430" s="965"/>
      <c r="F430" s="953"/>
      <c r="G430" s="586" t="s">
        <v>14</v>
      </c>
      <c r="H430" s="552">
        <f t="shared" si="76"/>
        <v>0</v>
      </c>
      <c r="I430" s="553">
        <f t="shared" si="77"/>
        <v>0</v>
      </c>
      <c r="J430" s="553">
        <v>0</v>
      </c>
      <c r="K430" s="553"/>
      <c r="L430" s="553">
        <f t="shared" si="78"/>
        <v>0</v>
      </c>
      <c r="M430" s="553">
        <v>0</v>
      </c>
      <c r="N430" s="553">
        <v>0</v>
      </c>
    </row>
    <row r="431" spans="1:14" s="504" customFormat="1" ht="15" customHeight="1" hidden="1">
      <c r="A431" s="959"/>
      <c r="B431" s="960"/>
      <c r="C431" s="961"/>
      <c r="D431" s="960"/>
      <c r="E431" s="966"/>
      <c r="F431" s="955"/>
      <c r="G431" s="611" t="s">
        <v>15</v>
      </c>
      <c r="H431" s="584">
        <f t="shared" si="76"/>
        <v>40000</v>
      </c>
      <c r="I431" s="585">
        <f t="shared" si="77"/>
        <v>0</v>
      </c>
      <c r="J431" s="585">
        <f>J429+J430</f>
        <v>0</v>
      </c>
      <c r="K431" s="585">
        <f>K429+K430</f>
        <v>0</v>
      </c>
      <c r="L431" s="585">
        <f t="shared" si="78"/>
        <v>40000</v>
      </c>
      <c r="M431" s="585">
        <f>M429+M430</f>
        <v>0</v>
      </c>
      <c r="N431" s="585">
        <f>N429+N430</f>
        <v>40000</v>
      </c>
    </row>
    <row r="432" spans="1:14" s="593" customFormat="1" ht="15" customHeight="1" hidden="1">
      <c r="A432" s="972"/>
      <c r="B432" s="973"/>
      <c r="C432" s="974"/>
      <c r="D432" s="975"/>
      <c r="E432" s="964" t="s">
        <v>847</v>
      </c>
      <c r="F432" s="951"/>
      <c r="G432" s="551" t="s">
        <v>13</v>
      </c>
      <c r="H432" s="584">
        <f t="shared" si="76"/>
        <v>30000</v>
      </c>
      <c r="I432" s="585">
        <f t="shared" si="77"/>
        <v>30000</v>
      </c>
      <c r="J432" s="585">
        <v>0</v>
      </c>
      <c r="K432" s="585">
        <v>30000</v>
      </c>
      <c r="L432" s="585">
        <f t="shared" si="78"/>
        <v>0</v>
      </c>
      <c r="M432" s="585">
        <v>0</v>
      </c>
      <c r="N432" s="585">
        <v>0</v>
      </c>
    </row>
    <row r="433" spans="1:14" s="593" customFormat="1" ht="15" customHeight="1" hidden="1">
      <c r="A433" s="972"/>
      <c r="B433" s="967"/>
      <c r="C433" s="974"/>
      <c r="D433" s="967"/>
      <c r="E433" s="965"/>
      <c r="F433" s="953"/>
      <c r="G433" s="551" t="s">
        <v>14</v>
      </c>
      <c r="H433" s="584">
        <f t="shared" si="76"/>
        <v>0</v>
      </c>
      <c r="I433" s="585">
        <f t="shared" si="77"/>
        <v>0</v>
      </c>
      <c r="J433" s="585">
        <v>0</v>
      </c>
      <c r="K433" s="585">
        <v>0</v>
      </c>
      <c r="L433" s="585">
        <f t="shared" si="78"/>
        <v>0</v>
      </c>
      <c r="M433" s="585">
        <v>0</v>
      </c>
      <c r="N433" s="585">
        <v>0</v>
      </c>
    </row>
    <row r="434" spans="1:14" s="504" customFormat="1" ht="15" customHeight="1" hidden="1">
      <c r="A434" s="959"/>
      <c r="B434" s="960"/>
      <c r="C434" s="961"/>
      <c r="D434" s="960"/>
      <c r="E434" s="966"/>
      <c r="F434" s="955"/>
      <c r="G434" s="611" t="s">
        <v>15</v>
      </c>
      <c r="H434" s="584">
        <f t="shared" si="76"/>
        <v>30000</v>
      </c>
      <c r="I434" s="585">
        <f t="shared" si="77"/>
        <v>30000</v>
      </c>
      <c r="J434" s="585">
        <f>J432+J433</f>
        <v>0</v>
      </c>
      <c r="K434" s="585">
        <f>K432+K433</f>
        <v>30000</v>
      </c>
      <c r="L434" s="585">
        <f t="shared" si="78"/>
        <v>0</v>
      </c>
      <c r="M434" s="585">
        <f>M432+M433</f>
        <v>0</v>
      </c>
      <c r="N434" s="585">
        <f>N432+N433</f>
        <v>0</v>
      </c>
    </row>
    <row r="435" spans="1:14" s="593" customFormat="1" ht="15" customHeight="1">
      <c r="A435" s="946" t="s">
        <v>240</v>
      </c>
      <c r="B435" s="947"/>
      <c r="C435" s="948" t="s">
        <v>784</v>
      </c>
      <c r="D435" s="949"/>
      <c r="E435" s="964" t="s">
        <v>848</v>
      </c>
      <c r="F435" s="951"/>
      <c r="G435" s="551" t="s">
        <v>13</v>
      </c>
      <c r="H435" s="584">
        <f t="shared" si="76"/>
        <v>320000</v>
      </c>
      <c r="I435" s="585">
        <f t="shared" si="77"/>
        <v>0</v>
      </c>
      <c r="J435" s="585">
        <v>0</v>
      </c>
      <c r="K435" s="585">
        <v>0</v>
      </c>
      <c r="L435" s="585">
        <f t="shared" si="78"/>
        <v>320000</v>
      </c>
      <c r="M435" s="585">
        <v>0</v>
      </c>
      <c r="N435" s="585">
        <v>320000</v>
      </c>
    </row>
    <row r="436" spans="1:14" s="593" customFormat="1" ht="15" customHeight="1">
      <c r="A436" s="972"/>
      <c r="B436" s="967"/>
      <c r="C436" s="974"/>
      <c r="D436" s="967"/>
      <c r="E436" s="965"/>
      <c r="F436" s="953"/>
      <c r="G436" s="551" t="s">
        <v>14</v>
      </c>
      <c r="H436" s="584">
        <f t="shared" si="76"/>
        <v>-320000</v>
      </c>
      <c r="I436" s="585">
        <f t="shared" si="77"/>
        <v>0</v>
      </c>
      <c r="J436" s="585">
        <v>0</v>
      </c>
      <c r="K436" s="585">
        <v>0</v>
      </c>
      <c r="L436" s="585">
        <f t="shared" si="78"/>
        <v>-320000</v>
      </c>
      <c r="M436" s="585">
        <v>0</v>
      </c>
      <c r="N436" s="585">
        <v>-320000</v>
      </c>
    </row>
    <row r="437" spans="1:14" s="504" customFormat="1" ht="15" customHeight="1">
      <c r="A437" s="977"/>
      <c r="B437" s="978"/>
      <c r="C437" s="979"/>
      <c r="D437" s="978"/>
      <c r="E437" s="966"/>
      <c r="F437" s="955"/>
      <c r="G437" s="613" t="s">
        <v>15</v>
      </c>
      <c r="H437" s="552">
        <f t="shared" si="76"/>
        <v>0</v>
      </c>
      <c r="I437" s="553">
        <f t="shared" si="77"/>
        <v>0</v>
      </c>
      <c r="J437" s="553">
        <f>J435+J436</f>
        <v>0</v>
      </c>
      <c r="K437" s="553">
        <f>K435+K436</f>
        <v>0</v>
      </c>
      <c r="L437" s="553">
        <f t="shared" si="78"/>
        <v>0</v>
      </c>
      <c r="M437" s="553">
        <f>M435+M436</f>
        <v>0</v>
      </c>
      <c r="N437" s="553">
        <f>N435+N436</f>
        <v>0</v>
      </c>
    </row>
    <row r="438" spans="1:14" s="593" customFormat="1" ht="14.25" customHeight="1">
      <c r="A438" s="946"/>
      <c r="B438" s="947"/>
      <c r="C438" s="948"/>
      <c r="D438" s="949"/>
      <c r="E438" s="964" t="s">
        <v>849</v>
      </c>
      <c r="F438" s="951"/>
      <c r="G438" s="586" t="s">
        <v>13</v>
      </c>
      <c r="H438" s="552">
        <f t="shared" si="76"/>
        <v>230000</v>
      </c>
      <c r="I438" s="553">
        <f t="shared" si="77"/>
        <v>0</v>
      </c>
      <c r="J438" s="553">
        <v>0</v>
      </c>
      <c r="K438" s="553">
        <v>0</v>
      </c>
      <c r="L438" s="553">
        <f t="shared" si="78"/>
        <v>230000</v>
      </c>
      <c r="M438" s="553">
        <v>0</v>
      </c>
      <c r="N438" s="553">
        <v>230000</v>
      </c>
    </row>
    <row r="439" spans="1:14" s="593" customFormat="1" ht="14.25" customHeight="1">
      <c r="A439" s="972"/>
      <c r="B439" s="967"/>
      <c r="C439" s="974"/>
      <c r="D439" s="967"/>
      <c r="E439" s="965"/>
      <c r="F439" s="953"/>
      <c r="G439" s="586" t="s">
        <v>14</v>
      </c>
      <c r="H439" s="552">
        <f t="shared" si="76"/>
        <v>-230000</v>
      </c>
      <c r="I439" s="553">
        <f t="shared" si="77"/>
        <v>0</v>
      </c>
      <c r="J439" s="553">
        <v>0</v>
      </c>
      <c r="K439" s="553">
        <v>0</v>
      </c>
      <c r="L439" s="553">
        <f t="shared" si="78"/>
        <v>-230000</v>
      </c>
      <c r="M439" s="553">
        <v>0</v>
      </c>
      <c r="N439" s="553">
        <v>-230000</v>
      </c>
    </row>
    <row r="440" spans="1:14" s="504" customFormat="1" ht="14.25" customHeight="1">
      <c r="A440" s="959"/>
      <c r="B440" s="960"/>
      <c r="C440" s="961"/>
      <c r="D440" s="960"/>
      <c r="E440" s="966"/>
      <c r="F440" s="955"/>
      <c r="G440" s="611" t="s">
        <v>15</v>
      </c>
      <c r="H440" s="584">
        <f t="shared" si="76"/>
        <v>0</v>
      </c>
      <c r="I440" s="585">
        <f t="shared" si="77"/>
        <v>0</v>
      </c>
      <c r="J440" s="585">
        <f>J438+J439</f>
        <v>0</v>
      </c>
      <c r="K440" s="585">
        <f>K438+K439</f>
        <v>0</v>
      </c>
      <c r="L440" s="585">
        <f t="shared" si="78"/>
        <v>0</v>
      </c>
      <c r="M440" s="585">
        <f>M438+M439</f>
        <v>0</v>
      </c>
      <c r="N440" s="585">
        <f>N438+N439</f>
        <v>0</v>
      </c>
    </row>
    <row r="441" spans="1:14" s="504" customFormat="1" ht="14.25" customHeight="1">
      <c r="A441" s="959"/>
      <c r="B441" s="962"/>
      <c r="C441" s="961"/>
      <c r="D441" s="963"/>
      <c r="E441" s="964" t="s">
        <v>850</v>
      </c>
      <c r="F441" s="951"/>
      <c r="G441" s="586" t="s">
        <v>13</v>
      </c>
      <c r="H441" s="552">
        <f t="shared" si="76"/>
        <v>100000</v>
      </c>
      <c r="I441" s="553">
        <f t="shared" si="77"/>
        <v>0</v>
      </c>
      <c r="J441" s="553">
        <v>0</v>
      </c>
      <c r="K441" s="553">
        <v>0</v>
      </c>
      <c r="L441" s="553">
        <f t="shared" si="78"/>
        <v>100000</v>
      </c>
      <c r="M441" s="553">
        <v>0</v>
      </c>
      <c r="N441" s="553">
        <v>100000</v>
      </c>
    </row>
    <row r="442" spans="1:14" s="504" customFormat="1" ht="14.25" customHeight="1">
      <c r="A442" s="959"/>
      <c r="B442" s="967"/>
      <c r="C442" s="961"/>
      <c r="D442" s="967"/>
      <c r="E442" s="965"/>
      <c r="F442" s="953"/>
      <c r="G442" s="586" t="s">
        <v>14</v>
      </c>
      <c r="H442" s="552">
        <f t="shared" si="76"/>
        <v>-100000</v>
      </c>
      <c r="I442" s="553">
        <f t="shared" si="77"/>
        <v>0</v>
      </c>
      <c r="J442" s="553">
        <v>0</v>
      </c>
      <c r="K442" s="553">
        <v>0</v>
      </c>
      <c r="L442" s="553">
        <f t="shared" si="78"/>
        <v>-100000</v>
      </c>
      <c r="M442" s="553">
        <v>0</v>
      </c>
      <c r="N442" s="553">
        <v>-100000</v>
      </c>
    </row>
    <row r="443" spans="1:14" s="504" customFormat="1" ht="14.25" customHeight="1">
      <c r="A443" s="959"/>
      <c r="B443" s="960"/>
      <c r="C443" s="961"/>
      <c r="D443" s="960"/>
      <c r="E443" s="966"/>
      <c r="F443" s="955"/>
      <c r="G443" s="611" t="s">
        <v>15</v>
      </c>
      <c r="H443" s="584">
        <f t="shared" si="76"/>
        <v>0</v>
      </c>
      <c r="I443" s="585">
        <f t="shared" si="77"/>
        <v>0</v>
      </c>
      <c r="J443" s="585">
        <f>J441+J442</f>
        <v>0</v>
      </c>
      <c r="K443" s="585">
        <f>K441+K442</f>
        <v>0</v>
      </c>
      <c r="L443" s="585">
        <f t="shared" si="78"/>
        <v>0</v>
      </c>
      <c r="M443" s="585">
        <f>M441+M442</f>
        <v>0</v>
      </c>
      <c r="N443" s="585">
        <f>N441+N442</f>
        <v>0</v>
      </c>
    </row>
    <row r="444" spans="1:14" s="504" customFormat="1" ht="14.25" customHeight="1">
      <c r="A444" s="959"/>
      <c r="B444" s="962"/>
      <c r="C444" s="961"/>
      <c r="D444" s="963"/>
      <c r="E444" s="964" t="s">
        <v>851</v>
      </c>
      <c r="F444" s="951"/>
      <c r="G444" s="586" t="s">
        <v>13</v>
      </c>
      <c r="H444" s="552">
        <f t="shared" si="76"/>
        <v>150000</v>
      </c>
      <c r="I444" s="553">
        <f t="shared" si="77"/>
        <v>0</v>
      </c>
      <c r="J444" s="553">
        <v>0</v>
      </c>
      <c r="K444" s="553">
        <v>0</v>
      </c>
      <c r="L444" s="553">
        <f t="shared" si="78"/>
        <v>150000</v>
      </c>
      <c r="M444" s="553">
        <v>0</v>
      </c>
      <c r="N444" s="553">
        <v>150000</v>
      </c>
    </row>
    <row r="445" spans="1:14" s="504" customFormat="1" ht="14.25" customHeight="1">
      <c r="A445" s="959"/>
      <c r="B445" s="967"/>
      <c r="C445" s="961"/>
      <c r="D445" s="967"/>
      <c r="E445" s="965"/>
      <c r="F445" s="953"/>
      <c r="G445" s="586" t="s">
        <v>14</v>
      </c>
      <c r="H445" s="552">
        <f t="shared" si="76"/>
        <v>-150000</v>
      </c>
      <c r="I445" s="553">
        <f t="shared" si="77"/>
        <v>0</v>
      </c>
      <c r="J445" s="553">
        <v>0</v>
      </c>
      <c r="K445" s="553">
        <v>0</v>
      </c>
      <c r="L445" s="553">
        <f t="shared" si="78"/>
        <v>-150000</v>
      </c>
      <c r="M445" s="553">
        <v>0</v>
      </c>
      <c r="N445" s="553">
        <v>-150000</v>
      </c>
    </row>
    <row r="446" spans="1:14" s="504" customFormat="1" ht="14.25" customHeight="1">
      <c r="A446" s="959"/>
      <c r="B446" s="960"/>
      <c r="C446" s="961"/>
      <c r="D446" s="960"/>
      <c r="E446" s="966"/>
      <c r="F446" s="955"/>
      <c r="G446" s="611" t="s">
        <v>15</v>
      </c>
      <c r="H446" s="584">
        <f t="shared" si="76"/>
        <v>0</v>
      </c>
      <c r="I446" s="585">
        <f t="shared" si="77"/>
        <v>0</v>
      </c>
      <c r="J446" s="585">
        <f>J444+J445</f>
        <v>0</v>
      </c>
      <c r="K446" s="585">
        <f>K444+K445</f>
        <v>0</v>
      </c>
      <c r="L446" s="585">
        <f t="shared" si="78"/>
        <v>0</v>
      </c>
      <c r="M446" s="585">
        <f>M444+M445</f>
        <v>0</v>
      </c>
      <c r="N446" s="585">
        <f>N444+N445</f>
        <v>0</v>
      </c>
    </row>
    <row r="447" spans="1:14" s="504" customFormat="1" ht="15" customHeight="1" hidden="1">
      <c r="A447" s="968" t="s">
        <v>77</v>
      </c>
      <c r="B447" s="969"/>
      <c r="C447" s="970" t="s">
        <v>852</v>
      </c>
      <c r="D447" s="971"/>
      <c r="E447" s="964" t="s">
        <v>853</v>
      </c>
      <c r="F447" s="951"/>
      <c r="G447" s="551" t="s">
        <v>13</v>
      </c>
      <c r="H447" s="584">
        <f t="shared" si="76"/>
        <v>444000</v>
      </c>
      <c r="I447" s="585">
        <f t="shared" si="77"/>
        <v>375556</v>
      </c>
      <c r="J447" s="585">
        <v>0</v>
      </c>
      <c r="K447" s="585">
        <v>375556</v>
      </c>
      <c r="L447" s="585">
        <f t="shared" si="78"/>
        <v>68444</v>
      </c>
      <c r="M447" s="585">
        <v>0</v>
      </c>
      <c r="N447" s="585">
        <v>68444</v>
      </c>
    </row>
    <row r="448" spans="1:14" s="504" customFormat="1" ht="15" customHeight="1" hidden="1">
      <c r="A448" s="959"/>
      <c r="B448" s="967"/>
      <c r="C448" s="961"/>
      <c r="D448" s="967"/>
      <c r="E448" s="965"/>
      <c r="F448" s="953"/>
      <c r="G448" s="551" t="s">
        <v>14</v>
      </c>
      <c r="H448" s="584">
        <f t="shared" si="76"/>
        <v>0</v>
      </c>
      <c r="I448" s="585">
        <f t="shared" si="77"/>
        <v>0</v>
      </c>
      <c r="J448" s="585">
        <v>0</v>
      </c>
      <c r="K448" s="585">
        <v>0</v>
      </c>
      <c r="L448" s="585">
        <f t="shared" si="78"/>
        <v>0</v>
      </c>
      <c r="M448" s="585">
        <v>0</v>
      </c>
      <c r="N448" s="585">
        <v>0</v>
      </c>
    </row>
    <row r="449" spans="1:14" s="504" customFormat="1" ht="15" customHeight="1" hidden="1">
      <c r="A449" s="959"/>
      <c r="B449" s="960"/>
      <c r="C449" s="961"/>
      <c r="D449" s="960"/>
      <c r="E449" s="966"/>
      <c r="F449" s="955"/>
      <c r="G449" s="611" t="s">
        <v>15</v>
      </c>
      <c r="H449" s="584">
        <f t="shared" si="76"/>
        <v>444000</v>
      </c>
      <c r="I449" s="585">
        <f t="shared" si="77"/>
        <v>375556</v>
      </c>
      <c r="J449" s="585">
        <f>J447+J448</f>
        <v>0</v>
      </c>
      <c r="K449" s="585">
        <f>K447+K448</f>
        <v>375556</v>
      </c>
      <c r="L449" s="585">
        <f t="shared" si="78"/>
        <v>68444</v>
      </c>
      <c r="M449" s="585">
        <f>M447+M448</f>
        <v>0</v>
      </c>
      <c r="N449" s="585">
        <f>N447+N448</f>
        <v>68444</v>
      </c>
    </row>
    <row r="450" spans="1:14" s="504" customFormat="1" ht="14.25" customHeight="1">
      <c r="A450" s="968" t="s">
        <v>77</v>
      </c>
      <c r="B450" s="969"/>
      <c r="C450" s="970" t="s">
        <v>344</v>
      </c>
      <c r="D450" s="971"/>
      <c r="E450" s="964" t="s">
        <v>854</v>
      </c>
      <c r="F450" s="951"/>
      <c r="G450" s="586" t="s">
        <v>13</v>
      </c>
      <c r="H450" s="552">
        <f t="shared" si="76"/>
        <v>250000</v>
      </c>
      <c r="I450" s="553">
        <f t="shared" si="77"/>
        <v>0</v>
      </c>
      <c r="J450" s="553">
        <v>0</v>
      </c>
      <c r="K450" s="553">
        <v>0</v>
      </c>
      <c r="L450" s="553">
        <f t="shared" si="78"/>
        <v>250000</v>
      </c>
      <c r="M450" s="553">
        <v>0</v>
      </c>
      <c r="N450" s="553">
        <v>250000</v>
      </c>
    </row>
    <row r="451" spans="1:14" s="504" customFormat="1" ht="14.25" customHeight="1">
      <c r="A451" s="959"/>
      <c r="B451" s="967"/>
      <c r="C451" s="961"/>
      <c r="D451" s="967"/>
      <c r="E451" s="965"/>
      <c r="F451" s="953"/>
      <c r="G451" s="586" t="s">
        <v>14</v>
      </c>
      <c r="H451" s="552">
        <f t="shared" si="76"/>
        <v>-250000</v>
      </c>
      <c r="I451" s="553">
        <f t="shared" si="77"/>
        <v>0</v>
      </c>
      <c r="J451" s="553">
        <v>0</v>
      </c>
      <c r="K451" s="553">
        <v>0</v>
      </c>
      <c r="L451" s="553">
        <f t="shared" si="78"/>
        <v>-250000</v>
      </c>
      <c r="M451" s="553">
        <v>0</v>
      </c>
      <c r="N451" s="553">
        <v>-250000</v>
      </c>
    </row>
    <row r="452" spans="1:14" s="504" customFormat="1" ht="14.25" customHeight="1">
      <c r="A452" s="959"/>
      <c r="B452" s="960"/>
      <c r="C452" s="961"/>
      <c r="D452" s="960"/>
      <c r="E452" s="966"/>
      <c r="F452" s="955"/>
      <c r="G452" s="611" t="s">
        <v>15</v>
      </c>
      <c r="H452" s="584">
        <f t="shared" si="76"/>
        <v>0</v>
      </c>
      <c r="I452" s="585">
        <f t="shared" si="77"/>
        <v>0</v>
      </c>
      <c r="J452" s="585">
        <f>J450+J451</f>
        <v>0</v>
      </c>
      <c r="K452" s="585">
        <f>K450+K451</f>
        <v>0</v>
      </c>
      <c r="L452" s="585">
        <f t="shared" si="78"/>
        <v>0</v>
      </c>
      <c r="M452" s="585">
        <f>M450+M451</f>
        <v>0</v>
      </c>
      <c r="N452" s="585">
        <f>N450+N451</f>
        <v>0</v>
      </c>
    </row>
    <row r="453" spans="1:14" s="593" customFormat="1" ht="15" customHeight="1" hidden="1">
      <c r="A453" s="972"/>
      <c r="B453" s="973"/>
      <c r="C453" s="974"/>
      <c r="D453" s="975"/>
      <c r="E453" s="964" t="s">
        <v>855</v>
      </c>
      <c r="F453" s="951"/>
      <c r="G453" s="551" t="s">
        <v>13</v>
      </c>
      <c r="H453" s="584">
        <f t="shared" si="76"/>
        <v>100000</v>
      </c>
      <c r="I453" s="585">
        <f t="shared" si="77"/>
        <v>0</v>
      </c>
      <c r="J453" s="585">
        <v>0</v>
      </c>
      <c r="K453" s="585">
        <v>0</v>
      </c>
      <c r="L453" s="585">
        <f t="shared" si="78"/>
        <v>100000</v>
      </c>
      <c r="M453" s="585">
        <v>0</v>
      </c>
      <c r="N453" s="585">
        <v>100000</v>
      </c>
    </row>
    <row r="454" spans="1:14" s="593" customFormat="1" ht="15" customHeight="1" hidden="1">
      <c r="A454" s="972"/>
      <c r="B454" s="967"/>
      <c r="C454" s="974"/>
      <c r="D454" s="967"/>
      <c r="E454" s="965"/>
      <c r="F454" s="953"/>
      <c r="G454" s="551" t="s">
        <v>14</v>
      </c>
      <c r="H454" s="584">
        <f t="shared" si="76"/>
        <v>0</v>
      </c>
      <c r="I454" s="585">
        <f t="shared" si="77"/>
        <v>0</v>
      </c>
      <c r="J454" s="585">
        <v>0</v>
      </c>
      <c r="K454" s="585">
        <v>0</v>
      </c>
      <c r="L454" s="585">
        <f t="shared" si="78"/>
        <v>0</v>
      </c>
      <c r="M454" s="585">
        <v>0</v>
      </c>
      <c r="N454" s="585">
        <v>0</v>
      </c>
    </row>
    <row r="455" spans="1:14" s="504" customFormat="1" ht="15" customHeight="1" hidden="1">
      <c r="A455" s="959"/>
      <c r="B455" s="960"/>
      <c r="C455" s="961"/>
      <c r="D455" s="960"/>
      <c r="E455" s="966"/>
      <c r="F455" s="955"/>
      <c r="G455" s="611" t="s">
        <v>15</v>
      </c>
      <c r="H455" s="584">
        <f t="shared" si="76"/>
        <v>100000</v>
      </c>
      <c r="I455" s="585">
        <f t="shared" si="77"/>
        <v>0</v>
      </c>
      <c r="J455" s="585">
        <f>J453+J454</f>
        <v>0</v>
      </c>
      <c r="K455" s="585">
        <f>K453+K454</f>
        <v>0</v>
      </c>
      <c r="L455" s="585">
        <f t="shared" si="78"/>
        <v>100000</v>
      </c>
      <c r="M455" s="585">
        <f>M453+M454</f>
        <v>0</v>
      </c>
      <c r="N455" s="585">
        <f>N453+N454</f>
        <v>100000</v>
      </c>
    </row>
    <row r="456" spans="1:14" s="504" customFormat="1" ht="15" customHeight="1" hidden="1">
      <c r="A456" s="968" t="s">
        <v>246</v>
      </c>
      <c r="B456" s="969"/>
      <c r="C456" s="970" t="s">
        <v>856</v>
      </c>
      <c r="D456" s="971"/>
      <c r="E456" s="964" t="s">
        <v>857</v>
      </c>
      <c r="F456" s="951"/>
      <c r="G456" s="551" t="s">
        <v>13</v>
      </c>
      <c r="H456" s="584">
        <f t="shared" si="76"/>
        <v>219000</v>
      </c>
      <c r="I456" s="585">
        <f t="shared" si="77"/>
        <v>219000</v>
      </c>
      <c r="J456" s="585">
        <v>0</v>
      </c>
      <c r="K456" s="585">
        <v>219000</v>
      </c>
      <c r="L456" s="585">
        <f t="shared" si="78"/>
        <v>0</v>
      </c>
      <c r="M456" s="585">
        <v>0</v>
      </c>
      <c r="N456" s="585">
        <v>0</v>
      </c>
    </row>
    <row r="457" spans="1:14" s="504" customFormat="1" ht="15" customHeight="1" hidden="1">
      <c r="A457" s="959"/>
      <c r="B457" s="967"/>
      <c r="C457" s="961"/>
      <c r="D457" s="967"/>
      <c r="E457" s="965"/>
      <c r="F457" s="953"/>
      <c r="G457" s="551" t="s">
        <v>14</v>
      </c>
      <c r="H457" s="584">
        <f t="shared" si="76"/>
        <v>0</v>
      </c>
      <c r="I457" s="585">
        <f t="shared" si="77"/>
        <v>0</v>
      </c>
      <c r="J457" s="585">
        <v>0</v>
      </c>
      <c r="K457" s="585">
        <v>0</v>
      </c>
      <c r="L457" s="585">
        <f t="shared" si="78"/>
        <v>0</v>
      </c>
      <c r="M457" s="585">
        <v>0</v>
      </c>
      <c r="N457" s="585">
        <v>0</v>
      </c>
    </row>
    <row r="458" spans="1:14" s="504" customFormat="1" ht="15" customHeight="1" hidden="1">
      <c r="A458" s="959"/>
      <c r="B458" s="960"/>
      <c r="C458" s="961"/>
      <c r="D458" s="960"/>
      <c r="E458" s="966"/>
      <c r="F458" s="955"/>
      <c r="G458" s="611" t="s">
        <v>15</v>
      </c>
      <c r="H458" s="584">
        <f t="shared" si="76"/>
        <v>219000</v>
      </c>
      <c r="I458" s="585">
        <f t="shared" si="77"/>
        <v>219000</v>
      </c>
      <c r="J458" s="585">
        <f>J456+J457</f>
        <v>0</v>
      </c>
      <c r="K458" s="585">
        <f>K456+K457</f>
        <v>219000</v>
      </c>
      <c r="L458" s="585">
        <f t="shared" si="78"/>
        <v>0</v>
      </c>
      <c r="M458" s="585">
        <f>M456+M457</f>
        <v>0</v>
      </c>
      <c r="N458" s="585">
        <f>N456+N457</f>
        <v>0</v>
      </c>
    </row>
    <row r="459" spans="1:14" s="504" customFormat="1" ht="15" customHeight="1" hidden="1">
      <c r="A459" s="959"/>
      <c r="B459" s="962"/>
      <c r="C459" s="970" t="s">
        <v>858</v>
      </c>
      <c r="D459" s="971"/>
      <c r="E459" s="964" t="s">
        <v>859</v>
      </c>
      <c r="F459" s="951"/>
      <c r="G459" s="551" t="s">
        <v>13</v>
      </c>
      <c r="H459" s="584">
        <f t="shared" si="76"/>
        <v>100000</v>
      </c>
      <c r="I459" s="585">
        <f t="shared" si="77"/>
        <v>0</v>
      </c>
      <c r="J459" s="585">
        <v>0</v>
      </c>
      <c r="K459" s="585">
        <v>0</v>
      </c>
      <c r="L459" s="585">
        <f t="shared" si="78"/>
        <v>100000</v>
      </c>
      <c r="M459" s="585">
        <v>0</v>
      </c>
      <c r="N459" s="585">
        <v>100000</v>
      </c>
    </row>
    <row r="460" spans="1:14" s="504" customFormat="1" ht="15" customHeight="1" hidden="1">
      <c r="A460" s="959"/>
      <c r="B460" s="967"/>
      <c r="C460" s="961"/>
      <c r="D460" s="967"/>
      <c r="E460" s="965"/>
      <c r="F460" s="953"/>
      <c r="G460" s="551" t="s">
        <v>14</v>
      </c>
      <c r="H460" s="584">
        <f t="shared" si="76"/>
        <v>0</v>
      </c>
      <c r="I460" s="585">
        <f t="shared" si="77"/>
        <v>0</v>
      </c>
      <c r="J460" s="585">
        <v>0</v>
      </c>
      <c r="K460" s="585">
        <v>0</v>
      </c>
      <c r="L460" s="585">
        <f t="shared" si="78"/>
        <v>0</v>
      </c>
      <c r="M460" s="585">
        <v>0</v>
      </c>
      <c r="N460" s="585">
        <v>0</v>
      </c>
    </row>
    <row r="461" spans="1:14" s="504" customFormat="1" ht="15" customHeight="1" hidden="1">
      <c r="A461" s="959"/>
      <c r="B461" s="960"/>
      <c r="C461" s="961"/>
      <c r="D461" s="960"/>
      <c r="E461" s="966"/>
      <c r="F461" s="955"/>
      <c r="G461" s="611" t="s">
        <v>15</v>
      </c>
      <c r="H461" s="584">
        <f t="shared" si="76"/>
        <v>100000</v>
      </c>
      <c r="I461" s="585">
        <f t="shared" si="77"/>
        <v>0</v>
      </c>
      <c r="J461" s="585">
        <f>J459+J460</f>
        <v>0</v>
      </c>
      <c r="K461" s="585">
        <f>K459+K460</f>
        <v>0</v>
      </c>
      <c r="L461" s="585">
        <f t="shared" si="78"/>
        <v>100000</v>
      </c>
      <c r="M461" s="585">
        <f>M459+M460</f>
        <v>0</v>
      </c>
      <c r="N461" s="585">
        <f>N459+N460</f>
        <v>100000</v>
      </c>
    </row>
    <row r="462" spans="1:14" s="504" customFormat="1" ht="15" customHeight="1" hidden="1">
      <c r="A462" s="968" t="s">
        <v>400</v>
      </c>
      <c r="B462" s="969"/>
      <c r="C462" s="970" t="s">
        <v>860</v>
      </c>
      <c r="D462" s="971"/>
      <c r="E462" s="964" t="s">
        <v>861</v>
      </c>
      <c r="F462" s="951"/>
      <c r="G462" s="586" t="s">
        <v>13</v>
      </c>
      <c r="H462" s="552">
        <f t="shared" si="76"/>
        <v>139430</v>
      </c>
      <c r="I462" s="553">
        <f t="shared" si="77"/>
        <v>0</v>
      </c>
      <c r="J462" s="553">
        <v>0</v>
      </c>
      <c r="K462" s="553">
        <v>0</v>
      </c>
      <c r="L462" s="553">
        <f t="shared" si="78"/>
        <v>139430</v>
      </c>
      <c r="M462" s="553">
        <v>0</v>
      </c>
      <c r="N462" s="553">
        <v>139430</v>
      </c>
    </row>
    <row r="463" spans="1:14" s="504" customFormat="1" ht="15" customHeight="1" hidden="1">
      <c r="A463" s="959"/>
      <c r="B463" s="967"/>
      <c r="C463" s="961"/>
      <c r="D463" s="967"/>
      <c r="E463" s="965"/>
      <c r="F463" s="953"/>
      <c r="G463" s="586" t="s">
        <v>14</v>
      </c>
      <c r="H463" s="552">
        <f t="shared" si="76"/>
        <v>0</v>
      </c>
      <c r="I463" s="553">
        <f t="shared" si="77"/>
        <v>0</v>
      </c>
      <c r="J463" s="553">
        <v>0</v>
      </c>
      <c r="K463" s="553">
        <v>0</v>
      </c>
      <c r="L463" s="553">
        <f t="shared" si="78"/>
        <v>0</v>
      </c>
      <c r="M463" s="553">
        <v>0</v>
      </c>
      <c r="N463" s="553">
        <v>0</v>
      </c>
    </row>
    <row r="464" spans="1:14" s="504" customFormat="1" ht="15" customHeight="1" hidden="1">
      <c r="A464" s="959"/>
      <c r="B464" s="960"/>
      <c r="C464" s="961"/>
      <c r="D464" s="960"/>
      <c r="E464" s="966"/>
      <c r="F464" s="955"/>
      <c r="G464" s="611" t="s">
        <v>15</v>
      </c>
      <c r="H464" s="584">
        <f t="shared" si="76"/>
        <v>139430</v>
      </c>
      <c r="I464" s="585">
        <f t="shared" si="77"/>
        <v>0</v>
      </c>
      <c r="J464" s="585">
        <f>J462+J463</f>
        <v>0</v>
      </c>
      <c r="K464" s="585">
        <f>K462+K463</f>
        <v>0</v>
      </c>
      <c r="L464" s="585">
        <f t="shared" si="78"/>
        <v>139430</v>
      </c>
      <c r="M464" s="585">
        <f>M462+M463</f>
        <v>0</v>
      </c>
      <c r="N464" s="585">
        <f>N462+N463</f>
        <v>139430</v>
      </c>
    </row>
    <row r="465" spans="1:14" s="593" customFormat="1" ht="14.25" customHeight="1">
      <c r="A465" s="946" t="s">
        <v>400</v>
      </c>
      <c r="B465" s="947"/>
      <c r="C465" s="948" t="s">
        <v>800</v>
      </c>
      <c r="D465" s="949"/>
      <c r="E465" s="964" t="s">
        <v>848</v>
      </c>
      <c r="F465" s="951"/>
      <c r="G465" s="551" t="s">
        <v>13</v>
      </c>
      <c r="H465" s="584">
        <f t="shared" si="76"/>
        <v>0</v>
      </c>
      <c r="I465" s="585">
        <f t="shared" si="77"/>
        <v>0</v>
      </c>
      <c r="J465" s="585">
        <v>0</v>
      </c>
      <c r="K465" s="585">
        <v>0</v>
      </c>
      <c r="L465" s="585">
        <f t="shared" si="78"/>
        <v>0</v>
      </c>
      <c r="M465" s="585">
        <v>0</v>
      </c>
      <c r="N465" s="585">
        <v>0</v>
      </c>
    </row>
    <row r="466" spans="1:14" s="593" customFormat="1" ht="14.25" customHeight="1">
      <c r="A466" s="972"/>
      <c r="B466" s="967"/>
      <c r="C466" s="974"/>
      <c r="D466" s="967"/>
      <c r="E466" s="965"/>
      <c r="F466" s="953"/>
      <c r="G466" s="551" t="s">
        <v>14</v>
      </c>
      <c r="H466" s="584">
        <f t="shared" si="76"/>
        <v>320000</v>
      </c>
      <c r="I466" s="585">
        <f t="shared" si="77"/>
        <v>0</v>
      </c>
      <c r="J466" s="585">
        <v>0</v>
      </c>
      <c r="K466" s="585">
        <v>0</v>
      </c>
      <c r="L466" s="585">
        <f t="shared" si="78"/>
        <v>320000</v>
      </c>
      <c r="M466" s="585">
        <v>0</v>
      </c>
      <c r="N466" s="585">
        <v>320000</v>
      </c>
    </row>
    <row r="467" spans="1:14" s="504" customFormat="1" ht="14.25" customHeight="1">
      <c r="A467" s="959"/>
      <c r="B467" s="960"/>
      <c r="C467" s="961"/>
      <c r="D467" s="960"/>
      <c r="E467" s="966"/>
      <c r="F467" s="955"/>
      <c r="G467" s="611" t="s">
        <v>15</v>
      </c>
      <c r="H467" s="584">
        <f t="shared" si="76"/>
        <v>320000</v>
      </c>
      <c r="I467" s="585">
        <f t="shared" si="77"/>
        <v>0</v>
      </c>
      <c r="J467" s="585">
        <f>J465+J466</f>
        <v>0</v>
      </c>
      <c r="K467" s="585">
        <f>K465+K466</f>
        <v>0</v>
      </c>
      <c r="L467" s="585">
        <f t="shared" si="78"/>
        <v>320000</v>
      </c>
      <c r="M467" s="585">
        <f>M465+M466</f>
        <v>0</v>
      </c>
      <c r="N467" s="585">
        <f>N465+N466</f>
        <v>320000</v>
      </c>
    </row>
    <row r="468" spans="1:14" s="593" customFormat="1" ht="14.25" customHeight="1">
      <c r="A468" s="972"/>
      <c r="B468" s="973"/>
      <c r="C468" s="974"/>
      <c r="D468" s="975"/>
      <c r="E468" s="964" t="s">
        <v>849</v>
      </c>
      <c r="F468" s="951"/>
      <c r="G468" s="586" t="s">
        <v>13</v>
      </c>
      <c r="H468" s="552">
        <f t="shared" si="76"/>
        <v>0</v>
      </c>
      <c r="I468" s="553">
        <f t="shared" si="77"/>
        <v>0</v>
      </c>
      <c r="J468" s="553">
        <v>0</v>
      </c>
      <c r="K468" s="553">
        <v>0</v>
      </c>
      <c r="L468" s="553">
        <f t="shared" si="78"/>
        <v>0</v>
      </c>
      <c r="M468" s="553">
        <v>0</v>
      </c>
      <c r="N468" s="553">
        <v>0</v>
      </c>
    </row>
    <row r="469" spans="1:14" s="593" customFormat="1" ht="14.25" customHeight="1">
      <c r="A469" s="972"/>
      <c r="B469" s="967"/>
      <c r="C469" s="974"/>
      <c r="D469" s="967"/>
      <c r="E469" s="965"/>
      <c r="F469" s="953"/>
      <c r="G469" s="586" t="s">
        <v>14</v>
      </c>
      <c r="H469" s="552">
        <f t="shared" si="76"/>
        <v>230000</v>
      </c>
      <c r="I469" s="553">
        <f t="shared" si="77"/>
        <v>0</v>
      </c>
      <c r="J469" s="553">
        <v>0</v>
      </c>
      <c r="K469" s="553">
        <v>0</v>
      </c>
      <c r="L469" s="553">
        <f t="shared" si="78"/>
        <v>230000</v>
      </c>
      <c r="M469" s="553">
        <v>0</v>
      </c>
      <c r="N469" s="553">
        <v>230000</v>
      </c>
    </row>
    <row r="470" spans="1:14" s="504" customFormat="1" ht="14.25" customHeight="1">
      <c r="A470" s="959"/>
      <c r="B470" s="960"/>
      <c r="C470" s="961"/>
      <c r="D470" s="960"/>
      <c r="E470" s="966"/>
      <c r="F470" s="955"/>
      <c r="G470" s="611" t="s">
        <v>15</v>
      </c>
      <c r="H470" s="584">
        <f t="shared" si="76"/>
        <v>230000</v>
      </c>
      <c r="I470" s="585">
        <f t="shared" si="77"/>
        <v>0</v>
      </c>
      <c r="J470" s="585">
        <f>J468+J469</f>
        <v>0</v>
      </c>
      <c r="K470" s="585">
        <f>K468+K469</f>
        <v>0</v>
      </c>
      <c r="L470" s="585">
        <f t="shared" si="78"/>
        <v>230000</v>
      </c>
      <c r="M470" s="585">
        <f>M468+M469</f>
        <v>0</v>
      </c>
      <c r="N470" s="585">
        <f>N468+N469</f>
        <v>230000</v>
      </c>
    </row>
    <row r="471" spans="1:14" s="504" customFormat="1" ht="14.25" customHeight="1">
      <c r="A471" s="959"/>
      <c r="B471" s="962"/>
      <c r="C471" s="961"/>
      <c r="D471" s="963"/>
      <c r="E471" s="964" t="s">
        <v>850</v>
      </c>
      <c r="F471" s="951"/>
      <c r="G471" s="586" t="s">
        <v>13</v>
      </c>
      <c r="H471" s="552">
        <f t="shared" si="76"/>
        <v>0</v>
      </c>
      <c r="I471" s="553">
        <f t="shared" si="77"/>
        <v>0</v>
      </c>
      <c r="J471" s="553">
        <v>0</v>
      </c>
      <c r="K471" s="553">
        <v>0</v>
      </c>
      <c r="L471" s="553">
        <f t="shared" si="78"/>
        <v>0</v>
      </c>
      <c r="M471" s="553">
        <v>0</v>
      </c>
      <c r="N471" s="553">
        <v>0</v>
      </c>
    </row>
    <row r="472" spans="1:14" s="504" customFormat="1" ht="14.25" customHeight="1">
      <c r="A472" s="959"/>
      <c r="B472" s="967"/>
      <c r="C472" s="961"/>
      <c r="D472" s="967"/>
      <c r="E472" s="965"/>
      <c r="F472" s="953"/>
      <c r="G472" s="586" t="s">
        <v>14</v>
      </c>
      <c r="H472" s="552">
        <f t="shared" si="76"/>
        <v>100000</v>
      </c>
      <c r="I472" s="553">
        <f t="shared" si="77"/>
        <v>0</v>
      </c>
      <c r="J472" s="553">
        <v>0</v>
      </c>
      <c r="K472" s="553">
        <v>0</v>
      </c>
      <c r="L472" s="553">
        <f t="shared" si="78"/>
        <v>100000</v>
      </c>
      <c r="M472" s="553">
        <v>0</v>
      </c>
      <c r="N472" s="553">
        <v>100000</v>
      </c>
    </row>
    <row r="473" spans="1:14" s="504" customFormat="1" ht="14.25" customHeight="1">
      <c r="A473" s="959"/>
      <c r="B473" s="960"/>
      <c r="C473" s="961"/>
      <c r="D473" s="960"/>
      <c r="E473" s="966"/>
      <c r="F473" s="955"/>
      <c r="G473" s="611" t="s">
        <v>15</v>
      </c>
      <c r="H473" s="584">
        <f t="shared" si="76"/>
        <v>100000</v>
      </c>
      <c r="I473" s="585">
        <f t="shared" si="77"/>
        <v>0</v>
      </c>
      <c r="J473" s="585">
        <f>J471+J472</f>
        <v>0</v>
      </c>
      <c r="K473" s="585">
        <f>K471+K472</f>
        <v>0</v>
      </c>
      <c r="L473" s="585">
        <f t="shared" si="78"/>
        <v>100000</v>
      </c>
      <c r="M473" s="585">
        <f>M471+M472</f>
        <v>0</v>
      </c>
      <c r="N473" s="585">
        <f>N471+N472</f>
        <v>100000</v>
      </c>
    </row>
    <row r="474" spans="1:14" s="504" customFormat="1" ht="14.25" customHeight="1">
      <c r="A474" s="959"/>
      <c r="B474" s="962"/>
      <c r="C474" s="961"/>
      <c r="D474" s="963"/>
      <c r="E474" s="964" t="s">
        <v>851</v>
      </c>
      <c r="F474" s="951"/>
      <c r="G474" s="586" t="s">
        <v>13</v>
      </c>
      <c r="H474" s="552">
        <f t="shared" si="76"/>
        <v>0</v>
      </c>
      <c r="I474" s="553">
        <f t="shared" si="77"/>
        <v>0</v>
      </c>
      <c r="J474" s="553">
        <v>0</v>
      </c>
      <c r="K474" s="553">
        <v>0</v>
      </c>
      <c r="L474" s="553">
        <f t="shared" si="78"/>
        <v>0</v>
      </c>
      <c r="M474" s="553">
        <v>0</v>
      </c>
      <c r="N474" s="553">
        <v>0</v>
      </c>
    </row>
    <row r="475" spans="1:14" s="504" customFormat="1" ht="14.25" customHeight="1">
      <c r="A475" s="959"/>
      <c r="B475" s="967"/>
      <c r="C475" s="961"/>
      <c r="D475" s="967"/>
      <c r="E475" s="965"/>
      <c r="F475" s="953"/>
      <c r="G475" s="586" t="s">
        <v>14</v>
      </c>
      <c r="H475" s="552">
        <f t="shared" si="76"/>
        <v>150000</v>
      </c>
      <c r="I475" s="553">
        <f t="shared" si="77"/>
        <v>0</v>
      </c>
      <c r="J475" s="553">
        <v>0</v>
      </c>
      <c r="K475" s="553">
        <v>0</v>
      </c>
      <c r="L475" s="553">
        <f t="shared" si="78"/>
        <v>150000</v>
      </c>
      <c r="M475" s="553">
        <v>0</v>
      </c>
      <c r="N475" s="553">
        <v>150000</v>
      </c>
    </row>
    <row r="476" spans="1:14" s="504" customFormat="1" ht="14.25" customHeight="1">
      <c r="A476" s="959"/>
      <c r="B476" s="960"/>
      <c r="C476" s="961"/>
      <c r="D476" s="960"/>
      <c r="E476" s="966"/>
      <c r="F476" s="955"/>
      <c r="G476" s="611" t="s">
        <v>15</v>
      </c>
      <c r="H476" s="584">
        <f t="shared" si="76"/>
        <v>150000</v>
      </c>
      <c r="I476" s="585">
        <f t="shared" si="77"/>
        <v>0</v>
      </c>
      <c r="J476" s="585">
        <f>J474+J475</f>
        <v>0</v>
      </c>
      <c r="K476" s="585">
        <f>K474+K475</f>
        <v>0</v>
      </c>
      <c r="L476" s="585">
        <f t="shared" si="78"/>
        <v>150000</v>
      </c>
      <c r="M476" s="585">
        <f>M474+M475</f>
        <v>0</v>
      </c>
      <c r="N476" s="585">
        <f>N474+N475</f>
        <v>150000</v>
      </c>
    </row>
    <row r="477" spans="1:14" s="504" customFormat="1" ht="14.25" customHeight="1">
      <c r="A477" s="959"/>
      <c r="B477" s="962"/>
      <c r="C477" s="961"/>
      <c r="D477" s="963"/>
      <c r="E477" s="964" t="s">
        <v>854</v>
      </c>
      <c r="F477" s="951"/>
      <c r="G477" s="586" t="s">
        <v>13</v>
      </c>
      <c r="H477" s="552">
        <f t="shared" si="76"/>
        <v>0</v>
      </c>
      <c r="I477" s="553">
        <f t="shared" si="77"/>
        <v>0</v>
      </c>
      <c r="J477" s="553">
        <v>0</v>
      </c>
      <c r="K477" s="553">
        <v>0</v>
      </c>
      <c r="L477" s="553">
        <f t="shared" si="78"/>
        <v>0</v>
      </c>
      <c r="M477" s="553">
        <v>0</v>
      </c>
      <c r="N477" s="553">
        <v>0</v>
      </c>
    </row>
    <row r="478" spans="1:14" s="504" customFormat="1" ht="14.25" customHeight="1">
      <c r="A478" s="959"/>
      <c r="B478" s="967"/>
      <c r="C478" s="961"/>
      <c r="D478" s="967"/>
      <c r="E478" s="965"/>
      <c r="F478" s="953"/>
      <c r="G478" s="586" t="s">
        <v>14</v>
      </c>
      <c r="H478" s="552">
        <f t="shared" si="76"/>
        <v>250000</v>
      </c>
      <c r="I478" s="553">
        <f t="shared" si="77"/>
        <v>0</v>
      </c>
      <c r="J478" s="553">
        <v>0</v>
      </c>
      <c r="K478" s="553">
        <v>0</v>
      </c>
      <c r="L478" s="553">
        <f t="shared" si="78"/>
        <v>250000</v>
      </c>
      <c r="M478" s="553">
        <v>0</v>
      </c>
      <c r="N478" s="553">
        <v>250000</v>
      </c>
    </row>
    <row r="479" spans="1:14" s="504" customFormat="1" ht="14.25" customHeight="1">
      <c r="A479" s="959"/>
      <c r="B479" s="960"/>
      <c r="C479" s="961"/>
      <c r="D479" s="960"/>
      <c r="E479" s="966"/>
      <c r="F479" s="955"/>
      <c r="G479" s="611" t="s">
        <v>15</v>
      </c>
      <c r="H479" s="584">
        <f t="shared" si="76"/>
        <v>250000</v>
      </c>
      <c r="I479" s="585">
        <f t="shared" si="77"/>
        <v>0</v>
      </c>
      <c r="J479" s="585">
        <f>J477+J478</f>
        <v>0</v>
      </c>
      <c r="K479" s="585">
        <f>K477+K478</f>
        <v>0</v>
      </c>
      <c r="L479" s="585">
        <f t="shared" si="78"/>
        <v>250000</v>
      </c>
      <c r="M479" s="585">
        <f>M477+M478</f>
        <v>0</v>
      </c>
      <c r="N479" s="585">
        <f>N477+N478</f>
        <v>250000</v>
      </c>
    </row>
    <row r="480" spans="1:14" s="593" customFormat="1" ht="14.25" customHeight="1">
      <c r="A480" s="946" t="s">
        <v>79</v>
      </c>
      <c r="B480" s="947"/>
      <c r="C480" s="948" t="s">
        <v>342</v>
      </c>
      <c r="D480" s="949"/>
      <c r="E480" s="964" t="s">
        <v>821</v>
      </c>
      <c r="F480" s="951"/>
      <c r="G480" s="551" t="s">
        <v>13</v>
      </c>
      <c r="H480" s="584">
        <f t="shared" si="76"/>
        <v>0</v>
      </c>
      <c r="I480" s="585">
        <f t="shared" si="77"/>
        <v>0</v>
      </c>
      <c r="J480" s="585">
        <v>0</v>
      </c>
      <c r="K480" s="585">
        <v>0</v>
      </c>
      <c r="L480" s="585">
        <f t="shared" si="78"/>
        <v>0</v>
      </c>
      <c r="M480" s="585">
        <v>0</v>
      </c>
      <c r="N480" s="585">
        <v>0</v>
      </c>
    </row>
    <row r="481" spans="1:14" s="593" customFormat="1" ht="14.25" customHeight="1">
      <c r="A481" s="972"/>
      <c r="B481" s="967"/>
      <c r="C481" s="974"/>
      <c r="D481" s="967"/>
      <c r="E481" s="965"/>
      <c r="F481" s="953"/>
      <c r="G481" s="551" t="s">
        <v>14</v>
      </c>
      <c r="H481" s="584">
        <f t="shared" si="76"/>
        <v>45710</v>
      </c>
      <c r="I481" s="585">
        <f t="shared" si="77"/>
        <v>45710</v>
      </c>
      <c r="J481" s="585">
        <v>45710</v>
      </c>
      <c r="K481" s="585">
        <v>0</v>
      </c>
      <c r="L481" s="585">
        <f t="shared" si="78"/>
        <v>0</v>
      </c>
      <c r="M481" s="585">
        <v>0</v>
      </c>
      <c r="N481" s="585">
        <v>0</v>
      </c>
    </row>
    <row r="482" spans="1:14" s="504" customFormat="1" ht="14.25" customHeight="1">
      <c r="A482" s="959"/>
      <c r="B482" s="960"/>
      <c r="C482" s="961"/>
      <c r="D482" s="960"/>
      <c r="E482" s="966"/>
      <c r="F482" s="955"/>
      <c r="G482" s="611" t="s">
        <v>15</v>
      </c>
      <c r="H482" s="584">
        <f t="shared" si="76"/>
        <v>45710</v>
      </c>
      <c r="I482" s="585">
        <f t="shared" si="77"/>
        <v>45710</v>
      </c>
      <c r="J482" s="585">
        <f>J480+J481</f>
        <v>45710</v>
      </c>
      <c r="K482" s="585">
        <f>K480+K481</f>
        <v>0</v>
      </c>
      <c r="L482" s="585">
        <f t="shared" si="78"/>
        <v>0</v>
      </c>
      <c r="M482" s="585">
        <f>M480+M481</f>
        <v>0</v>
      </c>
      <c r="N482" s="585">
        <f>N480+N481</f>
        <v>0</v>
      </c>
    </row>
    <row r="483" spans="1:14" s="593" customFormat="1" ht="14.25" customHeight="1">
      <c r="A483" s="972"/>
      <c r="B483" s="973"/>
      <c r="C483" s="948" t="s">
        <v>209</v>
      </c>
      <c r="D483" s="949"/>
      <c r="E483" s="964" t="s">
        <v>821</v>
      </c>
      <c r="F483" s="951"/>
      <c r="G483" s="551" t="s">
        <v>13</v>
      </c>
      <c r="H483" s="584">
        <f t="shared" si="76"/>
        <v>10000</v>
      </c>
      <c r="I483" s="585">
        <f t="shared" si="77"/>
        <v>10000</v>
      </c>
      <c r="J483" s="585">
        <v>10000</v>
      </c>
      <c r="K483" s="585">
        <v>0</v>
      </c>
      <c r="L483" s="585">
        <f t="shared" si="78"/>
        <v>0</v>
      </c>
      <c r="M483" s="585">
        <v>0</v>
      </c>
      <c r="N483" s="585">
        <v>0</v>
      </c>
    </row>
    <row r="484" spans="1:14" s="593" customFormat="1" ht="14.25" customHeight="1">
      <c r="A484" s="972"/>
      <c r="B484" s="967"/>
      <c r="C484" s="974"/>
      <c r="D484" s="967"/>
      <c r="E484" s="965"/>
      <c r="F484" s="953"/>
      <c r="G484" s="551" t="s">
        <v>14</v>
      </c>
      <c r="H484" s="584">
        <f t="shared" si="76"/>
        <v>-10000</v>
      </c>
      <c r="I484" s="585">
        <f t="shared" si="77"/>
        <v>-10000</v>
      </c>
      <c r="J484" s="585">
        <v>-10000</v>
      </c>
      <c r="K484" s="585">
        <v>0</v>
      </c>
      <c r="L484" s="585">
        <f t="shared" si="78"/>
        <v>0</v>
      </c>
      <c r="M484" s="585">
        <v>0</v>
      </c>
      <c r="N484" s="585">
        <v>0</v>
      </c>
    </row>
    <row r="485" spans="1:14" s="504" customFormat="1" ht="14.25" customHeight="1">
      <c r="A485" s="959"/>
      <c r="B485" s="960"/>
      <c r="C485" s="961"/>
      <c r="D485" s="960"/>
      <c r="E485" s="966"/>
      <c r="F485" s="955"/>
      <c r="G485" s="611" t="s">
        <v>15</v>
      </c>
      <c r="H485" s="584">
        <f t="shared" si="76"/>
        <v>0</v>
      </c>
      <c r="I485" s="585">
        <f t="shared" si="77"/>
        <v>0</v>
      </c>
      <c r="J485" s="585">
        <f>J483+J484</f>
        <v>0</v>
      </c>
      <c r="K485" s="585">
        <f>K483+K484</f>
        <v>0</v>
      </c>
      <c r="L485" s="585">
        <f t="shared" si="78"/>
        <v>0</v>
      </c>
      <c r="M485" s="585">
        <f>M483+M484</f>
        <v>0</v>
      </c>
      <c r="N485" s="585">
        <f>N483+N484</f>
        <v>0</v>
      </c>
    </row>
    <row r="486" spans="1:14" s="593" customFormat="1" ht="14.25" customHeight="1">
      <c r="A486" s="972"/>
      <c r="B486" s="973"/>
      <c r="C486" s="948" t="s">
        <v>343</v>
      </c>
      <c r="D486" s="949"/>
      <c r="E486" s="964" t="s">
        <v>821</v>
      </c>
      <c r="F486" s="951"/>
      <c r="G486" s="551" t="s">
        <v>13</v>
      </c>
      <c r="H486" s="584">
        <f t="shared" si="76"/>
        <v>0</v>
      </c>
      <c r="I486" s="585">
        <f t="shared" si="77"/>
        <v>0</v>
      </c>
      <c r="J486" s="585">
        <v>0</v>
      </c>
      <c r="K486" s="585">
        <v>0</v>
      </c>
      <c r="L486" s="585">
        <f t="shared" si="78"/>
        <v>0</v>
      </c>
      <c r="M486" s="585">
        <v>0</v>
      </c>
      <c r="N486" s="585">
        <v>0</v>
      </c>
    </row>
    <row r="487" spans="1:14" s="593" customFormat="1" ht="14.25" customHeight="1">
      <c r="A487" s="972"/>
      <c r="B487" s="967"/>
      <c r="C487" s="974"/>
      <c r="D487" s="967"/>
      <c r="E487" s="965"/>
      <c r="F487" s="953"/>
      <c r="G487" s="551" t="s">
        <v>14</v>
      </c>
      <c r="H487" s="584">
        <f t="shared" si="76"/>
        <v>15909</v>
      </c>
      <c r="I487" s="585">
        <f t="shared" si="77"/>
        <v>15909</v>
      </c>
      <c r="J487" s="585">
        <v>15909</v>
      </c>
      <c r="K487" s="585">
        <v>0</v>
      </c>
      <c r="L487" s="585">
        <f t="shared" si="78"/>
        <v>0</v>
      </c>
      <c r="M487" s="585">
        <v>0</v>
      </c>
      <c r="N487" s="585">
        <v>0</v>
      </c>
    </row>
    <row r="488" spans="1:14" s="504" customFormat="1" ht="14.25" customHeight="1">
      <c r="A488" s="959"/>
      <c r="B488" s="960"/>
      <c r="C488" s="961"/>
      <c r="D488" s="960"/>
      <c r="E488" s="966"/>
      <c r="F488" s="955"/>
      <c r="G488" s="611" t="s">
        <v>15</v>
      </c>
      <c r="H488" s="584">
        <f t="shared" si="76"/>
        <v>15909</v>
      </c>
      <c r="I488" s="585">
        <f t="shared" si="77"/>
        <v>15909</v>
      </c>
      <c r="J488" s="585">
        <f>J486+J487</f>
        <v>15909</v>
      </c>
      <c r="K488" s="585">
        <f>K486+K487</f>
        <v>0</v>
      </c>
      <c r="L488" s="585">
        <f t="shared" si="78"/>
        <v>0</v>
      </c>
      <c r="M488" s="585">
        <f>M486+M487</f>
        <v>0</v>
      </c>
      <c r="N488" s="585">
        <f>N486+N487</f>
        <v>0</v>
      </c>
    </row>
    <row r="489" spans="1:14" s="593" customFormat="1" ht="15" customHeight="1" hidden="1">
      <c r="A489" s="972"/>
      <c r="B489" s="973"/>
      <c r="C489" s="948" t="s">
        <v>803</v>
      </c>
      <c r="D489" s="949"/>
      <c r="E489" s="964" t="s">
        <v>862</v>
      </c>
      <c r="F489" s="951"/>
      <c r="G489" s="551" t="s">
        <v>13</v>
      </c>
      <c r="H489" s="584">
        <f t="shared" si="76"/>
        <v>65002</v>
      </c>
      <c r="I489" s="585">
        <f t="shared" si="77"/>
        <v>61100</v>
      </c>
      <c r="J489" s="585">
        <v>0</v>
      </c>
      <c r="K489" s="585">
        <v>61100</v>
      </c>
      <c r="L489" s="585">
        <f t="shared" si="78"/>
        <v>3902</v>
      </c>
      <c r="M489" s="585">
        <v>0</v>
      </c>
      <c r="N489" s="585">
        <v>3902</v>
      </c>
    </row>
    <row r="490" spans="1:14" s="593" customFormat="1" ht="15" customHeight="1" hidden="1">
      <c r="A490" s="972"/>
      <c r="B490" s="967"/>
      <c r="C490" s="974"/>
      <c r="D490" s="967"/>
      <c r="E490" s="965"/>
      <c r="F490" s="953"/>
      <c r="G490" s="551" t="s">
        <v>14</v>
      </c>
      <c r="H490" s="584">
        <f t="shared" si="76"/>
        <v>0</v>
      </c>
      <c r="I490" s="585">
        <f t="shared" si="77"/>
        <v>0</v>
      </c>
      <c r="J490" s="585">
        <v>0</v>
      </c>
      <c r="K490" s="585">
        <v>0</v>
      </c>
      <c r="L490" s="585">
        <f t="shared" si="78"/>
        <v>0</v>
      </c>
      <c r="M490" s="585">
        <v>0</v>
      </c>
      <c r="N490" s="585">
        <v>0</v>
      </c>
    </row>
    <row r="491" spans="1:14" s="504" customFormat="1" ht="15" customHeight="1" hidden="1">
      <c r="A491" s="977"/>
      <c r="B491" s="978"/>
      <c r="C491" s="979"/>
      <c r="D491" s="978"/>
      <c r="E491" s="966"/>
      <c r="F491" s="955"/>
      <c r="G491" s="613" t="s">
        <v>15</v>
      </c>
      <c r="H491" s="552">
        <f t="shared" si="76"/>
        <v>65002</v>
      </c>
      <c r="I491" s="553">
        <f t="shared" si="77"/>
        <v>61100</v>
      </c>
      <c r="J491" s="553">
        <f>J489+J490</f>
        <v>0</v>
      </c>
      <c r="K491" s="553">
        <f>K489+K490</f>
        <v>61100</v>
      </c>
      <c r="L491" s="553">
        <f t="shared" si="78"/>
        <v>3902</v>
      </c>
      <c r="M491" s="553">
        <f>M489+M490</f>
        <v>0</v>
      </c>
      <c r="N491" s="553">
        <f>N489+N490</f>
        <v>3902</v>
      </c>
    </row>
    <row r="492" spans="1:14" s="593" customFormat="1" ht="14.25" customHeight="1">
      <c r="A492" s="946" t="s">
        <v>250</v>
      </c>
      <c r="B492" s="947"/>
      <c r="C492" s="948" t="s">
        <v>863</v>
      </c>
      <c r="D492" s="949"/>
      <c r="E492" s="964" t="s">
        <v>864</v>
      </c>
      <c r="F492" s="951"/>
      <c r="G492" s="586" t="s">
        <v>13</v>
      </c>
      <c r="H492" s="552">
        <f t="shared" si="76"/>
        <v>1000000</v>
      </c>
      <c r="I492" s="553">
        <f t="shared" si="77"/>
        <v>1000000</v>
      </c>
      <c r="J492" s="553">
        <v>1000000</v>
      </c>
      <c r="K492" s="553">
        <v>0</v>
      </c>
      <c r="L492" s="553">
        <f t="shared" si="78"/>
        <v>0</v>
      </c>
      <c r="M492" s="553">
        <v>0</v>
      </c>
      <c r="N492" s="553">
        <v>0</v>
      </c>
    </row>
    <row r="493" spans="1:14" s="593" customFormat="1" ht="14.25" customHeight="1">
      <c r="A493" s="972"/>
      <c r="B493" s="967"/>
      <c r="C493" s="974"/>
      <c r="D493" s="967"/>
      <c r="E493" s="965"/>
      <c r="F493" s="953"/>
      <c r="G493" s="586" t="s">
        <v>14</v>
      </c>
      <c r="H493" s="552">
        <f t="shared" si="76"/>
        <v>344988</v>
      </c>
      <c r="I493" s="553">
        <f t="shared" si="77"/>
        <v>344988</v>
      </c>
      <c r="J493" s="553">
        <v>344988</v>
      </c>
      <c r="K493" s="553">
        <v>0</v>
      </c>
      <c r="L493" s="553">
        <f t="shared" si="78"/>
        <v>0</v>
      </c>
      <c r="M493" s="553">
        <v>0</v>
      </c>
      <c r="N493" s="553">
        <v>0</v>
      </c>
    </row>
    <row r="494" spans="1:14" s="504" customFormat="1" ht="14.25" customHeight="1">
      <c r="A494" s="977"/>
      <c r="B494" s="978"/>
      <c r="C494" s="979"/>
      <c r="D494" s="978"/>
      <c r="E494" s="966"/>
      <c r="F494" s="955"/>
      <c r="G494" s="613" t="s">
        <v>15</v>
      </c>
      <c r="H494" s="552">
        <f t="shared" si="76"/>
        <v>1344988</v>
      </c>
      <c r="I494" s="553">
        <f t="shared" si="77"/>
        <v>1344988</v>
      </c>
      <c r="J494" s="553">
        <f>J492+J493</f>
        <v>1344988</v>
      </c>
      <c r="K494" s="553">
        <f>K492+K493</f>
        <v>0</v>
      </c>
      <c r="L494" s="553">
        <f t="shared" si="78"/>
        <v>0</v>
      </c>
      <c r="M494" s="553">
        <f>M492+M493</f>
        <v>0</v>
      </c>
      <c r="N494" s="553">
        <f>N492+N493</f>
        <v>0</v>
      </c>
    </row>
    <row r="495" spans="1:14" s="593" customFormat="1" ht="14.25" customHeight="1">
      <c r="A495" s="946"/>
      <c r="B495" s="947"/>
      <c r="C495" s="948"/>
      <c r="D495" s="949"/>
      <c r="E495" s="964" t="s">
        <v>865</v>
      </c>
      <c r="F495" s="951"/>
      <c r="G495" s="586" t="s">
        <v>13</v>
      </c>
      <c r="H495" s="552">
        <f t="shared" si="76"/>
        <v>0</v>
      </c>
      <c r="I495" s="553">
        <f t="shared" si="77"/>
        <v>0</v>
      </c>
      <c r="J495" s="553">
        <v>0</v>
      </c>
      <c r="K495" s="553">
        <v>0</v>
      </c>
      <c r="L495" s="553">
        <f t="shared" si="78"/>
        <v>0</v>
      </c>
      <c r="M495" s="553">
        <v>0</v>
      </c>
      <c r="N495" s="553">
        <v>0</v>
      </c>
    </row>
    <row r="496" spans="1:14" s="593" customFormat="1" ht="14.25" customHeight="1">
      <c r="A496" s="972"/>
      <c r="B496" s="967"/>
      <c r="C496" s="974"/>
      <c r="D496" s="967"/>
      <c r="E496" s="965"/>
      <c r="F496" s="953"/>
      <c r="G496" s="586" t="s">
        <v>14</v>
      </c>
      <c r="H496" s="552">
        <f t="shared" si="76"/>
        <v>240000</v>
      </c>
      <c r="I496" s="553">
        <f t="shared" si="77"/>
        <v>240000</v>
      </c>
      <c r="J496" s="553">
        <v>0</v>
      </c>
      <c r="K496" s="553">
        <v>240000</v>
      </c>
      <c r="L496" s="553">
        <f t="shared" si="78"/>
        <v>0</v>
      </c>
      <c r="M496" s="553">
        <v>0</v>
      </c>
      <c r="N496" s="553">
        <v>0</v>
      </c>
    </row>
    <row r="497" spans="1:14" s="504" customFormat="1" ht="14.25" customHeight="1">
      <c r="A497" s="959"/>
      <c r="B497" s="960"/>
      <c r="C497" s="961"/>
      <c r="D497" s="960"/>
      <c r="E497" s="966"/>
      <c r="F497" s="955"/>
      <c r="G497" s="611" t="s">
        <v>15</v>
      </c>
      <c r="H497" s="584">
        <f t="shared" si="76"/>
        <v>240000</v>
      </c>
      <c r="I497" s="585">
        <f t="shared" si="77"/>
        <v>240000</v>
      </c>
      <c r="J497" s="585">
        <f>J495+J496</f>
        <v>0</v>
      </c>
      <c r="K497" s="585">
        <f>K495+K496</f>
        <v>240000</v>
      </c>
      <c r="L497" s="585">
        <f t="shared" si="78"/>
        <v>0</v>
      </c>
      <c r="M497" s="585">
        <f>M495+M496</f>
        <v>0</v>
      </c>
      <c r="N497" s="585">
        <f>N495+N496</f>
        <v>0</v>
      </c>
    </row>
    <row r="498" spans="1:14" s="593" customFormat="1" ht="14.25" customHeight="1">
      <c r="A498" s="972"/>
      <c r="B498" s="973"/>
      <c r="C498" s="974"/>
      <c r="D498" s="975"/>
      <c r="E498" s="964" t="s">
        <v>866</v>
      </c>
      <c r="F498" s="951"/>
      <c r="G498" s="586" t="s">
        <v>13</v>
      </c>
      <c r="H498" s="552">
        <f t="shared" si="76"/>
        <v>0</v>
      </c>
      <c r="I498" s="553">
        <f t="shared" si="77"/>
        <v>0</v>
      </c>
      <c r="J498" s="553">
        <v>0</v>
      </c>
      <c r="K498" s="553">
        <v>0</v>
      </c>
      <c r="L498" s="553">
        <f t="shared" si="78"/>
        <v>0</v>
      </c>
      <c r="M498" s="553">
        <v>0</v>
      </c>
      <c r="N498" s="553">
        <v>0</v>
      </c>
    </row>
    <row r="499" spans="1:14" s="593" customFormat="1" ht="14.25" customHeight="1">
      <c r="A499" s="972"/>
      <c r="B499" s="967"/>
      <c r="C499" s="974"/>
      <c r="D499" s="967"/>
      <c r="E499" s="965"/>
      <c r="F499" s="953"/>
      <c r="G499" s="586" t="s">
        <v>14</v>
      </c>
      <c r="H499" s="552">
        <f t="shared" si="76"/>
        <v>200000</v>
      </c>
      <c r="I499" s="553">
        <f t="shared" si="77"/>
        <v>200000</v>
      </c>
      <c r="J499" s="553">
        <v>0</v>
      </c>
      <c r="K499" s="553">
        <v>200000</v>
      </c>
      <c r="L499" s="553">
        <f t="shared" si="78"/>
        <v>0</v>
      </c>
      <c r="M499" s="553">
        <v>0</v>
      </c>
      <c r="N499" s="553">
        <v>0</v>
      </c>
    </row>
    <row r="500" spans="1:14" s="504" customFormat="1" ht="14.25" customHeight="1">
      <c r="A500" s="959"/>
      <c r="B500" s="960"/>
      <c r="C500" s="961"/>
      <c r="D500" s="960"/>
      <c r="E500" s="966"/>
      <c r="F500" s="955"/>
      <c r="G500" s="611" t="s">
        <v>15</v>
      </c>
      <c r="H500" s="584">
        <f t="shared" si="76"/>
        <v>200000</v>
      </c>
      <c r="I500" s="585">
        <f t="shared" si="77"/>
        <v>200000</v>
      </c>
      <c r="J500" s="585">
        <f>J498+J499</f>
        <v>0</v>
      </c>
      <c r="K500" s="585">
        <f>K498+K499</f>
        <v>200000</v>
      </c>
      <c r="L500" s="585">
        <f t="shared" si="78"/>
        <v>0</v>
      </c>
      <c r="M500" s="585">
        <f>M498+M499</f>
        <v>0</v>
      </c>
      <c r="N500" s="585">
        <f>N498+N499</f>
        <v>0</v>
      </c>
    </row>
    <row r="501" spans="1:14" s="593" customFormat="1" ht="14.25" customHeight="1">
      <c r="A501" s="972"/>
      <c r="B501" s="973"/>
      <c r="C501" s="974"/>
      <c r="D501" s="975"/>
      <c r="E501" s="964" t="s">
        <v>867</v>
      </c>
      <c r="F501" s="951"/>
      <c r="G501" s="586" t="s">
        <v>13</v>
      </c>
      <c r="H501" s="552">
        <f t="shared" si="76"/>
        <v>0</v>
      </c>
      <c r="I501" s="553">
        <f t="shared" si="77"/>
        <v>0</v>
      </c>
      <c r="J501" s="553">
        <v>0</v>
      </c>
      <c r="K501" s="553">
        <v>0</v>
      </c>
      <c r="L501" s="553">
        <f t="shared" si="78"/>
        <v>0</v>
      </c>
      <c r="M501" s="553">
        <v>0</v>
      </c>
      <c r="N501" s="553">
        <v>0</v>
      </c>
    </row>
    <row r="502" spans="1:14" s="593" customFormat="1" ht="14.25" customHeight="1">
      <c r="A502" s="972"/>
      <c r="B502" s="967"/>
      <c r="C502" s="974"/>
      <c r="D502" s="967"/>
      <c r="E502" s="965"/>
      <c r="F502" s="953"/>
      <c r="G502" s="586" t="s">
        <v>14</v>
      </c>
      <c r="H502" s="552">
        <f t="shared" si="76"/>
        <v>10000</v>
      </c>
      <c r="I502" s="553">
        <f t="shared" si="77"/>
        <v>10000</v>
      </c>
      <c r="J502" s="553">
        <v>0</v>
      </c>
      <c r="K502" s="553">
        <v>10000</v>
      </c>
      <c r="L502" s="553">
        <f t="shared" si="78"/>
        <v>0</v>
      </c>
      <c r="M502" s="553">
        <v>0</v>
      </c>
      <c r="N502" s="553">
        <v>0</v>
      </c>
    </row>
    <row r="503" spans="1:14" s="504" customFormat="1" ht="14.25" customHeight="1">
      <c r="A503" s="959"/>
      <c r="B503" s="960"/>
      <c r="C503" s="961"/>
      <c r="D503" s="960"/>
      <c r="E503" s="966"/>
      <c r="F503" s="955"/>
      <c r="G503" s="611" t="s">
        <v>15</v>
      </c>
      <c r="H503" s="584">
        <f t="shared" si="76"/>
        <v>10000</v>
      </c>
      <c r="I503" s="585">
        <f t="shared" si="77"/>
        <v>10000</v>
      </c>
      <c r="J503" s="585">
        <f>J501+J502</f>
        <v>0</v>
      </c>
      <c r="K503" s="585">
        <f>K501+K502</f>
        <v>10000</v>
      </c>
      <c r="L503" s="585">
        <f t="shared" si="78"/>
        <v>0</v>
      </c>
      <c r="M503" s="585">
        <f>M501+M502</f>
        <v>0</v>
      </c>
      <c r="N503" s="585">
        <f>N501+N502</f>
        <v>0</v>
      </c>
    </row>
    <row r="504" spans="1:14" s="593" customFormat="1" ht="14.25" customHeight="1">
      <c r="A504" s="972"/>
      <c r="B504" s="973"/>
      <c r="C504" s="974"/>
      <c r="D504" s="975"/>
      <c r="E504" s="964" t="s">
        <v>868</v>
      </c>
      <c r="F504" s="951"/>
      <c r="G504" s="586" t="s">
        <v>13</v>
      </c>
      <c r="H504" s="552">
        <f t="shared" si="76"/>
        <v>0</v>
      </c>
      <c r="I504" s="553">
        <f t="shared" si="77"/>
        <v>0</v>
      </c>
      <c r="J504" s="553">
        <v>0</v>
      </c>
      <c r="K504" s="553">
        <v>0</v>
      </c>
      <c r="L504" s="553">
        <f t="shared" si="78"/>
        <v>0</v>
      </c>
      <c r="M504" s="553">
        <v>0</v>
      </c>
      <c r="N504" s="553">
        <v>0</v>
      </c>
    </row>
    <row r="505" spans="1:14" s="593" customFormat="1" ht="14.25" customHeight="1">
      <c r="A505" s="972"/>
      <c r="B505" s="967"/>
      <c r="C505" s="974"/>
      <c r="D505" s="967"/>
      <c r="E505" s="965"/>
      <c r="F505" s="953"/>
      <c r="G505" s="586" t="s">
        <v>14</v>
      </c>
      <c r="H505" s="552">
        <f t="shared" si="76"/>
        <v>20000</v>
      </c>
      <c r="I505" s="553">
        <f t="shared" si="77"/>
        <v>20000</v>
      </c>
      <c r="J505" s="553">
        <v>0</v>
      </c>
      <c r="K505" s="553">
        <v>20000</v>
      </c>
      <c r="L505" s="553">
        <f t="shared" si="78"/>
        <v>0</v>
      </c>
      <c r="M505" s="553">
        <v>0</v>
      </c>
      <c r="N505" s="553">
        <v>0</v>
      </c>
    </row>
    <row r="506" spans="1:14" s="504" customFormat="1" ht="14.25" customHeight="1">
      <c r="A506" s="959"/>
      <c r="B506" s="960"/>
      <c r="C506" s="961"/>
      <c r="D506" s="960"/>
      <c r="E506" s="966"/>
      <c r="F506" s="955"/>
      <c r="G506" s="611" t="s">
        <v>15</v>
      </c>
      <c r="H506" s="584">
        <f t="shared" si="76"/>
        <v>20000</v>
      </c>
      <c r="I506" s="585">
        <f t="shared" si="77"/>
        <v>20000</v>
      </c>
      <c r="J506" s="585">
        <f>J504+J505</f>
        <v>0</v>
      </c>
      <c r="K506" s="585">
        <f>K504+K505</f>
        <v>20000</v>
      </c>
      <c r="L506" s="585">
        <f t="shared" si="78"/>
        <v>0</v>
      </c>
      <c r="M506" s="585">
        <f>M504+M505</f>
        <v>0</v>
      </c>
      <c r="N506" s="585">
        <f>N504+N505</f>
        <v>0</v>
      </c>
    </row>
    <row r="507" spans="1:14" s="593" customFormat="1" ht="15" customHeight="1" hidden="1">
      <c r="A507" s="972"/>
      <c r="B507" s="973"/>
      <c r="C507" s="948" t="s">
        <v>251</v>
      </c>
      <c r="D507" s="949"/>
      <c r="E507" s="964" t="s">
        <v>864</v>
      </c>
      <c r="F507" s="951"/>
      <c r="G507" s="586" t="s">
        <v>13</v>
      </c>
      <c r="H507" s="552">
        <f t="shared" si="76"/>
        <v>1000000</v>
      </c>
      <c r="I507" s="553">
        <f t="shared" si="77"/>
        <v>1000000</v>
      </c>
      <c r="J507" s="553">
        <v>1000000</v>
      </c>
      <c r="K507" s="553">
        <v>0</v>
      </c>
      <c r="L507" s="553">
        <f t="shared" si="78"/>
        <v>0</v>
      </c>
      <c r="M507" s="553">
        <v>0</v>
      </c>
      <c r="N507" s="553">
        <v>0</v>
      </c>
    </row>
    <row r="508" spans="1:14" s="593" customFormat="1" ht="15" customHeight="1" hidden="1">
      <c r="A508" s="972"/>
      <c r="B508" s="973"/>
      <c r="C508" s="974"/>
      <c r="D508" s="975"/>
      <c r="E508" s="985"/>
      <c r="F508" s="986"/>
      <c r="G508" s="586" t="s">
        <v>14</v>
      </c>
      <c r="H508" s="552">
        <f t="shared" si="76"/>
        <v>0</v>
      </c>
      <c r="I508" s="553">
        <f t="shared" si="77"/>
        <v>0</v>
      </c>
      <c r="J508" s="553">
        <v>0</v>
      </c>
      <c r="K508" s="553">
        <v>0</v>
      </c>
      <c r="L508" s="553">
        <f t="shared" si="78"/>
        <v>0</v>
      </c>
      <c r="M508" s="553">
        <v>0</v>
      </c>
      <c r="N508" s="553">
        <v>0</v>
      </c>
    </row>
    <row r="509" spans="1:14" s="504" customFormat="1" ht="15" customHeight="1" hidden="1">
      <c r="A509" s="959"/>
      <c r="B509" s="962"/>
      <c r="C509" s="961"/>
      <c r="D509" s="963"/>
      <c r="E509" s="987"/>
      <c r="F509" s="988"/>
      <c r="G509" s="611" t="s">
        <v>15</v>
      </c>
      <c r="H509" s="584">
        <f t="shared" si="76"/>
        <v>1000000</v>
      </c>
      <c r="I509" s="585">
        <f t="shared" si="77"/>
        <v>1000000</v>
      </c>
      <c r="J509" s="585">
        <f>J507+J508</f>
        <v>1000000</v>
      </c>
      <c r="K509" s="585">
        <f>K507+K508</f>
        <v>0</v>
      </c>
      <c r="L509" s="585">
        <f t="shared" si="78"/>
        <v>0</v>
      </c>
      <c r="M509" s="585">
        <f>M507+M508</f>
        <v>0</v>
      </c>
      <c r="N509" s="585">
        <f>N507+N508</f>
        <v>0</v>
      </c>
    </row>
    <row r="510" spans="1:14" s="593" customFormat="1" ht="14.25" customHeight="1">
      <c r="A510" s="972"/>
      <c r="B510" s="973"/>
      <c r="C510" s="948" t="s">
        <v>251</v>
      </c>
      <c r="D510" s="949"/>
      <c r="E510" s="964" t="s">
        <v>869</v>
      </c>
      <c r="F510" s="951"/>
      <c r="G510" s="586" t="s">
        <v>13</v>
      </c>
      <c r="H510" s="552">
        <f>I510+L510</f>
        <v>0</v>
      </c>
      <c r="I510" s="553">
        <f>J510+K510</f>
        <v>0</v>
      </c>
      <c r="J510" s="553">
        <v>0</v>
      </c>
      <c r="K510" s="553">
        <v>0</v>
      </c>
      <c r="L510" s="553">
        <f>M510+N510</f>
        <v>0</v>
      </c>
      <c r="M510" s="553">
        <v>0</v>
      </c>
      <c r="N510" s="553">
        <v>0</v>
      </c>
    </row>
    <row r="511" spans="1:14" s="593" customFormat="1" ht="14.25" customHeight="1">
      <c r="A511" s="972"/>
      <c r="B511" s="973"/>
      <c r="C511" s="974"/>
      <c r="D511" s="975"/>
      <c r="E511" s="985"/>
      <c r="F511" s="986"/>
      <c r="G511" s="586" t="s">
        <v>14</v>
      </c>
      <c r="H511" s="552">
        <f>I511+L511</f>
        <v>280000</v>
      </c>
      <c r="I511" s="553">
        <f>J511+K511</f>
        <v>280000</v>
      </c>
      <c r="J511" s="553">
        <v>280000</v>
      </c>
      <c r="K511" s="553">
        <v>0</v>
      </c>
      <c r="L511" s="553">
        <f>M511+N511</f>
        <v>0</v>
      </c>
      <c r="M511" s="553">
        <v>0</v>
      </c>
      <c r="N511" s="553">
        <v>0</v>
      </c>
    </row>
    <row r="512" spans="1:14" s="504" customFormat="1" ht="14.25" customHeight="1">
      <c r="A512" s="959"/>
      <c r="B512" s="962"/>
      <c r="C512" s="961"/>
      <c r="D512" s="963"/>
      <c r="E512" s="987"/>
      <c r="F512" s="988"/>
      <c r="G512" s="611" t="s">
        <v>15</v>
      </c>
      <c r="H512" s="584">
        <f>I512+L512</f>
        <v>280000</v>
      </c>
      <c r="I512" s="585">
        <f>J512+K512</f>
        <v>280000</v>
      </c>
      <c r="J512" s="585">
        <f>J510+J511</f>
        <v>280000</v>
      </c>
      <c r="K512" s="585">
        <f>K510+K511</f>
        <v>0</v>
      </c>
      <c r="L512" s="585">
        <f>M512+N512</f>
        <v>0</v>
      </c>
      <c r="M512" s="585">
        <f>M510+M511</f>
        <v>0</v>
      </c>
      <c r="N512" s="585">
        <f>N510+N511</f>
        <v>0</v>
      </c>
    </row>
    <row r="513" spans="1:14" s="593" customFormat="1" ht="15" customHeight="1" hidden="1">
      <c r="A513" s="972"/>
      <c r="B513" s="973"/>
      <c r="C513" s="974"/>
      <c r="D513" s="975"/>
      <c r="E513" s="964" t="s">
        <v>870</v>
      </c>
      <c r="F513" s="951"/>
      <c r="G513" s="586" t="s">
        <v>13</v>
      </c>
      <c r="H513" s="552">
        <f t="shared" si="76"/>
        <v>140000</v>
      </c>
      <c r="I513" s="553">
        <f t="shared" si="77"/>
        <v>140000</v>
      </c>
      <c r="J513" s="553">
        <v>140000</v>
      </c>
      <c r="K513" s="553">
        <v>0</v>
      </c>
      <c r="L513" s="553">
        <f t="shared" si="78"/>
        <v>0</v>
      </c>
      <c r="M513" s="553">
        <v>0</v>
      </c>
      <c r="N513" s="553">
        <v>0</v>
      </c>
    </row>
    <row r="514" spans="1:14" s="593" customFormat="1" ht="15" customHeight="1" hidden="1">
      <c r="A514" s="972"/>
      <c r="B514" s="967"/>
      <c r="C514" s="974"/>
      <c r="D514" s="967"/>
      <c r="E514" s="965"/>
      <c r="F514" s="953"/>
      <c r="G514" s="586" t="s">
        <v>14</v>
      </c>
      <c r="H514" s="552">
        <f t="shared" si="76"/>
        <v>0</v>
      </c>
      <c r="I514" s="553">
        <f t="shared" si="77"/>
        <v>0</v>
      </c>
      <c r="J514" s="553">
        <v>0</v>
      </c>
      <c r="K514" s="553">
        <v>0</v>
      </c>
      <c r="L514" s="553">
        <f t="shared" si="78"/>
        <v>0</v>
      </c>
      <c r="M514" s="553">
        <v>0</v>
      </c>
      <c r="N514" s="553">
        <v>0</v>
      </c>
    </row>
    <row r="515" spans="1:14" s="504" customFormat="1" ht="15" customHeight="1" hidden="1">
      <c r="A515" s="959"/>
      <c r="B515" s="960"/>
      <c r="C515" s="961"/>
      <c r="D515" s="960"/>
      <c r="E515" s="966"/>
      <c r="F515" s="955"/>
      <c r="G515" s="611" t="s">
        <v>15</v>
      </c>
      <c r="H515" s="584">
        <f t="shared" si="76"/>
        <v>140000</v>
      </c>
      <c r="I515" s="585">
        <f t="shared" si="77"/>
        <v>140000</v>
      </c>
      <c r="J515" s="585">
        <f>J513+J514</f>
        <v>140000</v>
      </c>
      <c r="K515" s="585">
        <f>K513+K514</f>
        <v>0</v>
      </c>
      <c r="L515" s="585">
        <f t="shared" si="78"/>
        <v>0</v>
      </c>
      <c r="M515" s="585">
        <f>M513+M514</f>
        <v>0</v>
      </c>
      <c r="N515" s="585">
        <f>N513+N514</f>
        <v>0</v>
      </c>
    </row>
    <row r="516" spans="1:14" s="593" customFormat="1" ht="14.25" customHeight="1">
      <c r="A516" s="972"/>
      <c r="B516" s="973"/>
      <c r="C516" s="974"/>
      <c r="D516" s="975"/>
      <c r="E516" s="964" t="s">
        <v>871</v>
      </c>
      <c r="F516" s="951"/>
      <c r="G516" s="586" t="s">
        <v>13</v>
      </c>
      <c r="H516" s="552">
        <f t="shared" si="76"/>
        <v>0</v>
      </c>
      <c r="I516" s="553">
        <f t="shared" si="77"/>
        <v>0</v>
      </c>
      <c r="J516" s="553">
        <v>0</v>
      </c>
      <c r="K516" s="553">
        <v>0</v>
      </c>
      <c r="L516" s="553">
        <f t="shared" si="78"/>
        <v>0</v>
      </c>
      <c r="M516" s="553">
        <v>0</v>
      </c>
      <c r="N516" s="553">
        <v>0</v>
      </c>
    </row>
    <row r="517" spans="1:14" s="593" customFormat="1" ht="14.25" customHeight="1">
      <c r="A517" s="972"/>
      <c r="B517" s="967"/>
      <c r="C517" s="974"/>
      <c r="D517" s="967"/>
      <c r="E517" s="965"/>
      <c r="F517" s="953"/>
      <c r="G517" s="586" t="s">
        <v>14</v>
      </c>
      <c r="H517" s="552">
        <f t="shared" si="76"/>
        <v>5800</v>
      </c>
      <c r="I517" s="553">
        <f t="shared" si="77"/>
        <v>5800</v>
      </c>
      <c r="J517" s="553">
        <v>0</v>
      </c>
      <c r="K517" s="553">
        <v>5800</v>
      </c>
      <c r="L517" s="553">
        <f t="shared" si="78"/>
        <v>0</v>
      </c>
      <c r="M517" s="553">
        <v>0</v>
      </c>
      <c r="N517" s="553">
        <v>0</v>
      </c>
    </row>
    <row r="518" spans="1:14" s="504" customFormat="1" ht="14.25" customHeight="1">
      <c r="A518" s="959"/>
      <c r="B518" s="960"/>
      <c r="C518" s="961"/>
      <c r="D518" s="960"/>
      <c r="E518" s="966"/>
      <c r="F518" s="955"/>
      <c r="G518" s="611" t="s">
        <v>15</v>
      </c>
      <c r="H518" s="584">
        <f t="shared" si="76"/>
        <v>5800</v>
      </c>
      <c r="I518" s="585">
        <f t="shared" si="77"/>
        <v>5800</v>
      </c>
      <c r="J518" s="585">
        <f>J516+J517</f>
        <v>0</v>
      </c>
      <c r="K518" s="585">
        <f>K516+K517</f>
        <v>5800</v>
      </c>
      <c r="L518" s="585">
        <f t="shared" si="78"/>
        <v>0</v>
      </c>
      <c r="M518" s="585">
        <f>M516+M517</f>
        <v>0</v>
      </c>
      <c r="N518" s="585">
        <f>N516+N517</f>
        <v>0</v>
      </c>
    </row>
    <row r="519" spans="1:14" s="593" customFormat="1" ht="14.25" customHeight="1">
      <c r="A519" s="972"/>
      <c r="B519" s="973"/>
      <c r="C519" s="974"/>
      <c r="D519" s="975"/>
      <c r="E519" s="964" t="s">
        <v>872</v>
      </c>
      <c r="F519" s="951"/>
      <c r="G519" s="586" t="s">
        <v>13</v>
      </c>
      <c r="H519" s="552">
        <f t="shared" si="76"/>
        <v>0</v>
      </c>
      <c r="I519" s="553">
        <f t="shared" si="77"/>
        <v>0</v>
      </c>
      <c r="J519" s="553">
        <v>0</v>
      </c>
      <c r="K519" s="553">
        <v>0</v>
      </c>
      <c r="L519" s="553">
        <f t="shared" si="78"/>
        <v>0</v>
      </c>
      <c r="M519" s="553">
        <v>0</v>
      </c>
      <c r="N519" s="553">
        <v>0</v>
      </c>
    </row>
    <row r="520" spans="1:14" s="593" customFormat="1" ht="14.25" customHeight="1">
      <c r="A520" s="972"/>
      <c r="B520" s="967"/>
      <c r="C520" s="974"/>
      <c r="D520" s="967"/>
      <c r="E520" s="965"/>
      <c r="F520" s="953"/>
      <c r="G520" s="586" t="s">
        <v>14</v>
      </c>
      <c r="H520" s="552">
        <f t="shared" si="76"/>
        <v>18500</v>
      </c>
      <c r="I520" s="553">
        <f t="shared" si="77"/>
        <v>18500</v>
      </c>
      <c r="J520" s="553">
        <v>0</v>
      </c>
      <c r="K520" s="553">
        <v>18500</v>
      </c>
      <c r="L520" s="553">
        <f t="shared" si="78"/>
        <v>0</v>
      </c>
      <c r="M520" s="553">
        <v>0</v>
      </c>
      <c r="N520" s="553">
        <v>0</v>
      </c>
    </row>
    <row r="521" spans="1:14" s="504" customFormat="1" ht="14.25" customHeight="1">
      <c r="A521" s="959"/>
      <c r="B521" s="960"/>
      <c r="C521" s="961"/>
      <c r="D521" s="960"/>
      <c r="E521" s="966"/>
      <c r="F521" s="955"/>
      <c r="G521" s="611" t="s">
        <v>15</v>
      </c>
      <c r="H521" s="584">
        <f t="shared" si="76"/>
        <v>18500</v>
      </c>
      <c r="I521" s="585">
        <f t="shared" si="77"/>
        <v>18500</v>
      </c>
      <c r="J521" s="585">
        <f>J519+J520</f>
        <v>0</v>
      </c>
      <c r="K521" s="585">
        <f>K519+K520</f>
        <v>18500</v>
      </c>
      <c r="L521" s="585">
        <f t="shared" si="78"/>
        <v>0</v>
      </c>
      <c r="M521" s="585">
        <f>M519+M520</f>
        <v>0</v>
      </c>
      <c r="N521" s="585">
        <f>N519+N520</f>
        <v>0</v>
      </c>
    </row>
    <row r="522" spans="1:14" s="593" customFormat="1" ht="14.25" customHeight="1">
      <c r="A522" s="972"/>
      <c r="B522" s="973"/>
      <c r="C522" s="974"/>
      <c r="D522" s="975"/>
      <c r="E522" s="964" t="s">
        <v>873</v>
      </c>
      <c r="F522" s="951"/>
      <c r="G522" s="586" t="s">
        <v>13</v>
      </c>
      <c r="H522" s="552">
        <f t="shared" si="76"/>
        <v>0</v>
      </c>
      <c r="I522" s="553">
        <f t="shared" si="77"/>
        <v>0</v>
      </c>
      <c r="J522" s="553">
        <v>0</v>
      </c>
      <c r="K522" s="553">
        <v>0</v>
      </c>
      <c r="L522" s="553">
        <f t="shared" si="78"/>
        <v>0</v>
      </c>
      <c r="M522" s="553">
        <v>0</v>
      </c>
      <c r="N522" s="553">
        <v>0</v>
      </c>
    </row>
    <row r="523" spans="1:14" s="593" customFormat="1" ht="14.25" customHeight="1">
      <c r="A523" s="972"/>
      <c r="B523" s="967"/>
      <c r="C523" s="974"/>
      <c r="D523" s="967"/>
      <c r="E523" s="965"/>
      <c r="F523" s="953"/>
      <c r="G523" s="586" t="s">
        <v>14</v>
      </c>
      <c r="H523" s="552">
        <f t="shared" si="76"/>
        <v>25520</v>
      </c>
      <c r="I523" s="553">
        <f t="shared" si="77"/>
        <v>25520</v>
      </c>
      <c r="J523" s="553">
        <v>0</v>
      </c>
      <c r="K523" s="553">
        <v>25520</v>
      </c>
      <c r="L523" s="553">
        <f t="shared" si="78"/>
        <v>0</v>
      </c>
      <c r="M523" s="553">
        <v>0</v>
      </c>
      <c r="N523" s="553">
        <v>0</v>
      </c>
    </row>
    <row r="524" spans="1:14" s="504" customFormat="1" ht="14.25" customHeight="1">
      <c r="A524" s="959"/>
      <c r="B524" s="960"/>
      <c r="C524" s="961"/>
      <c r="D524" s="960"/>
      <c r="E524" s="966"/>
      <c r="F524" s="955"/>
      <c r="G524" s="611" t="s">
        <v>15</v>
      </c>
      <c r="H524" s="584">
        <f t="shared" si="76"/>
        <v>25520</v>
      </c>
      <c r="I524" s="585">
        <f t="shared" si="77"/>
        <v>25520</v>
      </c>
      <c r="J524" s="585">
        <f>J522+J523</f>
        <v>0</v>
      </c>
      <c r="K524" s="585">
        <f>K522+K523</f>
        <v>25520</v>
      </c>
      <c r="L524" s="585">
        <f t="shared" si="78"/>
        <v>0</v>
      </c>
      <c r="M524" s="585">
        <f>M522+M523</f>
        <v>0</v>
      </c>
      <c r="N524" s="585">
        <f>N522+N523</f>
        <v>0</v>
      </c>
    </row>
    <row r="525" spans="1:14" s="593" customFormat="1" ht="14.25" customHeight="1">
      <c r="A525" s="972"/>
      <c r="B525" s="973"/>
      <c r="C525" s="974"/>
      <c r="D525" s="975"/>
      <c r="E525" s="976" t="s">
        <v>874</v>
      </c>
      <c r="F525" s="951"/>
      <c r="G525" s="586" t="s">
        <v>13</v>
      </c>
      <c r="H525" s="552">
        <f t="shared" si="76"/>
        <v>28515</v>
      </c>
      <c r="I525" s="553">
        <f t="shared" si="77"/>
        <v>28515</v>
      </c>
      <c r="J525" s="553">
        <v>28515</v>
      </c>
      <c r="K525" s="553">
        <v>0</v>
      </c>
      <c r="L525" s="553">
        <f t="shared" si="78"/>
        <v>0</v>
      </c>
      <c r="M525" s="553">
        <v>0</v>
      </c>
      <c r="N525" s="553">
        <v>0</v>
      </c>
    </row>
    <row r="526" spans="1:14" s="593" customFormat="1" ht="14.25" customHeight="1">
      <c r="A526" s="972"/>
      <c r="B526" s="967"/>
      <c r="C526" s="974"/>
      <c r="D526" s="967"/>
      <c r="E526" s="965"/>
      <c r="F526" s="953"/>
      <c r="G526" s="586" t="s">
        <v>14</v>
      </c>
      <c r="H526" s="552">
        <f t="shared" si="76"/>
        <v>1300000</v>
      </c>
      <c r="I526" s="553">
        <f t="shared" si="77"/>
        <v>1300000</v>
      </c>
      <c r="J526" s="553">
        <v>1300000</v>
      </c>
      <c r="K526" s="553">
        <v>0</v>
      </c>
      <c r="L526" s="553">
        <f t="shared" si="78"/>
        <v>0</v>
      </c>
      <c r="M526" s="553">
        <v>0</v>
      </c>
      <c r="N526" s="553">
        <v>0</v>
      </c>
    </row>
    <row r="527" spans="1:14" s="504" customFormat="1" ht="14.25" customHeight="1">
      <c r="A527" s="959"/>
      <c r="B527" s="960"/>
      <c r="C527" s="961"/>
      <c r="D527" s="960"/>
      <c r="E527" s="966"/>
      <c r="F527" s="955"/>
      <c r="G527" s="611" t="s">
        <v>15</v>
      </c>
      <c r="H527" s="584">
        <f t="shared" si="76"/>
        <v>1328515</v>
      </c>
      <c r="I527" s="585">
        <f t="shared" si="77"/>
        <v>1328515</v>
      </c>
      <c r="J527" s="585">
        <f>J525+J526</f>
        <v>1328515</v>
      </c>
      <c r="K527" s="585">
        <f>K525+K526</f>
        <v>0</v>
      </c>
      <c r="L527" s="585">
        <f t="shared" si="78"/>
        <v>0</v>
      </c>
      <c r="M527" s="585">
        <f>M525+M526</f>
        <v>0</v>
      </c>
      <c r="N527" s="585">
        <f>N525+N526</f>
        <v>0</v>
      </c>
    </row>
    <row r="528" spans="1:14" s="593" customFormat="1" ht="18" customHeight="1" hidden="1">
      <c r="A528" s="972"/>
      <c r="B528" s="973"/>
      <c r="C528" s="974"/>
      <c r="D528" s="975"/>
      <c r="E528" s="976" t="s">
        <v>875</v>
      </c>
      <c r="F528" s="951"/>
      <c r="G528" s="586" t="s">
        <v>13</v>
      </c>
      <c r="H528" s="552">
        <f t="shared" si="76"/>
        <v>116783</v>
      </c>
      <c r="I528" s="553">
        <f t="shared" si="77"/>
        <v>116783</v>
      </c>
      <c r="J528" s="553">
        <v>116783</v>
      </c>
      <c r="K528" s="553">
        <v>0</v>
      </c>
      <c r="L528" s="553">
        <f t="shared" si="78"/>
        <v>0</v>
      </c>
      <c r="M528" s="553">
        <v>0</v>
      </c>
      <c r="N528" s="553">
        <v>0</v>
      </c>
    </row>
    <row r="529" spans="1:14" s="593" customFormat="1" ht="18" customHeight="1" hidden="1">
      <c r="A529" s="972"/>
      <c r="B529" s="967"/>
      <c r="C529" s="974"/>
      <c r="D529" s="967"/>
      <c r="E529" s="965"/>
      <c r="F529" s="953"/>
      <c r="G529" s="586" t="s">
        <v>14</v>
      </c>
      <c r="H529" s="552">
        <f t="shared" si="76"/>
        <v>0</v>
      </c>
      <c r="I529" s="553">
        <f t="shared" si="77"/>
        <v>0</v>
      </c>
      <c r="J529" s="553">
        <v>0</v>
      </c>
      <c r="K529" s="553">
        <v>0</v>
      </c>
      <c r="L529" s="553">
        <f t="shared" si="78"/>
        <v>0</v>
      </c>
      <c r="M529" s="553">
        <v>0</v>
      </c>
      <c r="N529" s="553">
        <v>0</v>
      </c>
    </row>
    <row r="530" spans="1:14" s="504" customFormat="1" ht="18" customHeight="1" hidden="1">
      <c r="A530" s="959"/>
      <c r="B530" s="960"/>
      <c r="C530" s="961"/>
      <c r="D530" s="960"/>
      <c r="E530" s="966"/>
      <c r="F530" s="955"/>
      <c r="G530" s="611" t="s">
        <v>15</v>
      </c>
      <c r="H530" s="584">
        <f aca="true" t="shared" si="79" ref="H530:H644">I530+L530</f>
        <v>116783</v>
      </c>
      <c r="I530" s="585">
        <f aca="true" t="shared" si="80" ref="I530:I644">J530+K530</f>
        <v>116783</v>
      </c>
      <c r="J530" s="585">
        <f>J528+J529</f>
        <v>116783</v>
      </c>
      <c r="K530" s="585">
        <f>K528+K529</f>
        <v>0</v>
      </c>
      <c r="L530" s="585">
        <f aca="true" t="shared" si="81" ref="L530:L644">M530+N530</f>
        <v>0</v>
      </c>
      <c r="M530" s="585">
        <f>M528+M529</f>
        <v>0</v>
      </c>
      <c r="N530" s="585">
        <f>N528+N529</f>
        <v>0</v>
      </c>
    </row>
    <row r="531" spans="1:14" s="593" customFormat="1" ht="14.25" customHeight="1">
      <c r="A531" s="972"/>
      <c r="B531" s="973"/>
      <c r="C531" s="948" t="s">
        <v>317</v>
      </c>
      <c r="D531" s="949"/>
      <c r="E531" s="964" t="s">
        <v>876</v>
      </c>
      <c r="F531" s="951"/>
      <c r="G531" s="586" t="s">
        <v>13</v>
      </c>
      <c r="H531" s="552">
        <f t="shared" si="79"/>
        <v>2350770</v>
      </c>
      <c r="I531" s="553">
        <f t="shared" si="80"/>
        <v>2350770</v>
      </c>
      <c r="J531" s="553">
        <v>2232752</v>
      </c>
      <c r="K531" s="553">
        <v>118018</v>
      </c>
      <c r="L531" s="553">
        <f t="shared" si="81"/>
        <v>0</v>
      </c>
      <c r="M531" s="553">
        <v>0</v>
      </c>
      <c r="N531" s="553">
        <v>0</v>
      </c>
    </row>
    <row r="532" spans="1:14" s="593" customFormat="1" ht="14.25" customHeight="1">
      <c r="A532" s="972"/>
      <c r="B532" s="967"/>
      <c r="C532" s="974"/>
      <c r="D532" s="967"/>
      <c r="E532" s="965"/>
      <c r="F532" s="953"/>
      <c r="G532" s="586" t="s">
        <v>14</v>
      </c>
      <c r="H532" s="552">
        <f t="shared" si="79"/>
        <v>624611</v>
      </c>
      <c r="I532" s="553">
        <f t="shared" si="80"/>
        <v>624611</v>
      </c>
      <c r="J532" s="553">
        <v>565517</v>
      </c>
      <c r="K532" s="553">
        <v>59094</v>
      </c>
      <c r="L532" s="553">
        <f t="shared" si="81"/>
        <v>0</v>
      </c>
      <c r="M532" s="553">
        <v>0</v>
      </c>
      <c r="N532" s="553">
        <v>0</v>
      </c>
    </row>
    <row r="533" spans="1:14" s="504" customFormat="1" ht="14.25" customHeight="1">
      <c r="A533" s="959"/>
      <c r="B533" s="960"/>
      <c r="C533" s="961"/>
      <c r="D533" s="960"/>
      <c r="E533" s="966"/>
      <c r="F533" s="955"/>
      <c r="G533" s="611" t="s">
        <v>15</v>
      </c>
      <c r="H533" s="584">
        <f t="shared" si="79"/>
        <v>2975381</v>
      </c>
      <c r="I533" s="585">
        <f t="shared" si="80"/>
        <v>2975381</v>
      </c>
      <c r="J533" s="585">
        <f>J531+J532</f>
        <v>2798269</v>
      </c>
      <c r="K533" s="585">
        <f>K531+K532</f>
        <v>177112</v>
      </c>
      <c r="L533" s="585">
        <f t="shared" si="81"/>
        <v>0</v>
      </c>
      <c r="M533" s="585">
        <f>M531+M532</f>
        <v>0</v>
      </c>
      <c r="N533" s="585">
        <f>N531+N532</f>
        <v>0</v>
      </c>
    </row>
    <row r="534" spans="1:14" s="593" customFormat="1" ht="15" customHeight="1" hidden="1">
      <c r="A534" s="972"/>
      <c r="B534" s="973"/>
      <c r="C534" s="974"/>
      <c r="D534" s="975"/>
      <c r="E534" s="964" t="s">
        <v>877</v>
      </c>
      <c r="F534" s="951"/>
      <c r="G534" s="586" t="s">
        <v>13</v>
      </c>
      <c r="H534" s="552">
        <f t="shared" si="79"/>
        <v>1650000</v>
      </c>
      <c r="I534" s="553">
        <f t="shared" si="80"/>
        <v>1650000</v>
      </c>
      <c r="J534" s="553">
        <v>1650000</v>
      </c>
      <c r="K534" s="553">
        <v>0</v>
      </c>
      <c r="L534" s="553">
        <f t="shared" si="81"/>
        <v>0</v>
      </c>
      <c r="M534" s="553">
        <v>0</v>
      </c>
      <c r="N534" s="553">
        <v>0</v>
      </c>
    </row>
    <row r="535" spans="1:14" s="593" customFormat="1" ht="15" customHeight="1" hidden="1">
      <c r="A535" s="972"/>
      <c r="B535" s="967"/>
      <c r="C535" s="974"/>
      <c r="D535" s="967"/>
      <c r="E535" s="965"/>
      <c r="F535" s="953"/>
      <c r="G535" s="586" t="s">
        <v>14</v>
      </c>
      <c r="H535" s="552">
        <f t="shared" si="79"/>
        <v>0</v>
      </c>
      <c r="I535" s="553">
        <f t="shared" si="80"/>
        <v>0</v>
      </c>
      <c r="J535" s="553">
        <v>0</v>
      </c>
      <c r="K535" s="553">
        <v>0</v>
      </c>
      <c r="L535" s="553">
        <f t="shared" si="81"/>
        <v>0</v>
      </c>
      <c r="M535" s="553">
        <v>0</v>
      </c>
      <c r="N535" s="553">
        <v>0</v>
      </c>
    </row>
    <row r="536" spans="1:14" s="504" customFormat="1" ht="15" customHeight="1" hidden="1">
      <c r="A536" s="959"/>
      <c r="B536" s="960"/>
      <c r="C536" s="961"/>
      <c r="D536" s="960"/>
      <c r="E536" s="966"/>
      <c r="F536" s="955"/>
      <c r="G536" s="611" t="s">
        <v>15</v>
      </c>
      <c r="H536" s="584">
        <f t="shared" si="79"/>
        <v>1650000</v>
      </c>
      <c r="I536" s="585">
        <f t="shared" si="80"/>
        <v>1650000</v>
      </c>
      <c r="J536" s="585">
        <f>J534+J535</f>
        <v>1650000</v>
      </c>
      <c r="K536" s="585">
        <f>K534+K535</f>
        <v>0</v>
      </c>
      <c r="L536" s="585">
        <f t="shared" si="81"/>
        <v>0</v>
      </c>
      <c r="M536" s="585">
        <f>M534+M535</f>
        <v>0</v>
      </c>
      <c r="N536" s="585">
        <f>N534+N535</f>
        <v>0</v>
      </c>
    </row>
    <row r="537" spans="1:14" s="593" customFormat="1" ht="15" customHeight="1" hidden="1">
      <c r="A537" s="972"/>
      <c r="B537" s="973"/>
      <c r="C537" s="948" t="s">
        <v>254</v>
      </c>
      <c r="D537" s="949"/>
      <c r="E537" s="964" t="s">
        <v>878</v>
      </c>
      <c r="F537" s="951"/>
      <c r="G537" s="586" t="s">
        <v>13</v>
      </c>
      <c r="H537" s="552">
        <f t="shared" si="79"/>
        <v>60000</v>
      </c>
      <c r="I537" s="553">
        <f t="shared" si="80"/>
        <v>60000</v>
      </c>
      <c r="J537" s="553">
        <v>60000</v>
      </c>
      <c r="K537" s="553">
        <v>0</v>
      </c>
      <c r="L537" s="553">
        <f t="shared" si="81"/>
        <v>0</v>
      </c>
      <c r="M537" s="553">
        <v>0</v>
      </c>
      <c r="N537" s="553">
        <v>0</v>
      </c>
    </row>
    <row r="538" spans="1:14" s="593" customFormat="1" ht="15" customHeight="1" hidden="1">
      <c r="A538" s="972"/>
      <c r="B538" s="967"/>
      <c r="C538" s="974"/>
      <c r="D538" s="967"/>
      <c r="E538" s="965"/>
      <c r="F538" s="953"/>
      <c r="G538" s="586" t="s">
        <v>14</v>
      </c>
      <c r="H538" s="552">
        <f t="shared" si="79"/>
        <v>0</v>
      </c>
      <c r="I538" s="553">
        <f t="shared" si="80"/>
        <v>0</v>
      </c>
      <c r="J538" s="553">
        <v>0</v>
      </c>
      <c r="K538" s="553">
        <v>0</v>
      </c>
      <c r="L538" s="553">
        <f t="shared" si="81"/>
        <v>0</v>
      </c>
      <c r="M538" s="553">
        <v>0</v>
      </c>
      <c r="N538" s="553">
        <v>0</v>
      </c>
    </row>
    <row r="539" spans="1:14" s="504" customFormat="1" ht="15" customHeight="1" hidden="1">
      <c r="A539" s="959"/>
      <c r="B539" s="960"/>
      <c r="C539" s="961"/>
      <c r="D539" s="960"/>
      <c r="E539" s="966"/>
      <c r="F539" s="955"/>
      <c r="G539" s="611" t="s">
        <v>15</v>
      </c>
      <c r="H539" s="584">
        <f t="shared" si="79"/>
        <v>60000</v>
      </c>
      <c r="I539" s="585">
        <f t="shared" si="80"/>
        <v>60000</v>
      </c>
      <c r="J539" s="585">
        <f>J537+J538</f>
        <v>60000</v>
      </c>
      <c r="K539" s="585">
        <f>K537+K538</f>
        <v>0</v>
      </c>
      <c r="L539" s="585">
        <f t="shared" si="81"/>
        <v>0</v>
      </c>
      <c r="M539" s="585">
        <f>M537+M538</f>
        <v>0</v>
      </c>
      <c r="N539" s="585">
        <f>N537+N538</f>
        <v>0</v>
      </c>
    </row>
    <row r="540" spans="1:14" s="593" customFormat="1" ht="14.25" customHeight="1">
      <c r="A540" s="972"/>
      <c r="B540" s="973"/>
      <c r="C540" s="948" t="s">
        <v>254</v>
      </c>
      <c r="D540" s="949"/>
      <c r="E540" s="964" t="s">
        <v>879</v>
      </c>
      <c r="F540" s="951"/>
      <c r="G540" s="586" t="s">
        <v>13</v>
      </c>
      <c r="H540" s="552">
        <f t="shared" si="79"/>
        <v>0</v>
      </c>
      <c r="I540" s="553">
        <f t="shared" si="80"/>
        <v>0</v>
      </c>
      <c r="J540" s="553">
        <v>0</v>
      </c>
      <c r="K540" s="553">
        <v>0</v>
      </c>
      <c r="L540" s="553">
        <f t="shared" si="81"/>
        <v>0</v>
      </c>
      <c r="M540" s="553">
        <v>0</v>
      </c>
      <c r="N540" s="553">
        <v>0</v>
      </c>
    </row>
    <row r="541" spans="1:14" s="593" customFormat="1" ht="14.25" customHeight="1">
      <c r="A541" s="972"/>
      <c r="B541" s="967"/>
      <c r="C541" s="974"/>
      <c r="D541" s="967"/>
      <c r="E541" s="965"/>
      <c r="F541" s="953"/>
      <c r="G541" s="586" t="s">
        <v>14</v>
      </c>
      <c r="H541" s="552">
        <f t="shared" si="79"/>
        <v>42200</v>
      </c>
      <c r="I541" s="553">
        <f t="shared" si="80"/>
        <v>42200</v>
      </c>
      <c r="J541" s="553">
        <v>42200</v>
      </c>
      <c r="K541" s="553">
        <v>0</v>
      </c>
      <c r="L541" s="553">
        <f t="shared" si="81"/>
        <v>0</v>
      </c>
      <c r="M541" s="553">
        <v>0</v>
      </c>
      <c r="N541" s="553">
        <v>0</v>
      </c>
    </row>
    <row r="542" spans="1:14" s="504" customFormat="1" ht="14.25" customHeight="1">
      <c r="A542" s="959"/>
      <c r="B542" s="960"/>
      <c r="C542" s="961"/>
      <c r="D542" s="960"/>
      <c r="E542" s="966"/>
      <c r="F542" s="955"/>
      <c r="G542" s="611" t="s">
        <v>15</v>
      </c>
      <c r="H542" s="584">
        <f t="shared" si="79"/>
        <v>42200</v>
      </c>
      <c r="I542" s="585">
        <f t="shared" si="80"/>
        <v>42200</v>
      </c>
      <c r="J542" s="585">
        <f>J540+J541</f>
        <v>42200</v>
      </c>
      <c r="K542" s="585">
        <f>K540+K541</f>
        <v>0</v>
      </c>
      <c r="L542" s="585">
        <f t="shared" si="81"/>
        <v>0</v>
      </c>
      <c r="M542" s="585">
        <f>M540+M541</f>
        <v>0</v>
      </c>
      <c r="N542" s="585">
        <f>N540+N541</f>
        <v>0</v>
      </c>
    </row>
    <row r="543" spans="1:14" s="593" customFormat="1" ht="14.25" customHeight="1">
      <c r="A543" s="972"/>
      <c r="B543" s="973"/>
      <c r="C543" s="974"/>
      <c r="D543" s="975"/>
      <c r="E543" s="964" t="s">
        <v>880</v>
      </c>
      <c r="F543" s="951"/>
      <c r="G543" s="586" t="s">
        <v>13</v>
      </c>
      <c r="H543" s="552">
        <f t="shared" si="79"/>
        <v>0</v>
      </c>
      <c r="I543" s="553">
        <f t="shared" si="80"/>
        <v>0</v>
      </c>
      <c r="J543" s="553">
        <v>0</v>
      </c>
      <c r="K543" s="553">
        <v>0</v>
      </c>
      <c r="L543" s="553">
        <f t="shared" si="81"/>
        <v>0</v>
      </c>
      <c r="M543" s="553">
        <v>0</v>
      </c>
      <c r="N543" s="553">
        <v>0</v>
      </c>
    </row>
    <row r="544" spans="1:14" s="593" customFormat="1" ht="14.25" customHeight="1">
      <c r="A544" s="972"/>
      <c r="B544" s="967"/>
      <c r="C544" s="974"/>
      <c r="D544" s="967"/>
      <c r="E544" s="965"/>
      <c r="F544" s="953"/>
      <c r="G544" s="586" t="s">
        <v>14</v>
      </c>
      <c r="H544" s="552">
        <f t="shared" si="79"/>
        <v>15928</v>
      </c>
      <c r="I544" s="553">
        <f t="shared" si="80"/>
        <v>15928</v>
      </c>
      <c r="J544" s="553">
        <v>0</v>
      </c>
      <c r="K544" s="553">
        <v>15928</v>
      </c>
      <c r="L544" s="553">
        <f t="shared" si="81"/>
        <v>0</v>
      </c>
      <c r="M544" s="553">
        <v>0</v>
      </c>
      <c r="N544" s="553">
        <v>0</v>
      </c>
    </row>
    <row r="545" spans="1:14" s="504" customFormat="1" ht="14.25" customHeight="1">
      <c r="A545" s="959"/>
      <c r="B545" s="960"/>
      <c r="C545" s="961"/>
      <c r="D545" s="960"/>
      <c r="E545" s="966"/>
      <c r="F545" s="955"/>
      <c r="G545" s="611" t="s">
        <v>15</v>
      </c>
      <c r="H545" s="584">
        <f t="shared" si="79"/>
        <v>15928</v>
      </c>
      <c r="I545" s="585">
        <f t="shared" si="80"/>
        <v>15928</v>
      </c>
      <c r="J545" s="585">
        <f>J543+J544</f>
        <v>0</v>
      </c>
      <c r="K545" s="585">
        <f>K543+K544</f>
        <v>15928</v>
      </c>
      <c r="L545" s="585">
        <f t="shared" si="81"/>
        <v>0</v>
      </c>
      <c r="M545" s="585">
        <f>M543+M544</f>
        <v>0</v>
      </c>
      <c r="N545" s="585">
        <f>N543+N544</f>
        <v>0</v>
      </c>
    </row>
    <row r="546" spans="1:14" s="593" customFormat="1" ht="15" customHeight="1" hidden="1">
      <c r="A546" s="972"/>
      <c r="B546" s="973"/>
      <c r="C546" s="974"/>
      <c r="D546" s="975"/>
      <c r="E546" s="964" t="s">
        <v>881</v>
      </c>
      <c r="F546" s="951"/>
      <c r="G546" s="586" t="s">
        <v>13</v>
      </c>
      <c r="H546" s="552">
        <f t="shared" si="79"/>
        <v>15000</v>
      </c>
      <c r="I546" s="553">
        <f t="shared" si="80"/>
        <v>15000</v>
      </c>
      <c r="J546" s="553">
        <v>0</v>
      </c>
      <c r="K546" s="553">
        <v>15000</v>
      </c>
      <c r="L546" s="553">
        <f t="shared" si="81"/>
        <v>0</v>
      </c>
      <c r="M546" s="553">
        <v>0</v>
      </c>
      <c r="N546" s="553">
        <v>0</v>
      </c>
    </row>
    <row r="547" spans="1:14" s="593" customFormat="1" ht="15" customHeight="1" hidden="1">
      <c r="A547" s="972"/>
      <c r="B547" s="967"/>
      <c r="C547" s="974"/>
      <c r="D547" s="967"/>
      <c r="E547" s="965"/>
      <c r="F547" s="953"/>
      <c r="G547" s="586" t="s">
        <v>14</v>
      </c>
      <c r="H547" s="552">
        <f t="shared" si="79"/>
        <v>0</v>
      </c>
      <c r="I547" s="553">
        <f t="shared" si="80"/>
        <v>0</v>
      </c>
      <c r="J547" s="553">
        <v>0</v>
      </c>
      <c r="K547" s="553">
        <v>0</v>
      </c>
      <c r="L547" s="553">
        <f t="shared" si="81"/>
        <v>0</v>
      </c>
      <c r="M547" s="553">
        <v>0</v>
      </c>
      <c r="N547" s="553">
        <v>0</v>
      </c>
    </row>
    <row r="548" spans="1:14" s="504" customFormat="1" ht="15" customHeight="1" hidden="1">
      <c r="A548" s="959"/>
      <c r="B548" s="960"/>
      <c r="C548" s="961"/>
      <c r="D548" s="960"/>
      <c r="E548" s="966"/>
      <c r="F548" s="955"/>
      <c r="G548" s="611" t="s">
        <v>15</v>
      </c>
      <c r="H548" s="584">
        <f t="shared" si="79"/>
        <v>15000</v>
      </c>
      <c r="I548" s="585">
        <f t="shared" si="80"/>
        <v>15000</v>
      </c>
      <c r="J548" s="585">
        <f>J546+J547</f>
        <v>0</v>
      </c>
      <c r="K548" s="585">
        <f>K546+K547</f>
        <v>15000</v>
      </c>
      <c r="L548" s="585">
        <f t="shared" si="81"/>
        <v>0</v>
      </c>
      <c r="M548" s="585">
        <f>M546+M547</f>
        <v>0</v>
      </c>
      <c r="N548" s="585">
        <f>N546+N547</f>
        <v>0</v>
      </c>
    </row>
    <row r="549" spans="1:14" s="593" customFormat="1" ht="14.25" customHeight="1">
      <c r="A549" s="972"/>
      <c r="B549" s="973"/>
      <c r="C549" s="974"/>
      <c r="D549" s="975"/>
      <c r="E549" s="964" t="s">
        <v>867</v>
      </c>
      <c r="F549" s="951"/>
      <c r="G549" s="586" t="s">
        <v>13</v>
      </c>
      <c r="H549" s="552">
        <f t="shared" si="79"/>
        <v>0</v>
      </c>
      <c r="I549" s="553">
        <f t="shared" si="80"/>
        <v>0</v>
      </c>
      <c r="J549" s="553">
        <v>0</v>
      </c>
      <c r="K549" s="553">
        <v>0</v>
      </c>
      <c r="L549" s="553">
        <f t="shared" si="81"/>
        <v>0</v>
      </c>
      <c r="M549" s="553">
        <v>0</v>
      </c>
      <c r="N549" s="553">
        <v>0</v>
      </c>
    </row>
    <row r="550" spans="1:14" s="593" customFormat="1" ht="14.25" customHeight="1">
      <c r="A550" s="972"/>
      <c r="B550" s="967"/>
      <c r="C550" s="974"/>
      <c r="D550" s="967"/>
      <c r="E550" s="965"/>
      <c r="F550" s="953"/>
      <c r="G550" s="586" t="s">
        <v>14</v>
      </c>
      <c r="H550" s="552">
        <f t="shared" si="79"/>
        <v>51000</v>
      </c>
      <c r="I550" s="553">
        <f t="shared" si="80"/>
        <v>51000</v>
      </c>
      <c r="J550" s="553">
        <v>0</v>
      </c>
      <c r="K550" s="553">
        <v>51000</v>
      </c>
      <c r="L550" s="553">
        <f t="shared" si="81"/>
        <v>0</v>
      </c>
      <c r="M550" s="553">
        <v>0</v>
      </c>
      <c r="N550" s="553">
        <v>0</v>
      </c>
    </row>
    <row r="551" spans="1:14" s="504" customFormat="1" ht="14.25" customHeight="1">
      <c r="A551" s="977"/>
      <c r="B551" s="978"/>
      <c r="C551" s="979"/>
      <c r="D551" s="978"/>
      <c r="E551" s="966"/>
      <c r="F551" s="955"/>
      <c r="G551" s="613" t="s">
        <v>15</v>
      </c>
      <c r="H551" s="552">
        <f t="shared" si="79"/>
        <v>51000</v>
      </c>
      <c r="I551" s="553">
        <f t="shared" si="80"/>
        <v>51000</v>
      </c>
      <c r="J551" s="553">
        <f>J549+J550</f>
        <v>0</v>
      </c>
      <c r="K551" s="553">
        <f>K549+K550</f>
        <v>51000</v>
      </c>
      <c r="L551" s="553">
        <f t="shared" si="81"/>
        <v>0</v>
      </c>
      <c r="M551" s="553">
        <f>M549+M550</f>
        <v>0</v>
      </c>
      <c r="N551" s="553">
        <f>N549+N550</f>
        <v>0</v>
      </c>
    </row>
    <row r="552" spans="1:14" s="593" customFormat="1" ht="14.25" customHeight="1">
      <c r="A552" s="946"/>
      <c r="B552" s="947"/>
      <c r="C552" s="948"/>
      <c r="D552" s="949"/>
      <c r="E552" s="964" t="s">
        <v>882</v>
      </c>
      <c r="F552" s="951"/>
      <c r="G552" s="586" t="s">
        <v>13</v>
      </c>
      <c r="H552" s="552">
        <f>I552+L552</f>
        <v>0</v>
      </c>
      <c r="I552" s="553">
        <f>J552+K552</f>
        <v>0</v>
      </c>
      <c r="J552" s="553">
        <v>0</v>
      </c>
      <c r="K552" s="553">
        <v>0</v>
      </c>
      <c r="L552" s="553">
        <f>M552+N552</f>
        <v>0</v>
      </c>
      <c r="M552" s="553">
        <v>0</v>
      </c>
      <c r="N552" s="553">
        <v>0</v>
      </c>
    </row>
    <row r="553" spans="1:14" s="593" customFormat="1" ht="14.25" customHeight="1">
      <c r="A553" s="972"/>
      <c r="B553" s="967"/>
      <c r="C553" s="974"/>
      <c r="D553" s="967"/>
      <c r="E553" s="965"/>
      <c r="F553" s="953"/>
      <c r="G553" s="586" t="s">
        <v>14</v>
      </c>
      <c r="H553" s="552">
        <f>I553+L553</f>
        <v>61000</v>
      </c>
      <c r="I553" s="553">
        <f>J553+K553</f>
        <v>61000</v>
      </c>
      <c r="J553" s="553">
        <v>61000</v>
      </c>
      <c r="K553" s="553">
        <v>0</v>
      </c>
      <c r="L553" s="553">
        <f>M553+N553</f>
        <v>0</v>
      </c>
      <c r="M553" s="553">
        <v>0</v>
      </c>
      <c r="N553" s="553">
        <v>0</v>
      </c>
    </row>
    <row r="554" spans="1:14" s="504" customFormat="1" ht="14.25" customHeight="1">
      <c r="A554" s="959"/>
      <c r="B554" s="960"/>
      <c r="C554" s="961"/>
      <c r="D554" s="960"/>
      <c r="E554" s="966"/>
      <c r="F554" s="955"/>
      <c r="G554" s="611" t="s">
        <v>15</v>
      </c>
      <c r="H554" s="584">
        <f>I554+L554</f>
        <v>61000</v>
      </c>
      <c r="I554" s="585">
        <f>J554+K554</f>
        <v>61000</v>
      </c>
      <c r="J554" s="585">
        <f>J552+J553</f>
        <v>61000</v>
      </c>
      <c r="K554" s="585">
        <f>K552+K553</f>
        <v>0</v>
      </c>
      <c r="L554" s="585">
        <f>M554+N554</f>
        <v>0</v>
      </c>
      <c r="M554" s="585">
        <f>M552+M553</f>
        <v>0</v>
      </c>
      <c r="N554" s="585">
        <f>N552+N553</f>
        <v>0</v>
      </c>
    </row>
    <row r="555" spans="1:14" s="593" customFormat="1" ht="14.25" customHeight="1">
      <c r="A555" s="972"/>
      <c r="B555" s="973"/>
      <c r="C555" s="974"/>
      <c r="D555" s="975"/>
      <c r="E555" s="964" t="s">
        <v>821</v>
      </c>
      <c r="F555" s="951"/>
      <c r="G555" s="551" t="s">
        <v>13</v>
      </c>
      <c r="H555" s="584">
        <f t="shared" si="79"/>
        <v>0</v>
      </c>
      <c r="I555" s="585">
        <f t="shared" si="80"/>
        <v>0</v>
      </c>
      <c r="J555" s="585">
        <v>0</v>
      </c>
      <c r="K555" s="585">
        <v>0</v>
      </c>
      <c r="L555" s="585">
        <f t="shared" si="81"/>
        <v>0</v>
      </c>
      <c r="M555" s="585">
        <v>0</v>
      </c>
      <c r="N555" s="585">
        <v>0</v>
      </c>
    </row>
    <row r="556" spans="1:14" s="593" customFormat="1" ht="14.25" customHeight="1">
      <c r="A556" s="972"/>
      <c r="B556" s="967"/>
      <c r="C556" s="974"/>
      <c r="D556" s="967"/>
      <c r="E556" s="965"/>
      <c r="F556" s="953"/>
      <c r="G556" s="551" t="s">
        <v>14</v>
      </c>
      <c r="H556" s="584">
        <f t="shared" si="79"/>
        <v>4250</v>
      </c>
      <c r="I556" s="585">
        <f t="shared" si="80"/>
        <v>4250</v>
      </c>
      <c r="J556" s="585">
        <v>4250</v>
      </c>
      <c r="K556" s="585">
        <v>0</v>
      </c>
      <c r="L556" s="585">
        <f t="shared" si="81"/>
        <v>0</v>
      </c>
      <c r="M556" s="585">
        <v>0</v>
      </c>
      <c r="N556" s="585">
        <v>0</v>
      </c>
    </row>
    <row r="557" spans="1:14" s="504" customFormat="1" ht="14.25" customHeight="1">
      <c r="A557" s="959"/>
      <c r="B557" s="960"/>
      <c r="C557" s="961"/>
      <c r="D557" s="960"/>
      <c r="E557" s="966"/>
      <c r="F557" s="955"/>
      <c r="G557" s="611" t="s">
        <v>15</v>
      </c>
      <c r="H557" s="584">
        <f t="shared" si="79"/>
        <v>4250</v>
      </c>
      <c r="I557" s="585">
        <f t="shared" si="80"/>
        <v>4250</v>
      </c>
      <c r="J557" s="585">
        <f>J555+J556</f>
        <v>4250</v>
      </c>
      <c r="K557" s="585">
        <f>K555+K556</f>
        <v>0</v>
      </c>
      <c r="L557" s="585">
        <f t="shared" si="81"/>
        <v>0</v>
      </c>
      <c r="M557" s="585">
        <f>M555+M556</f>
        <v>0</v>
      </c>
      <c r="N557" s="585">
        <f>N555+N556</f>
        <v>0</v>
      </c>
    </row>
    <row r="558" spans="1:14" s="593" customFormat="1" ht="14.25" customHeight="1">
      <c r="A558" s="972"/>
      <c r="B558" s="973"/>
      <c r="C558" s="948" t="s">
        <v>716</v>
      </c>
      <c r="D558" s="949"/>
      <c r="E558" s="964" t="s">
        <v>883</v>
      </c>
      <c r="F558" s="951"/>
      <c r="G558" s="586" t="s">
        <v>13</v>
      </c>
      <c r="H558" s="552">
        <f>I558+L558</f>
        <v>0</v>
      </c>
      <c r="I558" s="553">
        <f>J558+K558</f>
        <v>0</v>
      </c>
      <c r="J558" s="553">
        <v>0</v>
      </c>
      <c r="K558" s="553">
        <v>0</v>
      </c>
      <c r="L558" s="553">
        <f>M558+N558</f>
        <v>0</v>
      </c>
      <c r="M558" s="553">
        <v>0</v>
      </c>
      <c r="N558" s="553">
        <v>0</v>
      </c>
    </row>
    <row r="559" spans="1:14" s="593" customFormat="1" ht="14.25" customHeight="1">
      <c r="A559" s="972"/>
      <c r="B559" s="967"/>
      <c r="C559" s="974"/>
      <c r="D559" s="967"/>
      <c r="E559" s="965"/>
      <c r="F559" s="953"/>
      <c r="G559" s="586" t="s">
        <v>14</v>
      </c>
      <c r="H559" s="552">
        <f>I559+L559</f>
        <v>29200</v>
      </c>
      <c r="I559" s="553">
        <f>J559+K559</f>
        <v>29200</v>
      </c>
      <c r="J559" s="553">
        <v>0</v>
      </c>
      <c r="K559" s="553">
        <v>29200</v>
      </c>
      <c r="L559" s="553">
        <f>M559+N559</f>
        <v>0</v>
      </c>
      <c r="M559" s="553">
        <v>0</v>
      </c>
      <c r="N559" s="553">
        <v>0</v>
      </c>
    </row>
    <row r="560" spans="1:14" s="504" customFormat="1" ht="14.25" customHeight="1">
      <c r="A560" s="959"/>
      <c r="B560" s="960"/>
      <c r="C560" s="961"/>
      <c r="D560" s="960"/>
      <c r="E560" s="966"/>
      <c r="F560" s="955"/>
      <c r="G560" s="611" t="s">
        <v>15</v>
      </c>
      <c r="H560" s="584">
        <f>I560+L560</f>
        <v>29200</v>
      </c>
      <c r="I560" s="585">
        <f>J560+K560</f>
        <v>29200</v>
      </c>
      <c r="J560" s="585">
        <f>J558+J559</f>
        <v>0</v>
      </c>
      <c r="K560" s="585">
        <f>K558+K559</f>
        <v>29200</v>
      </c>
      <c r="L560" s="585">
        <f>M560+N560</f>
        <v>0</v>
      </c>
      <c r="M560" s="585">
        <f>M558+M559</f>
        <v>0</v>
      </c>
      <c r="N560" s="585">
        <f>N558+N559</f>
        <v>0</v>
      </c>
    </row>
    <row r="561" spans="1:14" s="593" customFormat="1" ht="15" customHeight="1" hidden="1">
      <c r="A561" s="972"/>
      <c r="B561" s="973"/>
      <c r="C561" s="948" t="s">
        <v>722</v>
      </c>
      <c r="D561" s="949"/>
      <c r="E561" s="964" t="s">
        <v>868</v>
      </c>
      <c r="F561" s="951"/>
      <c r="G561" s="586" t="s">
        <v>13</v>
      </c>
      <c r="H561" s="552">
        <f t="shared" si="79"/>
        <v>48000</v>
      </c>
      <c r="I561" s="553">
        <f t="shared" si="80"/>
        <v>48000</v>
      </c>
      <c r="J561" s="553">
        <v>0</v>
      </c>
      <c r="K561" s="553">
        <v>48000</v>
      </c>
      <c r="L561" s="553">
        <f t="shared" si="81"/>
        <v>0</v>
      </c>
      <c r="M561" s="553">
        <v>0</v>
      </c>
      <c r="N561" s="553">
        <v>0</v>
      </c>
    </row>
    <row r="562" spans="1:14" s="593" customFormat="1" ht="15" customHeight="1" hidden="1">
      <c r="A562" s="972"/>
      <c r="B562" s="967"/>
      <c r="C562" s="974"/>
      <c r="D562" s="967"/>
      <c r="E562" s="965"/>
      <c r="F562" s="953"/>
      <c r="G562" s="586" t="s">
        <v>14</v>
      </c>
      <c r="H562" s="552">
        <f t="shared" si="79"/>
        <v>0</v>
      </c>
      <c r="I562" s="553">
        <f t="shared" si="80"/>
        <v>0</v>
      </c>
      <c r="J562" s="553">
        <v>0</v>
      </c>
      <c r="K562" s="553">
        <v>0</v>
      </c>
      <c r="L562" s="553">
        <f t="shared" si="81"/>
        <v>0</v>
      </c>
      <c r="M562" s="553">
        <v>0</v>
      </c>
      <c r="N562" s="553">
        <v>0</v>
      </c>
    </row>
    <row r="563" spans="1:14" s="504" customFormat="1" ht="15" customHeight="1" hidden="1">
      <c r="A563" s="959"/>
      <c r="B563" s="960"/>
      <c r="C563" s="961"/>
      <c r="D563" s="960"/>
      <c r="E563" s="966"/>
      <c r="F563" s="955"/>
      <c r="G563" s="611" t="s">
        <v>15</v>
      </c>
      <c r="H563" s="584">
        <f t="shared" si="79"/>
        <v>48000</v>
      </c>
      <c r="I563" s="585">
        <f t="shared" si="80"/>
        <v>48000</v>
      </c>
      <c r="J563" s="585">
        <f>J561+J562</f>
        <v>0</v>
      </c>
      <c r="K563" s="585">
        <f>K561+K562</f>
        <v>48000</v>
      </c>
      <c r="L563" s="585">
        <f t="shared" si="81"/>
        <v>0</v>
      </c>
      <c r="M563" s="585">
        <f>M561+M562</f>
        <v>0</v>
      </c>
      <c r="N563" s="585">
        <f>N561+N562</f>
        <v>0</v>
      </c>
    </row>
    <row r="564" spans="1:14" s="593" customFormat="1" ht="15" customHeight="1" hidden="1">
      <c r="A564" s="972"/>
      <c r="B564" s="973"/>
      <c r="C564" s="974"/>
      <c r="D564" s="975"/>
      <c r="E564" s="964" t="s">
        <v>884</v>
      </c>
      <c r="F564" s="951"/>
      <c r="G564" s="586" t="s">
        <v>13</v>
      </c>
      <c r="H564" s="552">
        <f t="shared" si="79"/>
        <v>5100</v>
      </c>
      <c r="I564" s="553">
        <f t="shared" si="80"/>
        <v>5100</v>
      </c>
      <c r="J564" s="553">
        <v>0</v>
      </c>
      <c r="K564" s="553">
        <v>5100</v>
      </c>
      <c r="L564" s="553">
        <f t="shared" si="81"/>
        <v>0</v>
      </c>
      <c r="M564" s="553">
        <v>0</v>
      </c>
      <c r="N564" s="553">
        <v>0</v>
      </c>
    </row>
    <row r="565" spans="1:14" s="593" customFormat="1" ht="15" customHeight="1" hidden="1">
      <c r="A565" s="972"/>
      <c r="B565" s="967"/>
      <c r="C565" s="974"/>
      <c r="D565" s="967"/>
      <c r="E565" s="965"/>
      <c r="F565" s="953"/>
      <c r="G565" s="586" t="s">
        <v>14</v>
      </c>
      <c r="H565" s="552">
        <f t="shared" si="79"/>
        <v>0</v>
      </c>
      <c r="I565" s="553">
        <f t="shared" si="80"/>
        <v>0</v>
      </c>
      <c r="J565" s="553">
        <v>0</v>
      </c>
      <c r="K565" s="553">
        <v>0</v>
      </c>
      <c r="L565" s="553">
        <f t="shared" si="81"/>
        <v>0</v>
      </c>
      <c r="M565" s="553">
        <v>0</v>
      </c>
      <c r="N565" s="553">
        <v>0</v>
      </c>
    </row>
    <row r="566" spans="1:14" s="504" customFormat="1" ht="15" customHeight="1" hidden="1">
      <c r="A566" s="959"/>
      <c r="B566" s="960"/>
      <c r="C566" s="961"/>
      <c r="D566" s="960"/>
      <c r="E566" s="966"/>
      <c r="F566" s="955"/>
      <c r="G566" s="611" t="s">
        <v>15</v>
      </c>
      <c r="H566" s="584">
        <f t="shared" si="79"/>
        <v>5100</v>
      </c>
      <c r="I566" s="585">
        <f t="shared" si="80"/>
        <v>5100</v>
      </c>
      <c r="J566" s="585">
        <f>J564+J565</f>
        <v>0</v>
      </c>
      <c r="K566" s="585">
        <f>K564+K565</f>
        <v>5100</v>
      </c>
      <c r="L566" s="585">
        <f t="shared" si="81"/>
        <v>0</v>
      </c>
      <c r="M566" s="585">
        <f>M564+M565</f>
        <v>0</v>
      </c>
      <c r="N566" s="585">
        <f>N564+N565</f>
        <v>0</v>
      </c>
    </row>
    <row r="567" spans="1:14" s="593" customFormat="1" ht="14.25" customHeight="1">
      <c r="A567" s="972"/>
      <c r="B567" s="973"/>
      <c r="C567" s="948" t="s">
        <v>722</v>
      </c>
      <c r="D567" s="949"/>
      <c r="E567" s="964" t="s">
        <v>885</v>
      </c>
      <c r="F567" s="951"/>
      <c r="G567" s="586" t="s">
        <v>13</v>
      </c>
      <c r="H567" s="552">
        <f t="shared" si="79"/>
        <v>0</v>
      </c>
      <c r="I567" s="553">
        <f t="shared" si="80"/>
        <v>0</v>
      </c>
      <c r="J567" s="553">
        <v>0</v>
      </c>
      <c r="K567" s="553">
        <v>0</v>
      </c>
      <c r="L567" s="553">
        <f t="shared" si="81"/>
        <v>0</v>
      </c>
      <c r="M567" s="553">
        <v>0</v>
      </c>
      <c r="N567" s="553">
        <v>0</v>
      </c>
    </row>
    <row r="568" spans="1:14" s="593" customFormat="1" ht="14.25" customHeight="1">
      <c r="A568" s="972"/>
      <c r="B568" s="967"/>
      <c r="C568" s="974"/>
      <c r="D568" s="967"/>
      <c r="E568" s="965"/>
      <c r="F568" s="953"/>
      <c r="G568" s="586" t="s">
        <v>14</v>
      </c>
      <c r="H568" s="552">
        <f t="shared" si="79"/>
        <v>5000</v>
      </c>
      <c r="I568" s="553">
        <f t="shared" si="80"/>
        <v>5000</v>
      </c>
      <c r="J568" s="553">
        <v>0</v>
      </c>
      <c r="K568" s="553">
        <v>5000</v>
      </c>
      <c r="L568" s="553">
        <f t="shared" si="81"/>
        <v>0</v>
      </c>
      <c r="M568" s="553">
        <v>0</v>
      </c>
      <c r="N568" s="553">
        <v>0</v>
      </c>
    </row>
    <row r="569" spans="1:14" s="504" customFormat="1" ht="14.25" customHeight="1">
      <c r="A569" s="959"/>
      <c r="B569" s="960"/>
      <c r="C569" s="961"/>
      <c r="D569" s="960"/>
      <c r="E569" s="966"/>
      <c r="F569" s="955"/>
      <c r="G569" s="611" t="s">
        <v>15</v>
      </c>
      <c r="H569" s="584">
        <f t="shared" si="79"/>
        <v>5000</v>
      </c>
      <c r="I569" s="585">
        <f t="shared" si="80"/>
        <v>5000</v>
      </c>
      <c r="J569" s="585">
        <f>J567+J568</f>
        <v>0</v>
      </c>
      <c r="K569" s="585">
        <f>K567+K568</f>
        <v>5000</v>
      </c>
      <c r="L569" s="585">
        <f t="shared" si="81"/>
        <v>0</v>
      </c>
      <c r="M569" s="585">
        <f>M567+M568</f>
        <v>0</v>
      </c>
      <c r="N569" s="585">
        <f>N567+N568</f>
        <v>0</v>
      </c>
    </row>
    <row r="570" spans="1:14" s="593" customFormat="1" ht="14.25" customHeight="1">
      <c r="A570" s="972"/>
      <c r="B570" s="973"/>
      <c r="C570" s="974"/>
      <c r="D570" s="975"/>
      <c r="E570" s="964" t="s">
        <v>886</v>
      </c>
      <c r="F570" s="951"/>
      <c r="G570" s="586" t="s">
        <v>13</v>
      </c>
      <c r="H570" s="552">
        <f t="shared" si="79"/>
        <v>0</v>
      </c>
      <c r="I570" s="553">
        <f t="shared" si="80"/>
        <v>0</v>
      </c>
      <c r="J570" s="553">
        <v>0</v>
      </c>
      <c r="K570" s="553">
        <v>0</v>
      </c>
      <c r="L570" s="553">
        <f t="shared" si="81"/>
        <v>0</v>
      </c>
      <c r="M570" s="553">
        <v>0</v>
      </c>
      <c r="N570" s="553">
        <v>0</v>
      </c>
    </row>
    <row r="571" spans="1:14" s="593" customFormat="1" ht="14.25" customHeight="1">
      <c r="A571" s="972"/>
      <c r="B571" s="967"/>
      <c r="C571" s="974"/>
      <c r="D571" s="967"/>
      <c r="E571" s="965"/>
      <c r="F571" s="953"/>
      <c r="G571" s="586" t="s">
        <v>14</v>
      </c>
      <c r="H571" s="552">
        <f t="shared" si="79"/>
        <v>15000</v>
      </c>
      <c r="I571" s="553">
        <f t="shared" si="80"/>
        <v>15000</v>
      </c>
      <c r="J571" s="553">
        <v>0</v>
      </c>
      <c r="K571" s="553">
        <v>15000</v>
      </c>
      <c r="L571" s="553">
        <f t="shared" si="81"/>
        <v>0</v>
      </c>
      <c r="M571" s="553">
        <v>0</v>
      </c>
      <c r="N571" s="553">
        <v>0</v>
      </c>
    </row>
    <row r="572" spans="1:14" s="504" customFormat="1" ht="14.25" customHeight="1">
      <c r="A572" s="959"/>
      <c r="B572" s="960"/>
      <c r="C572" s="961"/>
      <c r="D572" s="960"/>
      <c r="E572" s="966"/>
      <c r="F572" s="955"/>
      <c r="G572" s="611" t="s">
        <v>15</v>
      </c>
      <c r="H572" s="584">
        <f t="shared" si="79"/>
        <v>15000</v>
      </c>
      <c r="I572" s="585">
        <f t="shared" si="80"/>
        <v>15000</v>
      </c>
      <c r="J572" s="585">
        <f>J570+J571</f>
        <v>0</v>
      </c>
      <c r="K572" s="585">
        <f>K570+K571</f>
        <v>15000</v>
      </c>
      <c r="L572" s="585">
        <f t="shared" si="81"/>
        <v>0</v>
      </c>
      <c r="M572" s="585">
        <f>M570+M571</f>
        <v>0</v>
      </c>
      <c r="N572" s="585">
        <f>N570+N571</f>
        <v>0</v>
      </c>
    </row>
    <row r="573" spans="1:14" s="593" customFormat="1" ht="14.25" customHeight="1">
      <c r="A573" s="972"/>
      <c r="B573" s="973"/>
      <c r="C573" s="974"/>
      <c r="D573" s="975"/>
      <c r="E573" s="964" t="s">
        <v>887</v>
      </c>
      <c r="F573" s="951"/>
      <c r="G573" s="586" t="s">
        <v>13</v>
      </c>
      <c r="H573" s="552">
        <f t="shared" si="79"/>
        <v>0</v>
      </c>
      <c r="I573" s="553">
        <f t="shared" si="80"/>
        <v>0</v>
      </c>
      <c r="J573" s="553">
        <v>0</v>
      </c>
      <c r="K573" s="553">
        <v>0</v>
      </c>
      <c r="L573" s="553">
        <f t="shared" si="81"/>
        <v>0</v>
      </c>
      <c r="M573" s="553">
        <v>0</v>
      </c>
      <c r="N573" s="553">
        <v>0</v>
      </c>
    </row>
    <row r="574" spans="1:14" s="593" customFormat="1" ht="14.25" customHeight="1">
      <c r="A574" s="972"/>
      <c r="B574" s="967"/>
      <c r="C574" s="974"/>
      <c r="D574" s="967"/>
      <c r="E574" s="965"/>
      <c r="F574" s="953"/>
      <c r="G574" s="586" t="s">
        <v>14</v>
      </c>
      <c r="H574" s="552">
        <f t="shared" si="79"/>
        <v>16900</v>
      </c>
      <c r="I574" s="553">
        <f t="shared" si="80"/>
        <v>16900</v>
      </c>
      <c r="J574" s="553">
        <v>0</v>
      </c>
      <c r="K574" s="553">
        <v>16900</v>
      </c>
      <c r="L574" s="553">
        <f t="shared" si="81"/>
        <v>0</v>
      </c>
      <c r="M574" s="553">
        <v>0</v>
      </c>
      <c r="N574" s="553">
        <v>0</v>
      </c>
    </row>
    <row r="575" spans="1:14" s="504" customFormat="1" ht="14.25" customHeight="1">
      <c r="A575" s="959"/>
      <c r="B575" s="960"/>
      <c r="C575" s="961"/>
      <c r="D575" s="960"/>
      <c r="E575" s="966"/>
      <c r="F575" s="955"/>
      <c r="G575" s="611" t="s">
        <v>15</v>
      </c>
      <c r="H575" s="584">
        <f t="shared" si="79"/>
        <v>16900</v>
      </c>
      <c r="I575" s="585">
        <f t="shared" si="80"/>
        <v>16900</v>
      </c>
      <c r="J575" s="585">
        <f>J573+J574</f>
        <v>0</v>
      </c>
      <c r="K575" s="585">
        <f>K573+K574</f>
        <v>16900</v>
      </c>
      <c r="L575" s="585">
        <f t="shared" si="81"/>
        <v>0</v>
      </c>
      <c r="M575" s="585">
        <f>M573+M574</f>
        <v>0</v>
      </c>
      <c r="N575" s="585">
        <f>N573+N574</f>
        <v>0</v>
      </c>
    </row>
    <row r="576" spans="1:14" s="593" customFormat="1" ht="14.25" customHeight="1">
      <c r="A576" s="972"/>
      <c r="B576" s="973"/>
      <c r="C576" s="974"/>
      <c r="D576" s="975"/>
      <c r="E576" s="964" t="s">
        <v>888</v>
      </c>
      <c r="F576" s="951"/>
      <c r="G576" s="586" t="s">
        <v>13</v>
      </c>
      <c r="H576" s="552">
        <f t="shared" si="79"/>
        <v>0</v>
      </c>
      <c r="I576" s="553">
        <f t="shared" si="80"/>
        <v>0</v>
      </c>
      <c r="J576" s="553">
        <v>0</v>
      </c>
      <c r="K576" s="553">
        <v>0</v>
      </c>
      <c r="L576" s="553">
        <f t="shared" si="81"/>
        <v>0</v>
      </c>
      <c r="M576" s="553">
        <v>0</v>
      </c>
      <c r="N576" s="553">
        <v>0</v>
      </c>
    </row>
    <row r="577" spans="1:14" s="593" customFormat="1" ht="14.25" customHeight="1">
      <c r="A577" s="972"/>
      <c r="B577" s="967"/>
      <c r="C577" s="974"/>
      <c r="D577" s="967"/>
      <c r="E577" s="965"/>
      <c r="F577" s="953"/>
      <c r="G577" s="586" t="s">
        <v>14</v>
      </c>
      <c r="H577" s="552">
        <f t="shared" si="79"/>
        <v>15600</v>
      </c>
      <c r="I577" s="553">
        <f t="shared" si="80"/>
        <v>15600</v>
      </c>
      <c r="J577" s="553">
        <v>0</v>
      </c>
      <c r="K577" s="553">
        <v>15600</v>
      </c>
      <c r="L577" s="553">
        <f t="shared" si="81"/>
        <v>0</v>
      </c>
      <c r="M577" s="553">
        <v>0</v>
      </c>
      <c r="N577" s="553">
        <v>0</v>
      </c>
    </row>
    <row r="578" spans="1:14" s="504" customFormat="1" ht="14.25" customHeight="1">
      <c r="A578" s="959"/>
      <c r="B578" s="960"/>
      <c r="C578" s="961"/>
      <c r="D578" s="960"/>
      <c r="E578" s="966"/>
      <c r="F578" s="955"/>
      <c r="G578" s="611" t="s">
        <v>15</v>
      </c>
      <c r="H578" s="584">
        <f t="shared" si="79"/>
        <v>15600</v>
      </c>
      <c r="I578" s="585">
        <f t="shared" si="80"/>
        <v>15600</v>
      </c>
      <c r="J578" s="585">
        <f>J576+J577</f>
        <v>0</v>
      </c>
      <c r="K578" s="585">
        <f>K576+K577</f>
        <v>15600</v>
      </c>
      <c r="L578" s="585">
        <f t="shared" si="81"/>
        <v>0</v>
      </c>
      <c r="M578" s="585">
        <f>M576+M577</f>
        <v>0</v>
      </c>
      <c r="N578" s="585">
        <f>N576+N577</f>
        <v>0</v>
      </c>
    </row>
    <row r="579" spans="1:14" s="593" customFormat="1" ht="14.25" customHeight="1">
      <c r="A579" s="972"/>
      <c r="B579" s="973"/>
      <c r="C579" s="974"/>
      <c r="D579" s="975"/>
      <c r="E579" s="964" t="s">
        <v>889</v>
      </c>
      <c r="F579" s="951"/>
      <c r="G579" s="586" t="s">
        <v>13</v>
      </c>
      <c r="H579" s="552">
        <f t="shared" si="79"/>
        <v>0</v>
      </c>
      <c r="I579" s="553">
        <f t="shared" si="80"/>
        <v>0</v>
      </c>
      <c r="J579" s="553">
        <v>0</v>
      </c>
      <c r="K579" s="553">
        <v>0</v>
      </c>
      <c r="L579" s="553">
        <f t="shared" si="81"/>
        <v>0</v>
      </c>
      <c r="M579" s="553">
        <v>0</v>
      </c>
      <c r="N579" s="553">
        <v>0</v>
      </c>
    </row>
    <row r="580" spans="1:14" s="593" customFormat="1" ht="14.25" customHeight="1">
      <c r="A580" s="972"/>
      <c r="B580" s="967"/>
      <c r="C580" s="974"/>
      <c r="D580" s="967"/>
      <c r="E580" s="965"/>
      <c r="F580" s="953"/>
      <c r="G580" s="586" t="s">
        <v>14</v>
      </c>
      <c r="H580" s="552">
        <f t="shared" si="79"/>
        <v>10000</v>
      </c>
      <c r="I580" s="553">
        <f t="shared" si="80"/>
        <v>10000</v>
      </c>
      <c r="J580" s="553">
        <v>0</v>
      </c>
      <c r="K580" s="553">
        <v>10000</v>
      </c>
      <c r="L580" s="553">
        <f t="shared" si="81"/>
        <v>0</v>
      </c>
      <c r="M580" s="553">
        <v>0</v>
      </c>
      <c r="N580" s="553">
        <v>0</v>
      </c>
    </row>
    <row r="581" spans="1:14" s="504" customFormat="1" ht="14.25" customHeight="1">
      <c r="A581" s="959"/>
      <c r="B581" s="960"/>
      <c r="C581" s="961"/>
      <c r="D581" s="960"/>
      <c r="E581" s="966"/>
      <c r="F581" s="955"/>
      <c r="G581" s="611" t="s">
        <v>15</v>
      </c>
      <c r="H581" s="584">
        <f t="shared" si="79"/>
        <v>10000</v>
      </c>
      <c r="I581" s="585">
        <f t="shared" si="80"/>
        <v>10000</v>
      </c>
      <c r="J581" s="585">
        <f>J579+J580</f>
        <v>0</v>
      </c>
      <c r="K581" s="585">
        <f>K579+K580</f>
        <v>10000</v>
      </c>
      <c r="L581" s="585">
        <f t="shared" si="81"/>
        <v>0</v>
      </c>
      <c r="M581" s="585">
        <f>M579+M580</f>
        <v>0</v>
      </c>
      <c r="N581" s="585">
        <f>N579+N580</f>
        <v>0</v>
      </c>
    </row>
    <row r="582" spans="1:14" s="593" customFormat="1" ht="14.25" customHeight="1">
      <c r="A582" s="972"/>
      <c r="B582" s="973"/>
      <c r="C582" s="974"/>
      <c r="D582" s="975"/>
      <c r="E582" s="964" t="s">
        <v>890</v>
      </c>
      <c r="F582" s="951"/>
      <c r="G582" s="586" t="s">
        <v>13</v>
      </c>
      <c r="H582" s="552">
        <f t="shared" si="79"/>
        <v>0</v>
      </c>
      <c r="I582" s="553">
        <f t="shared" si="80"/>
        <v>0</v>
      </c>
      <c r="J582" s="553">
        <v>0</v>
      </c>
      <c r="K582" s="553">
        <v>0</v>
      </c>
      <c r="L582" s="553">
        <f t="shared" si="81"/>
        <v>0</v>
      </c>
      <c r="M582" s="553">
        <v>0</v>
      </c>
      <c r="N582" s="553">
        <v>0</v>
      </c>
    </row>
    <row r="583" spans="1:14" s="593" customFormat="1" ht="14.25" customHeight="1">
      <c r="A583" s="972"/>
      <c r="B583" s="967"/>
      <c r="C583" s="974"/>
      <c r="D583" s="967"/>
      <c r="E583" s="965"/>
      <c r="F583" s="953"/>
      <c r="G583" s="586" t="s">
        <v>14</v>
      </c>
      <c r="H583" s="552">
        <f t="shared" si="79"/>
        <v>7000</v>
      </c>
      <c r="I583" s="553">
        <f t="shared" si="80"/>
        <v>7000</v>
      </c>
      <c r="J583" s="553">
        <v>0</v>
      </c>
      <c r="K583" s="553">
        <v>7000</v>
      </c>
      <c r="L583" s="553">
        <f t="shared" si="81"/>
        <v>0</v>
      </c>
      <c r="M583" s="553">
        <v>0</v>
      </c>
      <c r="N583" s="553">
        <v>0</v>
      </c>
    </row>
    <row r="584" spans="1:14" s="504" customFormat="1" ht="14.25" customHeight="1">
      <c r="A584" s="959"/>
      <c r="B584" s="960"/>
      <c r="C584" s="961"/>
      <c r="D584" s="960"/>
      <c r="E584" s="966"/>
      <c r="F584" s="955"/>
      <c r="G584" s="611" t="s">
        <v>15</v>
      </c>
      <c r="H584" s="584">
        <f t="shared" si="79"/>
        <v>7000</v>
      </c>
      <c r="I584" s="585">
        <f t="shared" si="80"/>
        <v>7000</v>
      </c>
      <c r="J584" s="585">
        <f>J582+J583</f>
        <v>0</v>
      </c>
      <c r="K584" s="585">
        <f>K582+K583</f>
        <v>7000</v>
      </c>
      <c r="L584" s="585">
        <f t="shared" si="81"/>
        <v>0</v>
      </c>
      <c r="M584" s="585">
        <f>M582+M583</f>
        <v>0</v>
      </c>
      <c r="N584" s="585">
        <f>N582+N583</f>
        <v>0</v>
      </c>
    </row>
    <row r="585" spans="1:14" s="593" customFormat="1" ht="14.25" customHeight="1">
      <c r="A585" s="972"/>
      <c r="B585" s="973"/>
      <c r="C585" s="974"/>
      <c r="D585" s="975"/>
      <c r="E585" s="964" t="s">
        <v>891</v>
      </c>
      <c r="F585" s="951"/>
      <c r="G585" s="586" t="s">
        <v>13</v>
      </c>
      <c r="H585" s="552">
        <f t="shared" si="79"/>
        <v>0</v>
      </c>
      <c r="I585" s="553">
        <f t="shared" si="80"/>
        <v>0</v>
      </c>
      <c r="J585" s="553">
        <v>0</v>
      </c>
      <c r="K585" s="553">
        <v>0</v>
      </c>
      <c r="L585" s="553">
        <f t="shared" si="81"/>
        <v>0</v>
      </c>
      <c r="M585" s="553">
        <v>0</v>
      </c>
      <c r="N585" s="553">
        <v>0</v>
      </c>
    </row>
    <row r="586" spans="1:14" s="593" customFormat="1" ht="14.25" customHeight="1">
      <c r="A586" s="972"/>
      <c r="B586" s="967"/>
      <c r="C586" s="974"/>
      <c r="D586" s="967"/>
      <c r="E586" s="965"/>
      <c r="F586" s="953"/>
      <c r="G586" s="586" t="s">
        <v>14</v>
      </c>
      <c r="H586" s="552">
        <f t="shared" si="79"/>
        <v>8000</v>
      </c>
      <c r="I586" s="553">
        <f t="shared" si="80"/>
        <v>8000</v>
      </c>
      <c r="J586" s="553">
        <v>0</v>
      </c>
      <c r="K586" s="553">
        <v>8000</v>
      </c>
      <c r="L586" s="553">
        <f t="shared" si="81"/>
        <v>0</v>
      </c>
      <c r="M586" s="553">
        <v>0</v>
      </c>
      <c r="N586" s="553">
        <v>0</v>
      </c>
    </row>
    <row r="587" spans="1:14" s="504" customFormat="1" ht="14.25" customHeight="1">
      <c r="A587" s="959"/>
      <c r="B587" s="960"/>
      <c r="C587" s="961"/>
      <c r="D587" s="960"/>
      <c r="E587" s="966"/>
      <c r="F587" s="955"/>
      <c r="G587" s="611" t="s">
        <v>15</v>
      </c>
      <c r="H587" s="584">
        <f t="shared" si="79"/>
        <v>8000</v>
      </c>
      <c r="I587" s="585">
        <f t="shared" si="80"/>
        <v>8000</v>
      </c>
      <c r="J587" s="585">
        <f>J585+J586</f>
        <v>0</v>
      </c>
      <c r="K587" s="585">
        <f>K585+K586</f>
        <v>8000</v>
      </c>
      <c r="L587" s="585">
        <f t="shared" si="81"/>
        <v>0</v>
      </c>
      <c r="M587" s="585">
        <f>M585+M586</f>
        <v>0</v>
      </c>
      <c r="N587" s="585">
        <f>N585+N586</f>
        <v>0</v>
      </c>
    </row>
    <row r="588" spans="1:14" s="593" customFormat="1" ht="14.25" customHeight="1">
      <c r="A588" s="972"/>
      <c r="B588" s="973"/>
      <c r="C588" s="974"/>
      <c r="D588" s="975"/>
      <c r="E588" s="964" t="s">
        <v>892</v>
      </c>
      <c r="F588" s="951"/>
      <c r="G588" s="586" t="s">
        <v>13</v>
      </c>
      <c r="H588" s="552">
        <f t="shared" si="79"/>
        <v>0</v>
      </c>
      <c r="I588" s="553">
        <f t="shared" si="80"/>
        <v>0</v>
      </c>
      <c r="J588" s="553">
        <v>0</v>
      </c>
      <c r="K588" s="553">
        <v>0</v>
      </c>
      <c r="L588" s="553">
        <f t="shared" si="81"/>
        <v>0</v>
      </c>
      <c r="M588" s="553">
        <v>0</v>
      </c>
      <c r="N588" s="553">
        <v>0</v>
      </c>
    </row>
    <row r="589" spans="1:14" s="593" customFormat="1" ht="14.25" customHeight="1">
      <c r="A589" s="972"/>
      <c r="B589" s="967"/>
      <c r="C589" s="974"/>
      <c r="D589" s="967"/>
      <c r="E589" s="965"/>
      <c r="F589" s="953"/>
      <c r="G589" s="586" t="s">
        <v>14</v>
      </c>
      <c r="H589" s="552">
        <f t="shared" si="79"/>
        <v>8000</v>
      </c>
      <c r="I589" s="553">
        <f t="shared" si="80"/>
        <v>8000</v>
      </c>
      <c r="J589" s="553">
        <v>0</v>
      </c>
      <c r="K589" s="553">
        <v>8000</v>
      </c>
      <c r="L589" s="553">
        <f t="shared" si="81"/>
        <v>0</v>
      </c>
      <c r="M589" s="553">
        <v>0</v>
      </c>
      <c r="N589" s="553">
        <v>0</v>
      </c>
    </row>
    <row r="590" spans="1:14" s="504" customFormat="1" ht="14.25" customHeight="1">
      <c r="A590" s="959"/>
      <c r="B590" s="960"/>
      <c r="C590" s="961"/>
      <c r="D590" s="960"/>
      <c r="E590" s="966"/>
      <c r="F590" s="955"/>
      <c r="G590" s="611" t="s">
        <v>15</v>
      </c>
      <c r="H590" s="584">
        <f t="shared" si="79"/>
        <v>8000</v>
      </c>
      <c r="I590" s="585">
        <f t="shared" si="80"/>
        <v>8000</v>
      </c>
      <c r="J590" s="585">
        <f>J588+J589</f>
        <v>0</v>
      </c>
      <c r="K590" s="585">
        <f>K588+K589</f>
        <v>8000</v>
      </c>
      <c r="L590" s="585">
        <f t="shared" si="81"/>
        <v>0</v>
      </c>
      <c r="M590" s="585">
        <f>M588+M589</f>
        <v>0</v>
      </c>
      <c r="N590" s="585">
        <f>N588+N589</f>
        <v>0</v>
      </c>
    </row>
    <row r="591" spans="1:14" s="593" customFormat="1" ht="14.25" customHeight="1">
      <c r="A591" s="972"/>
      <c r="B591" s="973"/>
      <c r="C591" s="974"/>
      <c r="D591" s="975"/>
      <c r="E591" s="964" t="s">
        <v>893</v>
      </c>
      <c r="F591" s="951"/>
      <c r="G591" s="586" t="s">
        <v>13</v>
      </c>
      <c r="H591" s="552">
        <f t="shared" si="79"/>
        <v>0</v>
      </c>
      <c r="I591" s="553">
        <f t="shared" si="80"/>
        <v>0</v>
      </c>
      <c r="J591" s="553">
        <v>0</v>
      </c>
      <c r="K591" s="553">
        <v>0</v>
      </c>
      <c r="L591" s="553">
        <f t="shared" si="81"/>
        <v>0</v>
      </c>
      <c r="M591" s="553">
        <v>0</v>
      </c>
      <c r="N591" s="553">
        <v>0</v>
      </c>
    </row>
    <row r="592" spans="1:14" s="593" customFormat="1" ht="14.25" customHeight="1">
      <c r="A592" s="972"/>
      <c r="B592" s="967"/>
      <c r="C592" s="974"/>
      <c r="D592" s="967"/>
      <c r="E592" s="965"/>
      <c r="F592" s="953"/>
      <c r="G592" s="586" t="s">
        <v>14</v>
      </c>
      <c r="H592" s="552">
        <f t="shared" si="79"/>
        <v>7000</v>
      </c>
      <c r="I592" s="553">
        <f t="shared" si="80"/>
        <v>7000</v>
      </c>
      <c r="J592" s="553">
        <v>0</v>
      </c>
      <c r="K592" s="553">
        <v>7000</v>
      </c>
      <c r="L592" s="553">
        <f t="shared" si="81"/>
        <v>0</v>
      </c>
      <c r="M592" s="553">
        <v>0</v>
      </c>
      <c r="N592" s="553">
        <v>0</v>
      </c>
    </row>
    <row r="593" spans="1:14" s="504" customFormat="1" ht="14.25" customHeight="1">
      <c r="A593" s="959"/>
      <c r="B593" s="960"/>
      <c r="C593" s="961"/>
      <c r="D593" s="960"/>
      <c r="E593" s="966"/>
      <c r="F593" s="955"/>
      <c r="G593" s="611" t="s">
        <v>15</v>
      </c>
      <c r="H593" s="584">
        <f t="shared" si="79"/>
        <v>7000</v>
      </c>
      <c r="I593" s="585">
        <f t="shared" si="80"/>
        <v>7000</v>
      </c>
      <c r="J593" s="585">
        <f>J591+J592</f>
        <v>0</v>
      </c>
      <c r="K593" s="585">
        <f>K591+K592</f>
        <v>7000</v>
      </c>
      <c r="L593" s="585">
        <f t="shared" si="81"/>
        <v>0</v>
      </c>
      <c r="M593" s="585">
        <f>M591+M592</f>
        <v>0</v>
      </c>
      <c r="N593" s="585">
        <f>N591+N592</f>
        <v>0</v>
      </c>
    </row>
    <row r="594" spans="1:14" s="504" customFormat="1" ht="15" customHeight="1" hidden="1">
      <c r="A594" s="959"/>
      <c r="B594" s="962"/>
      <c r="C594" s="970" t="s">
        <v>257</v>
      </c>
      <c r="D594" s="971"/>
      <c r="E594" s="976" t="s">
        <v>894</v>
      </c>
      <c r="F594" s="980"/>
      <c r="G594" s="586" t="s">
        <v>13</v>
      </c>
      <c r="H594" s="552">
        <f t="shared" si="79"/>
        <v>74000</v>
      </c>
      <c r="I594" s="553">
        <f t="shared" si="80"/>
        <v>74000</v>
      </c>
      <c r="J594" s="553">
        <v>0</v>
      </c>
      <c r="K594" s="553">
        <v>74000</v>
      </c>
      <c r="L594" s="553">
        <f t="shared" si="81"/>
        <v>0</v>
      </c>
      <c r="M594" s="553">
        <v>0</v>
      </c>
      <c r="N594" s="553">
        <v>0</v>
      </c>
    </row>
    <row r="595" spans="1:14" s="504" customFormat="1" ht="15" customHeight="1" hidden="1">
      <c r="A595" s="959"/>
      <c r="B595" s="962"/>
      <c r="C595" s="961"/>
      <c r="D595" s="963"/>
      <c r="E595" s="981"/>
      <c r="F595" s="982"/>
      <c r="G595" s="586" t="s">
        <v>14</v>
      </c>
      <c r="H595" s="552">
        <f t="shared" si="79"/>
        <v>0</v>
      </c>
      <c r="I595" s="553">
        <f t="shared" si="80"/>
        <v>0</v>
      </c>
      <c r="J595" s="553">
        <v>0</v>
      </c>
      <c r="K595" s="553">
        <v>0</v>
      </c>
      <c r="L595" s="553">
        <f t="shared" si="81"/>
        <v>0</v>
      </c>
      <c r="M595" s="553">
        <v>0</v>
      </c>
      <c r="N595" s="553">
        <v>0</v>
      </c>
    </row>
    <row r="596" spans="1:14" s="504" customFormat="1" ht="15" customHeight="1" hidden="1">
      <c r="A596" s="959"/>
      <c r="B596" s="962"/>
      <c r="C596" s="961"/>
      <c r="D596" s="963"/>
      <c r="E596" s="983"/>
      <c r="F596" s="984"/>
      <c r="G596" s="611" t="s">
        <v>15</v>
      </c>
      <c r="H596" s="584">
        <f t="shared" si="79"/>
        <v>74000</v>
      </c>
      <c r="I596" s="585">
        <f t="shared" si="80"/>
        <v>74000</v>
      </c>
      <c r="J596" s="585">
        <f>J594+J595</f>
        <v>0</v>
      </c>
      <c r="K596" s="585">
        <f>K594+K595</f>
        <v>74000</v>
      </c>
      <c r="L596" s="585">
        <f t="shared" si="81"/>
        <v>0</v>
      </c>
      <c r="M596" s="585">
        <f>M594+M595</f>
        <v>0</v>
      </c>
      <c r="N596" s="585">
        <f>N594+N595</f>
        <v>0</v>
      </c>
    </row>
    <row r="597" spans="1:14" s="593" customFormat="1" ht="15" customHeight="1" hidden="1">
      <c r="A597" s="972"/>
      <c r="B597" s="973"/>
      <c r="C597" s="974"/>
      <c r="D597" s="975"/>
      <c r="E597" s="976" t="s">
        <v>895</v>
      </c>
      <c r="F597" s="951"/>
      <c r="G597" s="586" t="s">
        <v>13</v>
      </c>
      <c r="H597" s="552">
        <f t="shared" si="79"/>
        <v>100000</v>
      </c>
      <c r="I597" s="553">
        <f t="shared" si="80"/>
        <v>100000</v>
      </c>
      <c r="J597" s="553">
        <v>100000</v>
      </c>
      <c r="K597" s="553">
        <v>0</v>
      </c>
      <c r="L597" s="553">
        <f t="shared" si="81"/>
        <v>0</v>
      </c>
      <c r="M597" s="553">
        <v>0</v>
      </c>
      <c r="N597" s="553">
        <v>0</v>
      </c>
    </row>
    <row r="598" spans="1:14" s="593" customFormat="1" ht="15" customHeight="1" hidden="1">
      <c r="A598" s="972"/>
      <c r="B598" s="967"/>
      <c r="C598" s="974"/>
      <c r="D598" s="967"/>
      <c r="E598" s="965"/>
      <c r="F598" s="953"/>
      <c r="G598" s="586" t="s">
        <v>14</v>
      </c>
      <c r="H598" s="552">
        <f t="shared" si="79"/>
        <v>0</v>
      </c>
      <c r="I598" s="553">
        <f t="shared" si="80"/>
        <v>0</v>
      </c>
      <c r="J598" s="553">
        <v>0</v>
      </c>
      <c r="K598" s="553">
        <v>0</v>
      </c>
      <c r="L598" s="553">
        <f t="shared" si="81"/>
        <v>0</v>
      </c>
      <c r="M598" s="553">
        <v>0</v>
      </c>
      <c r="N598" s="553">
        <v>0</v>
      </c>
    </row>
    <row r="599" spans="1:14" s="504" customFormat="1" ht="15" customHeight="1" hidden="1">
      <c r="A599" s="959"/>
      <c r="B599" s="960"/>
      <c r="C599" s="961"/>
      <c r="D599" s="960"/>
      <c r="E599" s="966"/>
      <c r="F599" s="955"/>
      <c r="G599" s="611" t="s">
        <v>15</v>
      </c>
      <c r="H599" s="584">
        <f t="shared" si="79"/>
        <v>100000</v>
      </c>
      <c r="I599" s="585">
        <f t="shared" si="80"/>
        <v>100000</v>
      </c>
      <c r="J599" s="585">
        <f>J597+J598</f>
        <v>100000</v>
      </c>
      <c r="K599" s="585">
        <f>K597+K598</f>
        <v>0</v>
      </c>
      <c r="L599" s="585">
        <f t="shared" si="81"/>
        <v>0</v>
      </c>
      <c r="M599" s="585">
        <f>M597+M598</f>
        <v>0</v>
      </c>
      <c r="N599" s="585">
        <f>N597+N598</f>
        <v>0</v>
      </c>
    </row>
    <row r="600" spans="1:14" s="593" customFormat="1" ht="14.25" customHeight="1">
      <c r="A600" s="972"/>
      <c r="B600" s="973"/>
      <c r="C600" s="948" t="s">
        <v>257</v>
      </c>
      <c r="D600" s="949"/>
      <c r="E600" s="964" t="s">
        <v>896</v>
      </c>
      <c r="F600" s="951"/>
      <c r="G600" s="586" t="s">
        <v>13</v>
      </c>
      <c r="H600" s="552">
        <f t="shared" si="79"/>
        <v>0</v>
      </c>
      <c r="I600" s="553">
        <f t="shared" si="80"/>
        <v>0</v>
      </c>
      <c r="J600" s="553">
        <v>0</v>
      </c>
      <c r="K600" s="553">
        <v>0</v>
      </c>
      <c r="L600" s="553">
        <f t="shared" si="81"/>
        <v>0</v>
      </c>
      <c r="M600" s="553">
        <v>0</v>
      </c>
      <c r="N600" s="553">
        <v>0</v>
      </c>
    </row>
    <row r="601" spans="1:14" s="593" customFormat="1" ht="14.25" customHeight="1">
      <c r="A601" s="972"/>
      <c r="B601" s="967"/>
      <c r="C601" s="974"/>
      <c r="D601" s="967"/>
      <c r="E601" s="965"/>
      <c r="F601" s="953"/>
      <c r="G601" s="586" t="s">
        <v>14</v>
      </c>
      <c r="H601" s="552">
        <f t="shared" si="79"/>
        <v>289000</v>
      </c>
      <c r="I601" s="553">
        <f t="shared" si="80"/>
        <v>289000</v>
      </c>
      <c r="J601" s="553">
        <v>289000</v>
      </c>
      <c r="K601" s="553">
        <v>0</v>
      </c>
      <c r="L601" s="553">
        <f t="shared" si="81"/>
        <v>0</v>
      </c>
      <c r="M601" s="553">
        <v>0</v>
      </c>
      <c r="N601" s="553">
        <v>0</v>
      </c>
    </row>
    <row r="602" spans="1:14" s="504" customFormat="1" ht="14.25" customHeight="1">
      <c r="A602" s="977"/>
      <c r="B602" s="978"/>
      <c r="C602" s="979"/>
      <c r="D602" s="978"/>
      <c r="E602" s="966"/>
      <c r="F602" s="955"/>
      <c r="G602" s="613" t="s">
        <v>15</v>
      </c>
      <c r="H602" s="552">
        <f t="shared" si="79"/>
        <v>289000</v>
      </c>
      <c r="I602" s="553">
        <f t="shared" si="80"/>
        <v>289000</v>
      </c>
      <c r="J602" s="553">
        <f>J600+J601</f>
        <v>289000</v>
      </c>
      <c r="K602" s="553">
        <f>K600+K601</f>
        <v>0</v>
      </c>
      <c r="L602" s="553">
        <f t="shared" si="81"/>
        <v>0</v>
      </c>
      <c r="M602" s="553">
        <f>M600+M601</f>
        <v>0</v>
      </c>
      <c r="N602" s="553">
        <f>N600+N601</f>
        <v>0</v>
      </c>
    </row>
    <row r="603" spans="1:14" s="593" customFormat="1" ht="15" customHeight="1">
      <c r="A603" s="946"/>
      <c r="B603" s="947"/>
      <c r="C603" s="948"/>
      <c r="D603" s="949"/>
      <c r="E603" s="964" t="s">
        <v>897</v>
      </c>
      <c r="F603" s="951"/>
      <c r="G603" s="586" t="s">
        <v>13</v>
      </c>
      <c r="H603" s="552">
        <f>I603+L603</f>
        <v>0</v>
      </c>
      <c r="I603" s="553">
        <f>J603+K603</f>
        <v>0</v>
      </c>
      <c r="J603" s="553">
        <v>0</v>
      </c>
      <c r="K603" s="553">
        <v>0</v>
      </c>
      <c r="L603" s="553">
        <f>M603+N603</f>
        <v>0</v>
      </c>
      <c r="M603" s="553">
        <v>0</v>
      </c>
      <c r="N603" s="553">
        <v>0</v>
      </c>
    </row>
    <row r="604" spans="1:14" s="593" customFormat="1" ht="15" customHeight="1">
      <c r="A604" s="972"/>
      <c r="B604" s="967"/>
      <c r="C604" s="974"/>
      <c r="D604" s="967"/>
      <c r="E604" s="965"/>
      <c r="F604" s="953"/>
      <c r="G604" s="586" t="s">
        <v>14</v>
      </c>
      <c r="H604" s="552">
        <f>I604+L604</f>
        <v>15903</v>
      </c>
      <c r="I604" s="553">
        <f>J604+K604</f>
        <v>15903</v>
      </c>
      <c r="J604" s="553">
        <v>11110</v>
      </c>
      <c r="K604" s="553">
        <v>4793</v>
      </c>
      <c r="L604" s="553">
        <f>M604+N604</f>
        <v>0</v>
      </c>
      <c r="M604" s="553">
        <v>0</v>
      </c>
      <c r="N604" s="553">
        <v>0</v>
      </c>
    </row>
    <row r="605" spans="1:14" s="504" customFormat="1" ht="15" customHeight="1">
      <c r="A605" s="959"/>
      <c r="B605" s="960"/>
      <c r="C605" s="961"/>
      <c r="D605" s="960"/>
      <c r="E605" s="966"/>
      <c r="F605" s="955"/>
      <c r="G605" s="611" t="s">
        <v>15</v>
      </c>
      <c r="H605" s="584">
        <f>I605+L605</f>
        <v>15903</v>
      </c>
      <c r="I605" s="585">
        <f>J605+K605</f>
        <v>15903</v>
      </c>
      <c r="J605" s="585">
        <f>J603+J604</f>
        <v>11110</v>
      </c>
      <c r="K605" s="585">
        <f>K603+K604</f>
        <v>4793</v>
      </c>
      <c r="L605" s="585">
        <f>M605+N605</f>
        <v>0</v>
      </c>
      <c r="M605" s="585">
        <f>M603+M604</f>
        <v>0</v>
      </c>
      <c r="N605" s="585">
        <f>N603+N604</f>
        <v>0</v>
      </c>
    </row>
    <row r="606" spans="1:14" s="504" customFormat="1" ht="15" customHeight="1">
      <c r="A606" s="959"/>
      <c r="B606" s="962"/>
      <c r="C606" s="970" t="s">
        <v>808</v>
      </c>
      <c r="D606" s="971"/>
      <c r="E606" s="976" t="s">
        <v>898</v>
      </c>
      <c r="F606" s="951"/>
      <c r="G606" s="586" t="s">
        <v>13</v>
      </c>
      <c r="H606" s="552">
        <f t="shared" si="79"/>
        <v>925000</v>
      </c>
      <c r="I606" s="553">
        <f t="shared" si="80"/>
        <v>175000</v>
      </c>
      <c r="J606" s="553">
        <v>0</v>
      </c>
      <c r="K606" s="553">
        <v>175000</v>
      </c>
      <c r="L606" s="553">
        <f t="shared" si="81"/>
        <v>750000</v>
      </c>
      <c r="M606" s="553">
        <v>0</v>
      </c>
      <c r="N606" s="553">
        <v>750000</v>
      </c>
    </row>
    <row r="607" spans="1:14" s="504" customFormat="1" ht="15" customHeight="1">
      <c r="A607" s="959"/>
      <c r="B607" s="967"/>
      <c r="C607" s="961"/>
      <c r="D607" s="967"/>
      <c r="E607" s="965"/>
      <c r="F607" s="953"/>
      <c r="G607" s="586" t="s">
        <v>14</v>
      </c>
      <c r="H607" s="552">
        <f t="shared" si="79"/>
        <v>228272</v>
      </c>
      <c r="I607" s="553">
        <f t="shared" si="80"/>
        <v>-55000</v>
      </c>
      <c r="J607" s="553">
        <v>0</v>
      </c>
      <c r="K607" s="553">
        <v>-55000</v>
      </c>
      <c r="L607" s="553">
        <f t="shared" si="81"/>
        <v>283272</v>
      </c>
      <c r="M607" s="553">
        <v>0</v>
      </c>
      <c r="N607" s="553">
        <v>283272</v>
      </c>
    </row>
    <row r="608" spans="1:14" s="504" customFormat="1" ht="15" customHeight="1">
      <c r="A608" s="959"/>
      <c r="B608" s="960"/>
      <c r="C608" s="961"/>
      <c r="D608" s="960"/>
      <c r="E608" s="966"/>
      <c r="F608" s="955"/>
      <c r="G608" s="611" t="s">
        <v>15</v>
      </c>
      <c r="H608" s="584">
        <f t="shared" si="79"/>
        <v>1153272</v>
      </c>
      <c r="I608" s="585">
        <f t="shared" si="80"/>
        <v>120000</v>
      </c>
      <c r="J608" s="585">
        <f>J606+J607</f>
        <v>0</v>
      </c>
      <c r="K608" s="585">
        <f>K606+K607</f>
        <v>120000</v>
      </c>
      <c r="L608" s="585">
        <f t="shared" si="81"/>
        <v>1033272</v>
      </c>
      <c r="M608" s="585">
        <f>M606+M607</f>
        <v>0</v>
      </c>
      <c r="N608" s="585">
        <f>N606+N607</f>
        <v>1033272</v>
      </c>
    </row>
    <row r="609" spans="1:14" s="593" customFormat="1" ht="15" customHeight="1" hidden="1">
      <c r="A609" s="972"/>
      <c r="B609" s="973"/>
      <c r="C609" s="948" t="s">
        <v>260</v>
      </c>
      <c r="D609" s="949"/>
      <c r="E609" s="964" t="s">
        <v>899</v>
      </c>
      <c r="F609" s="951"/>
      <c r="G609" s="586" t="s">
        <v>13</v>
      </c>
      <c r="H609" s="552">
        <f t="shared" si="79"/>
        <v>1050000</v>
      </c>
      <c r="I609" s="553">
        <f t="shared" si="80"/>
        <v>0</v>
      </c>
      <c r="J609" s="553">
        <v>0</v>
      </c>
      <c r="K609" s="553">
        <v>0</v>
      </c>
      <c r="L609" s="553">
        <f t="shared" si="81"/>
        <v>1050000</v>
      </c>
      <c r="M609" s="553">
        <v>0</v>
      </c>
      <c r="N609" s="553">
        <v>1050000</v>
      </c>
    </row>
    <row r="610" spans="1:14" s="593" customFormat="1" ht="15" customHeight="1" hidden="1">
      <c r="A610" s="972"/>
      <c r="B610" s="967"/>
      <c r="C610" s="974"/>
      <c r="D610" s="967"/>
      <c r="E610" s="965"/>
      <c r="F610" s="953"/>
      <c r="G610" s="586" t="s">
        <v>14</v>
      </c>
      <c r="H610" s="552">
        <f t="shared" si="79"/>
        <v>0</v>
      </c>
      <c r="I610" s="553">
        <f t="shared" si="80"/>
        <v>0</v>
      </c>
      <c r="J610" s="553">
        <v>0</v>
      </c>
      <c r="K610" s="553">
        <v>0</v>
      </c>
      <c r="L610" s="553">
        <f t="shared" si="81"/>
        <v>0</v>
      </c>
      <c r="M610" s="553">
        <v>0</v>
      </c>
      <c r="N610" s="553">
        <v>0</v>
      </c>
    </row>
    <row r="611" spans="1:14" s="504" customFormat="1" ht="15" customHeight="1" hidden="1">
      <c r="A611" s="959"/>
      <c r="B611" s="960"/>
      <c r="C611" s="961"/>
      <c r="D611" s="960"/>
      <c r="E611" s="966"/>
      <c r="F611" s="955"/>
      <c r="G611" s="611" t="s">
        <v>15</v>
      </c>
      <c r="H611" s="584">
        <f t="shared" si="79"/>
        <v>1050000</v>
      </c>
      <c r="I611" s="585">
        <f t="shared" si="80"/>
        <v>0</v>
      </c>
      <c r="J611" s="585">
        <f>J609+J610</f>
        <v>0</v>
      </c>
      <c r="K611" s="585">
        <f>K609+K610</f>
        <v>0</v>
      </c>
      <c r="L611" s="585">
        <f t="shared" si="81"/>
        <v>1050000</v>
      </c>
      <c r="M611" s="585">
        <f>M609+M610</f>
        <v>0</v>
      </c>
      <c r="N611" s="585">
        <f>N609+N610</f>
        <v>1050000</v>
      </c>
    </row>
    <row r="612" spans="1:14" s="504" customFormat="1" ht="15" customHeight="1">
      <c r="A612" s="959"/>
      <c r="B612" s="962"/>
      <c r="C612" s="970" t="s">
        <v>260</v>
      </c>
      <c r="D612" s="971"/>
      <c r="E612" s="964" t="s">
        <v>900</v>
      </c>
      <c r="F612" s="951"/>
      <c r="G612" s="586" t="s">
        <v>13</v>
      </c>
      <c r="H612" s="552">
        <f t="shared" si="79"/>
        <v>356000</v>
      </c>
      <c r="I612" s="553">
        <f t="shared" si="80"/>
        <v>356000</v>
      </c>
      <c r="J612" s="553">
        <v>0</v>
      </c>
      <c r="K612" s="553">
        <v>356000</v>
      </c>
      <c r="L612" s="553">
        <f t="shared" si="81"/>
        <v>0</v>
      </c>
      <c r="M612" s="553">
        <v>0</v>
      </c>
      <c r="N612" s="553">
        <v>0</v>
      </c>
    </row>
    <row r="613" spans="1:14" s="504" customFormat="1" ht="15" customHeight="1">
      <c r="A613" s="959"/>
      <c r="B613" s="967"/>
      <c r="C613" s="961"/>
      <c r="D613" s="967"/>
      <c r="E613" s="965"/>
      <c r="F613" s="953"/>
      <c r="G613" s="586" t="s">
        <v>14</v>
      </c>
      <c r="H613" s="552">
        <f t="shared" si="79"/>
        <v>70000</v>
      </c>
      <c r="I613" s="553">
        <f t="shared" si="80"/>
        <v>70000</v>
      </c>
      <c r="J613" s="553">
        <v>0</v>
      </c>
      <c r="K613" s="553">
        <v>70000</v>
      </c>
      <c r="L613" s="553">
        <f t="shared" si="81"/>
        <v>0</v>
      </c>
      <c r="M613" s="553">
        <v>0</v>
      </c>
      <c r="N613" s="553">
        <v>0</v>
      </c>
    </row>
    <row r="614" spans="1:14" s="504" customFormat="1" ht="15" customHeight="1">
      <c r="A614" s="959"/>
      <c r="B614" s="960"/>
      <c r="C614" s="961"/>
      <c r="D614" s="960"/>
      <c r="E614" s="966"/>
      <c r="F614" s="955"/>
      <c r="G614" s="611" t="s">
        <v>15</v>
      </c>
      <c r="H614" s="584">
        <f t="shared" si="79"/>
        <v>426000</v>
      </c>
      <c r="I614" s="585">
        <f t="shared" si="80"/>
        <v>426000</v>
      </c>
      <c r="J614" s="585">
        <f>J612+J613</f>
        <v>0</v>
      </c>
      <c r="K614" s="585">
        <f>K612+K613</f>
        <v>426000</v>
      </c>
      <c r="L614" s="585">
        <f t="shared" si="81"/>
        <v>0</v>
      </c>
      <c r="M614" s="585">
        <f>M612+M613</f>
        <v>0</v>
      </c>
      <c r="N614" s="585">
        <f>N612+N613</f>
        <v>0</v>
      </c>
    </row>
    <row r="615" spans="1:14" s="593" customFormat="1" ht="15" customHeight="1" hidden="1">
      <c r="A615" s="972"/>
      <c r="B615" s="973"/>
      <c r="C615" s="974"/>
      <c r="D615" s="975"/>
      <c r="E615" s="964" t="s">
        <v>901</v>
      </c>
      <c r="F615" s="951"/>
      <c r="G615" s="586" t="s">
        <v>13</v>
      </c>
      <c r="H615" s="552">
        <f t="shared" si="79"/>
        <v>200000</v>
      </c>
      <c r="I615" s="553">
        <f t="shared" si="80"/>
        <v>200000</v>
      </c>
      <c r="J615" s="553">
        <v>0</v>
      </c>
      <c r="K615" s="553">
        <v>200000</v>
      </c>
      <c r="L615" s="553">
        <f t="shared" si="81"/>
        <v>0</v>
      </c>
      <c r="M615" s="553">
        <v>0</v>
      </c>
      <c r="N615" s="553">
        <v>0</v>
      </c>
    </row>
    <row r="616" spans="1:14" s="593" customFormat="1" ht="15" customHeight="1" hidden="1">
      <c r="A616" s="972"/>
      <c r="B616" s="967"/>
      <c r="C616" s="974"/>
      <c r="D616" s="967"/>
      <c r="E616" s="965"/>
      <c r="F616" s="953"/>
      <c r="G616" s="586" t="s">
        <v>14</v>
      </c>
      <c r="H616" s="552">
        <f t="shared" si="79"/>
        <v>0</v>
      </c>
      <c r="I616" s="553">
        <f t="shared" si="80"/>
        <v>0</v>
      </c>
      <c r="J616" s="553">
        <v>0</v>
      </c>
      <c r="K616" s="553">
        <v>0</v>
      </c>
      <c r="L616" s="553">
        <f t="shared" si="81"/>
        <v>0</v>
      </c>
      <c r="M616" s="553">
        <v>0</v>
      </c>
      <c r="N616" s="553">
        <v>0</v>
      </c>
    </row>
    <row r="617" spans="1:14" s="504" customFormat="1" ht="15" customHeight="1" hidden="1">
      <c r="A617" s="959"/>
      <c r="B617" s="960"/>
      <c r="C617" s="961"/>
      <c r="D617" s="960"/>
      <c r="E617" s="966"/>
      <c r="F617" s="955"/>
      <c r="G617" s="611" t="s">
        <v>15</v>
      </c>
      <c r="H617" s="584">
        <f t="shared" si="79"/>
        <v>200000</v>
      </c>
      <c r="I617" s="585">
        <f t="shared" si="80"/>
        <v>200000</v>
      </c>
      <c r="J617" s="585">
        <f>J615+J616</f>
        <v>0</v>
      </c>
      <c r="K617" s="585">
        <f>K615+K616</f>
        <v>200000</v>
      </c>
      <c r="L617" s="585">
        <f t="shared" si="81"/>
        <v>0</v>
      </c>
      <c r="M617" s="585">
        <f>M615+M616</f>
        <v>0</v>
      </c>
      <c r="N617" s="585">
        <f>N615+N616</f>
        <v>0</v>
      </c>
    </row>
    <row r="618" spans="1:14" s="593" customFormat="1" ht="15" customHeight="1" hidden="1">
      <c r="A618" s="972"/>
      <c r="B618" s="973"/>
      <c r="C618" s="974"/>
      <c r="D618" s="975"/>
      <c r="E618" s="964" t="s">
        <v>902</v>
      </c>
      <c r="F618" s="951"/>
      <c r="G618" s="586" t="s">
        <v>13</v>
      </c>
      <c r="H618" s="552">
        <f t="shared" si="79"/>
        <v>50000</v>
      </c>
      <c r="I618" s="553">
        <f t="shared" si="80"/>
        <v>50000</v>
      </c>
      <c r="J618" s="553">
        <v>0</v>
      </c>
      <c r="K618" s="553">
        <v>50000</v>
      </c>
      <c r="L618" s="553">
        <f t="shared" si="81"/>
        <v>0</v>
      </c>
      <c r="M618" s="553">
        <v>0</v>
      </c>
      <c r="N618" s="553">
        <v>0</v>
      </c>
    </row>
    <row r="619" spans="1:14" s="593" customFormat="1" ht="15" customHeight="1" hidden="1">
      <c r="A619" s="972"/>
      <c r="B619" s="967"/>
      <c r="C619" s="974"/>
      <c r="D619" s="967"/>
      <c r="E619" s="965"/>
      <c r="F619" s="953"/>
      <c r="G619" s="586" t="s">
        <v>14</v>
      </c>
      <c r="H619" s="552">
        <f t="shared" si="79"/>
        <v>0</v>
      </c>
      <c r="I619" s="553">
        <f t="shared" si="80"/>
        <v>0</v>
      </c>
      <c r="J619" s="553">
        <v>0</v>
      </c>
      <c r="K619" s="553">
        <v>0</v>
      </c>
      <c r="L619" s="553">
        <f t="shared" si="81"/>
        <v>0</v>
      </c>
      <c r="M619" s="553">
        <v>0</v>
      </c>
      <c r="N619" s="553">
        <v>0</v>
      </c>
    </row>
    <row r="620" spans="1:14" s="504" customFormat="1" ht="15" customHeight="1" hidden="1">
      <c r="A620" s="959"/>
      <c r="B620" s="960"/>
      <c r="C620" s="961"/>
      <c r="D620" s="960"/>
      <c r="E620" s="966"/>
      <c r="F620" s="955"/>
      <c r="G620" s="611" t="s">
        <v>15</v>
      </c>
      <c r="H620" s="584">
        <f t="shared" si="79"/>
        <v>50000</v>
      </c>
      <c r="I620" s="585">
        <f t="shared" si="80"/>
        <v>50000</v>
      </c>
      <c r="J620" s="585">
        <f>J618+J619</f>
        <v>0</v>
      </c>
      <c r="K620" s="585">
        <f>K618+K619</f>
        <v>50000</v>
      </c>
      <c r="L620" s="585">
        <f t="shared" si="81"/>
        <v>0</v>
      </c>
      <c r="M620" s="585">
        <f>M618+M619</f>
        <v>0</v>
      </c>
      <c r="N620" s="585">
        <f>N618+N619</f>
        <v>0</v>
      </c>
    </row>
    <row r="621" spans="1:14" s="504" customFormat="1" ht="15" customHeight="1" hidden="1">
      <c r="A621" s="959"/>
      <c r="B621" s="962"/>
      <c r="C621" s="961"/>
      <c r="D621" s="963"/>
      <c r="E621" s="964" t="s">
        <v>903</v>
      </c>
      <c r="F621" s="951"/>
      <c r="G621" s="586" t="s">
        <v>13</v>
      </c>
      <c r="H621" s="552">
        <f t="shared" si="79"/>
        <v>100000</v>
      </c>
      <c r="I621" s="553">
        <f t="shared" si="80"/>
        <v>100000</v>
      </c>
      <c r="J621" s="553">
        <v>100000</v>
      </c>
      <c r="K621" s="553">
        <v>0</v>
      </c>
      <c r="L621" s="553">
        <f t="shared" si="81"/>
        <v>0</v>
      </c>
      <c r="M621" s="553">
        <v>0</v>
      </c>
      <c r="N621" s="553">
        <v>0</v>
      </c>
    </row>
    <row r="622" spans="1:14" s="504" customFormat="1" ht="15" customHeight="1" hidden="1">
      <c r="A622" s="959"/>
      <c r="B622" s="967"/>
      <c r="C622" s="961"/>
      <c r="D622" s="967"/>
      <c r="E622" s="965"/>
      <c r="F622" s="953"/>
      <c r="G622" s="586" t="s">
        <v>14</v>
      </c>
      <c r="H622" s="552">
        <f t="shared" si="79"/>
        <v>0</v>
      </c>
      <c r="I622" s="553">
        <f t="shared" si="80"/>
        <v>0</v>
      </c>
      <c r="J622" s="553">
        <v>0</v>
      </c>
      <c r="K622" s="553">
        <v>0</v>
      </c>
      <c r="L622" s="553">
        <f t="shared" si="81"/>
        <v>0</v>
      </c>
      <c r="M622" s="553">
        <v>0</v>
      </c>
      <c r="N622" s="553">
        <v>0</v>
      </c>
    </row>
    <row r="623" spans="1:14" s="504" customFormat="1" ht="15" customHeight="1" hidden="1">
      <c r="A623" s="959"/>
      <c r="B623" s="960"/>
      <c r="C623" s="961"/>
      <c r="D623" s="960"/>
      <c r="E623" s="966"/>
      <c r="F623" s="955"/>
      <c r="G623" s="611" t="s">
        <v>15</v>
      </c>
      <c r="H623" s="584">
        <f t="shared" si="79"/>
        <v>100000</v>
      </c>
      <c r="I623" s="585">
        <f t="shared" si="80"/>
        <v>100000</v>
      </c>
      <c r="J623" s="585">
        <f>J621+J622</f>
        <v>100000</v>
      </c>
      <c r="K623" s="585">
        <f>K621+K622</f>
        <v>0</v>
      </c>
      <c r="L623" s="585">
        <f t="shared" si="81"/>
        <v>0</v>
      </c>
      <c r="M623" s="585">
        <f>M621+M622</f>
        <v>0</v>
      </c>
      <c r="N623" s="585">
        <f>N621+N622</f>
        <v>0</v>
      </c>
    </row>
    <row r="624" spans="1:14" s="593" customFormat="1" ht="15" customHeight="1" hidden="1">
      <c r="A624" s="972"/>
      <c r="B624" s="973"/>
      <c r="C624" s="974"/>
      <c r="D624" s="975"/>
      <c r="E624" s="964" t="s">
        <v>904</v>
      </c>
      <c r="F624" s="951"/>
      <c r="G624" s="586" t="s">
        <v>13</v>
      </c>
      <c r="H624" s="552">
        <f t="shared" si="79"/>
        <v>260000</v>
      </c>
      <c r="I624" s="553">
        <f t="shared" si="80"/>
        <v>260000</v>
      </c>
      <c r="J624" s="553">
        <v>0</v>
      </c>
      <c r="K624" s="553">
        <v>260000</v>
      </c>
      <c r="L624" s="553">
        <f t="shared" si="81"/>
        <v>0</v>
      </c>
      <c r="M624" s="553">
        <v>0</v>
      </c>
      <c r="N624" s="553">
        <v>0</v>
      </c>
    </row>
    <row r="625" spans="1:14" s="593" customFormat="1" ht="15" customHeight="1" hidden="1">
      <c r="A625" s="972"/>
      <c r="B625" s="967"/>
      <c r="C625" s="974"/>
      <c r="D625" s="967"/>
      <c r="E625" s="965"/>
      <c r="F625" s="953"/>
      <c r="G625" s="586" t="s">
        <v>14</v>
      </c>
      <c r="H625" s="552">
        <f t="shared" si="79"/>
        <v>0</v>
      </c>
      <c r="I625" s="553">
        <f t="shared" si="80"/>
        <v>0</v>
      </c>
      <c r="J625" s="553">
        <v>0</v>
      </c>
      <c r="K625" s="553">
        <v>0</v>
      </c>
      <c r="L625" s="553">
        <f t="shared" si="81"/>
        <v>0</v>
      </c>
      <c r="M625" s="553">
        <v>0</v>
      </c>
      <c r="N625" s="553">
        <v>0</v>
      </c>
    </row>
    <row r="626" spans="1:14" s="504" customFormat="1" ht="15" customHeight="1" hidden="1">
      <c r="A626" s="959"/>
      <c r="B626" s="960"/>
      <c r="C626" s="961"/>
      <c r="D626" s="960"/>
      <c r="E626" s="966"/>
      <c r="F626" s="955"/>
      <c r="G626" s="611" t="s">
        <v>15</v>
      </c>
      <c r="H626" s="584">
        <f t="shared" si="79"/>
        <v>260000</v>
      </c>
      <c r="I626" s="585">
        <f t="shared" si="80"/>
        <v>260000</v>
      </c>
      <c r="J626" s="585">
        <f>J624+J625</f>
        <v>0</v>
      </c>
      <c r="K626" s="585">
        <f>K624+K625</f>
        <v>260000</v>
      </c>
      <c r="L626" s="585">
        <f t="shared" si="81"/>
        <v>0</v>
      </c>
      <c r="M626" s="585">
        <f>M624+M625</f>
        <v>0</v>
      </c>
      <c r="N626" s="585">
        <f>N624+N625</f>
        <v>0</v>
      </c>
    </row>
    <row r="627" spans="1:14" s="593" customFormat="1" ht="15" customHeight="1" hidden="1">
      <c r="A627" s="972"/>
      <c r="B627" s="973"/>
      <c r="C627" s="974"/>
      <c r="D627" s="975"/>
      <c r="E627" s="964" t="s">
        <v>865</v>
      </c>
      <c r="F627" s="951"/>
      <c r="G627" s="586" t="s">
        <v>13</v>
      </c>
      <c r="H627" s="552">
        <f t="shared" si="79"/>
        <v>450000</v>
      </c>
      <c r="I627" s="553">
        <f t="shared" si="80"/>
        <v>450000</v>
      </c>
      <c r="J627" s="553">
        <v>0</v>
      </c>
      <c r="K627" s="553">
        <v>450000</v>
      </c>
      <c r="L627" s="553">
        <f t="shared" si="81"/>
        <v>0</v>
      </c>
      <c r="M627" s="553">
        <v>0</v>
      </c>
      <c r="N627" s="553">
        <v>0</v>
      </c>
    </row>
    <row r="628" spans="1:14" s="593" customFormat="1" ht="15" customHeight="1" hidden="1">
      <c r="A628" s="972"/>
      <c r="B628" s="967"/>
      <c r="C628" s="974"/>
      <c r="D628" s="967"/>
      <c r="E628" s="965"/>
      <c r="F628" s="953"/>
      <c r="G628" s="586" t="s">
        <v>14</v>
      </c>
      <c r="H628" s="552">
        <f t="shared" si="79"/>
        <v>0</v>
      </c>
      <c r="I628" s="553">
        <f t="shared" si="80"/>
        <v>0</v>
      </c>
      <c r="J628" s="553">
        <v>0</v>
      </c>
      <c r="K628" s="553">
        <v>0</v>
      </c>
      <c r="L628" s="553">
        <f t="shared" si="81"/>
        <v>0</v>
      </c>
      <c r="M628" s="553">
        <v>0</v>
      </c>
      <c r="N628" s="553">
        <v>0</v>
      </c>
    </row>
    <row r="629" spans="1:14" s="504" customFormat="1" ht="15" customHeight="1" hidden="1">
      <c r="A629" s="959"/>
      <c r="B629" s="960"/>
      <c r="C629" s="961"/>
      <c r="D629" s="960"/>
      <c r="E629" s="966"/>
      <c r="F629" s="955"/>
      <c r="G629" s="611" t="s">
        <v>15</v>
      </c>
      <c r="H629" s="584">
        <f t="shared" si="79"/>
        <v>450000</v>
      </c>
      <c r="I629" s="585">
        <f t="shared" si="80"/>
        <v>450000</v>
      </c>
      <c r="J629" s="585">
        <f>J627+J628</f>
        <v>0</v>
      </c>
      <c r="K629" s="585">
        <f>K627+K628</f>
        <v>450000</v>
      </c>
      <c r="L629" s="585">
        <f t="shared" si="81"/>
        <v>0</v>
      </c>
      <c r="M629" s="585">
        <f>M627+M628</f>
        <v>0</v>
      </c>
      <c r="N629" s="585">
        <f>N627+N628</f>
        <v>0</v>
      </c>
    </row>
    <row r="630" spans="1:14" s="593" customFormat="1" ht="15" customHeight="1" hidden="1">
      <c r="A630" s="972"/>
      <c r="B630" s="973"/>
      <c r="C630" s="974"/>
      <c r="D630" s="975"/>
      <c r="E630" s="964" t="s">
        <v>866</v>
      </c>
      <c r="F630" s="951"/>
      <c r="G630" s="586" t="s">
        <v>13</v>
      </c>
      <c r="H630" s="552">
        <f t="shared" si="79"/>
        <v>450000</v>
      </c>
      <c r="I630" s="553">
        <f t="shared" si="80"/>
        <v>450000</v>
      </c>
      <c r="J630" s="553">
        <v>0</v>
      </c>
      <c r="K630" s="553">
        <v>450000</v>
      </c>
      <c r="L630" s="553">
        <f t="shared" si="81"/>
        <v>0</v>
      </c>
      <c r="M630" s="553">
        <v>0</v>
      </c>
      <c r="N630" s="553">
        <v>0</v>
      </c>
    </row>
    <row r="631" spans="1:14" s="593" customFormat="1" ht="15" customHeight="1" hidden="1">
      <c r="A631" s="972"/>
      <c r="B631" s="967"/>
      <c r="C631" s="974"/>
      <c r="D631" s="967"/>
      <c r="E631" s="965"/>
      <c r="F631" s="953"/>
      <c r="G631" s="586" t="s">
        <v>14</v>
      </c>
      <c r="H631" s="552">
        <f t="shared" si="79"/>
        <v>0</v>
      </c>
      <c r="I631" s="553">
        <f t="shared" si="80"/>
        <v>0</v>
      </c>
      <c r="J631" s="553">
        <v>0</v>
      </c>
      <c r="K631" s="553">
        <v>0</v>
      </c>
      <c r="L631" s="553">
        <f t="shared" si="81"/>
        <v>0</v>
      </c>
      <c r="M631" s="553">
        <v>0</v>
      </c>
      <c r="N631" s="553">
        <v>0</v>
      </c>
    </row>
    <row r="632" spans="1:14" s="504" customFormat="1" ht="15" customHeight="1" hidden="1">
      <c r="A632" s="959"/>
      <c r="B632" s="960"/>
      <c r="C632" s="961"/>
      <c r="D632" s="960"/>
      <c r="E632" s="966"/>
      <c r="F632" s="955"/>
      <c r="G632" s="611" t="s">
        <v>15</v>
      </c>
      <c r="H632" s="584">
        <f t="shared" si="79"/>
        <v>450000</v>
      </c>
      <c r="I632" s="585">
        <f t="shared" si="80"/>
        <v>450000</v>
      </c>
      <c r="J632" s="585">
        <f>J630+J631</f>
        <v>0</v>
      </c>
      <c r="K632" s="585">
        <f>K630+K631</f>
        <v>450000</v>
      </c>
      <c r="L632" s="585">
        <f t="shared" si="81"/>
        <v>0</v>
      </c>
      <c r="M632" s="585">
        <f>M630+M631</f>
        <v>0</v>
      </c>
      <c r="N632" s="585">
        <f>N630+N631</f>
        <v>0</v>
      </c>
    </row>
    <row r="633" spans="1:14" s="593" customFormat="1" ht="15" customHeight="1" hidden="1">
      <c r="A633" s="972"/>
      <c r="B633" s="973"/>
      <c r="C633" s="974"/>
      <c r="D633" s="975"/>
      <c r="E633" s="964" t="s">
        <v>905</v>
      </c>
      <c r="F633" s="951"/>
      <c r="G633" s="586" t="s">
        <v>13</v>
      </c>
      <c r="H633" s="552">
        <f t="shared" si="79"/>
        <v>130000</v>
      </c>
      <c r="I633" s="553">
        <f t="shared" si="80"/>
        <v>130000</v>
      </c>
      <c r="J633" s="553">
        <v>0</v>
      </c>
      <c r="K633" s="553">
        <v>130000</v>
      </c>
      <c r="L633" s="553">
        <f t="shared" si="81"/>
        <v>0</v>
      </c>
      <c r="M633" s="553">
        <v>0</v>
      </c>
      <c r="N633" s="553">
        <v>0</v>
      </c>
    </row>
    <row r="634" spans="1:14" s="593" customFormat="1" ht="15" customHeight="1" hidden="1">
      <c r="A634" s="972"/>
      <c r="B634" s="967"/>
      <c r="C634" s="974"/>
      <c r="D634" s="967"/>
      <c r="E634" s="965"/>
      <c r="F634" s="953"/>
      <c r="G634" s="586" t="s">
        <v>14</v>
      </c>
      <c r="H634" s="552">
        <f t="shared" si="79"/>
        <v>0</v>
      </c>
      <c r="I634" s="553">
        <f t="shared" si="80"/>
        <v>0</v>
      </c>
      <c r="J634" s="553">
        <v>0</v>
      </c>
      <c r="K634" s="553">
        <v>0</v>
      </c>
      <c r="L634" s="553">
        <f t="shared" si="81"/>
        <v>0</v>
      </c>
      <c r="M634" s="553">
        <v>0</v>
      </c>
      <c r="N634" s="553">
        <v>0</v>
      </c>
    </row>
    <row r="635" spans="1:14" s="504" customFormat="1" ht="15" customHeight="1" hidden="1">
      <c r="A635" s="959"/>
      <c r="B635" s="960"/>
      <c r="C635" s="961"/>
      <c r="D635" s="960"/>
      <c r="E635" s="966"/>
      <c r="F635" s="955"/>
      <c r="G635" s="611" t="s">
        <v>15</v>
      </c>
      <c r="H635" s="584">
        <f t="shared" si="79"/>
        <v>130000</v>
      </c>
      <c r="I635" s="585">
        <f t="shared" si="80"/>
        <v>130000</v>
      </c>
      <c r="J635" s="585">
        <f>J633+J634</f>
        <v>0</v>
      </c>
      <c r="K635" s="585">
        <f>K633+K634</f>
        <v>130000</v>
      </c>
      <c r="L635" s="585">
        <f t="shared" si="81"/>
        <v>0</v>
      </c>
      <c r="M635" s="585">
        <f>M633+M634</f>
        <v>0</v>
      </c>
      <c r="N635" s="585">
        <f>N633+N634</f>
        <v>0</v>
      </c>
    </row>
    <row r="636" spans="1:14" s="504" customFormat="1" ht="15" customHeight="1" hidden="1">
      <c r="A636" s="968" t="s">
        <v>262</v>
      </c>
      <c r="B636" s="969"/>
      <c r="C636" s="970" t="s">
        <v>264</v>
      </c>
      <c r="D636" s="971"/>
      <c r="E636" s="964" t="s">
        <v>906</v>
      </c>
      <c r="F636" s="951"/>
      <c r="G636" s="551" t="s">
        <v>13</v>
      </c>
      <c r="H636" s="584">
        <f t="shared" si="79"/>
        <v>2900000</v>
      </c>
      <c r="I636" s="585">
        <f t="shared" si="80"/>
        <v>0</v>
      </c>
      <c r="J636" s="585">
        <v>0</v>
      </c>
      <c r="K636" s="585">
        <v>0</v>
      </c>
      <c r="L636" s="585">
        <f t="shared" si="81"/>
        <v>2900000</v>
      </c>
      <c r="M636" s="585">
        <v>0</v>
      </c>
      <c r="N636" s="585">
        <v>2900000</v>
      </c>
    </row>
    <row r="637" spans="1:14" s="504" customFormat="1" ht="15" customHeight="1" hidden="1">
      <c r="A637" s="959"/>
      <c r="B637" s="967"/>
      <c r="C637" s="961"/>
      <c r="D637" s="967"/>
      <c r="E637" s="965"/>
      <c r="F637" s="953"/>
      <c r="G637" s="551" t="s">
        <v>14</v>
      </c>
      <c r="H637" s="584">
        <f t="shared" si="79"/>
        <v>0</v>
      </c>
      <c r="I637" s="585">
        <f t="shared" si="80"/>
        <v>0</v>
      </c>
      <c r="J637" s="585">
        <v>0</v>
      </c>
      <c r="K637" s="585">
        <v>0</v>
      </c>
      <c r="L637" s="585">
        <f t="shared" si="81"/>
        <v>0</v>
      </c>
      <c r="M637" s="585">
        <v>0</v>
      </c>
      <c r="N637" s="585">
        <v>0</v>
      </c>
    </row>
    <row r="638" spans="1:14" s="504" customFormat="1" ht="15" customHeight="1" hidden="1">
      <c r="A638" s="959"/>
      <c r="B638" s="960"/>
      <c r="C638" s="961"/>
      <c r="D638" s="960"/>
      <c r="E638" s="966"/>
      <c r="F638" s="955"/>
      <c r="G638" s="611" t="s">
        <v>15</v>
      </c>
      <c r="H638" s="584">
        <f t="shared" si="79"/>
        <v>2900000</v>
      </c>
      <c r="I638" s="585">
        <f t="shared" si="80"/>
        <v>0</v>
      </c>
      <c r="J638" s="585">
        <f>J636+J637</f>
        <v>0</v>
      </c>
      <c r="K638" s="585">
        <f>K636+K637</f>
        <v>0</v>
      </c>
      <c r="L638" s="585">
        <f t="shared" si="81"/>
        <v>2900000</v>
      </c>
      <c r="M638" s="585">
        <f>M636+M637</f>
        <v>0</v>
      </c>
      <c r="N638" s="585">
        <f>N636+N637</f>
        <v>2900000</v>
      </c>
    </row>
    <row r="639" spans="1:14" s="504" customFormat="1" ht="15" customHeight="1" hidden="1">
      <c r="A639" s="959"/>
      <c r="B639" s="962"/>
      <c r="C639" s="961"/>
      <c r="D639" s="963"/>
      <c r="E639" s="964" t="s">
        <v>907</v>
      </c>
      <c r="F639" s="951"/>
      <c r="G639" s="551" t="s">
        <v>13</v>
      </c>
      <c r="H639" s="584">
        <f t="shared" si="79"/>
        <v>1000000</v>
      </c>
      <c r="I639" s="585">
        <f t="shared" si="80"/>
        <v>0</v>
      </c>
      <c r="J639" s="585">
        <v>0</v>
      </c>
      <c r="K639" s="585">
        <v>0</v>
      </c>
      <c r="L639" s="585">
        <f t="shared" si="81"/>
        <v>1000000</v>
      </c>
      <c r="M639" s="585">
        <v>0</v>
      </c>
      <c r="N639" s="585">
        <v>1000000</v>
      </c>
    </row>
    <row r="640" spans="1:14" s="504" customFormat="1" ht="15" customHeight="1" hidden="1">
      <c r="A640" s="959"/>
      <c r="B640" s="967"/>
      <c r="C640" s="961"/>
      <c r="D640" s="967"/>
      <c r="E640" s="965"/>
      <c r="F640" s="953"/>
      <c r="G640" s="551" t="s">
        <v>14</v>
      </c>
      <c r="H640" s="584">
        <f t="shared" si="79"/>
        <v>0</v>
      </c>
      <c r="I640" s="585">
        <f t="shared" si="80"/>
        <v>0</v>
      </c>
      <c r="J640" s="585">
        <v>0</v>
      </c>
      <c r="K640" s="585">
        <v>0</v>
      </c>
      <c r="L640" s="585">
        <f t="shared" si="81"/>
        <v>0</v>
      </c>
      <c r="M640" s="585">
        <v>0</v>
      </c>
      <c r="N640" s="585">
        <v>0</v>
      </c>
    </row>
    <row r="641" spans="1:14" s="504" customFormat="1" ht="15" customHeight="1" hidden="1">
      <c r="A641" s="959"/>
      <c r="B641" s="960"/>
      <c r="C641" s="961"/>
      <c r="D641" s="960"/>
      <c r="E641" s="966"/>
      <c r="F641" s="955"/>
      <c r="G641" s="611" t="s">
        <v>15</v>
      </c>
      <c r="H641" s="584">
        <f t="shared" si="79"/>
        <v>1000000</v>
      </c>
      <c r="I641" s="585">
        <f t="shared" si="80"/>
        <v>0</v>
      </c>
      <c r="J641" s="585">
        <f>J639+J640</f>
        <v>0</v>
      </c>
      <c r="K641" s="585">
        <f>K639+K640</f>
        <v>0</v>
      </c>
      <c r="L641" s="585">
        <f t="shared" si="81"/>
        <v>1000000</v>
      </c>
      <c r="M641" s="585">
        <f>M639+M640</f>
        <v>0</v>
      </c>
      <c r="N641" s="585">
        <f>N639+N640</f>
        <v>1000000</v>
      </c>
    </row>
    <row r="642" spans="1:14" s="593" customFormat="1" ht="15" customHeight="1">
      <c r="A642" s="946" t="s">
        <v>262</v>
      </c>
      <c r="B642" s="947"/>
      <c r="C642" s="948" t="s">
        <v>264</v>
      </c>
      <c r="D642" s="949"/>
      <c r="E642" s="950" t="s">
        <v>908</v>
      </c>
      <c r="F642" s="951"/>
      <c r="G642" s="551" t="s">
        <v>13</v>
      </c>
      <c r="H642" s="584">
        <f t="shared" si="79"/>
        <v>2000000</v>
      </c>
      <c r="I642" s="585">
        <f t="shared" si="80"/>
        <v>2000000</v>
      </c>
      <c r="J642" s="585">
        <v>2000000</v>
      </c>
      <c r="K642" s="585">
        <v>0</v>
      </c>
      <c r="L642" s="585">
        <f t="shared" si="81"/>
        <v>0</v>
      </c>
      <c r="M642" s="585">
        <v>0</v>
      </c>
      <c r="N642" s="585">
        <v>0</v>
      </c>
    </row>
    <row r="643" spans="1:14" s="593" customFormat="1" ht="15" customHeight="1">
      <c r="A643" s="956"/>
      <c r="B643" s="957"/>
      <c r="C643" s="958"/>
      <c r="D643" s="957"/>
      <c r="E643" s="952"/>
      <c r="F643" s="953"/>
      <c r="G643" s="551" t="s">
        <v>14</v>
      </c>
      <c r="H643" s="584">
        <f t="shared" si="79"/>
        <v>0</v>
      </c>
      <c r="I643" s="585">
        <f t="shared" si="80"/>
        <v>-50000</v>
      </c>
      <c r="J643" s="585">
        <v>-50000</v>
      </c>
      <c r="K643" s="585">
        <v>0</v>
      </c>
      <c r="L643" s="585">
        <f t="shared" si="81"/>
        <v>50000</v>
      </c>
      <c r="M643" s="585">
        <v>50000</v>
      </c>
      <c r="N643" s="585">
        <v>0</v>
      </c>
    </row>
    <row r="644" spans="1:14" s="504" customFormat="1" ht="15" customHeight="1">
      <c r="A644" s="959"/>
      <c r="B644" s="960"/>
      <c r="C644" s="961"/>
      <c r="D644" s="960"/>
      <c r="E644" s="954"/>
      <c r="F644" s="955"/>
      <c r="G644" s="611" t="s">
        <v>15</v>
      </c>
      <c r="H644" s="584">
        <f t="shared" si="79"/>
        <v>2000000</v>
      </c>
      <c r="I644" s="585">
        <f t="shared" si="80"/>
        <v>1950000</v>
      </c>
      <c r="J644" s="585">
        <f>J642+J643</f>
        <v>1950000</v>
      </c>
      <c r="K644" s="585">
        <f>K642+K643</f>
        <v>0</v>
      </c>
      <c r="L644" s="585">
        <f t="shared" si="81"/>
        <v>50000</v>
      </c>
      <c r="M644" s="585">
        <f>M642+M643</f>
        <v>50000</v>
      </c>
      <c r="N644" s="585">
        <f>N642+N643</f>
        <v>0</v>
      </c>
    </row>
    <row r="645" spans="1:14" s="580" customFormat="1" ht="6.75" customHeight="1">
      <c r="A645" s="599"/>
      <c r="B645" s="600"/>
      <c r="C645" s="600"/>
      <c r="D645" s="600"/>
      <c r="E645" s="600"/>
      <c r="F645" s="600"/>
      <c r="G645" s="615"/>
      <c r="H645" s="616"/>
      <c r="I645" s="617"/>
      <c r="J645" s="617"/>
      <c r="K645" s="617"/>
      <c r="L645" s="617"/>
      <c r="M645" s="617"/>
      <c r="N645" s="618"/>
    </row>
    <row r="646" spans="1:14" s="620" customFormat="1" ht="18" customHeight="1">
      <c r="A646" s="944" t="s">
        <v>12</v>
      </c>
      <c r="B646" s="944"/>
      <c r="C646" s="944"/>
      <c r="D646" s="944"/>
      <c r="E646" s="944"/>
      <c r="F646" s="944"/>
      <c r="G646" s="619" t="s">
        <v>13</v>
      </c>
      <c r="H646" s="531">
        <f aca="true" t="shared" si="82" ref="H646:N648">H11</f>
        <v>348993721</v>
      </c>
      <c r="I646" s="531">
        <f t="shared" si="82"/>
        <v>204284232</v>
      </c>
      <c r="J646" s="531">
        <f t="shared" si="82"/>
        <v>95762930</v>
      </c>
      <c r="K646" s="531">
        <f t="shared" si="82"/>
        <v>108521302</v>
      </c>
      <c r="L646" s="531">
        <f t="shared" si="82"/>
        <v>144709489</v>
      </c>
      <c r="M646" s="531">
        <f t="shared" si="82"/>
        <v>4804120</v>
      </c>
      <c r="N646" s="531">
        <f t="shared" si="82"/>
        <v>139905369</v>
      </c>
    </row>
    <row r="647" spans="1:14" s="620" customFormat="1" ht="18" customHeight="1">
      <c r="A647" s="945"/>
      <c r="B647" s="945"/>
      <c r="C647" s="945"/>
      <c r="D647" s="945"/>
      <c r="E647" s="945"/>
      <c r="F647" s="945"/>
      <c r="G647" s="619" t="s">
        <v>14</v>
      </c>
      <c r="H647" s="531">
        <f t="shared" si="82"/>
        <v>13000280</v>
      </c>
      <c r="I647" s="531">
        <f t="shared" si="82"/>
        <v>15174576</v>
      </c>
      <c r="J647" s="531">
        <f t="shared" si="82"/>
        <v>11656394</v>
      </c>
      <c r="K647" s="531">
        <f t="shared" si="82"/>
        <v>3518182</v>
      </c>
      <c r="L647" s="531">
        <f t="shared" si="82"/>
        <v>-2174296</v>
      </c>
      <c r="M647" s="531">
        <f t="shared" si="82"/>
        <v>-4125079</v>
      </c>
      <c r="N647" s="531">
        <f t="shared" si="82"/>
        <v>1950783</v>
      </c>
    </row>
    <row r="648" spans="1:14" s="620" customFormat="1" ht="18" customHeight="1">
      <c r="A648" s="945"/>
      <c r="B648" s="945"/>
      <c r="C648" s="945"/>
      <c r="D648" s="945"/>
      <c r="E648" s="945"/>
      <c r="F648" s="945"/>
      <c r="G648" s="619" t="s">
        <v>15</v>
      </c>
      <c r="H648" s="531">
        <f t="shared" si="82"/>
        <v>361994001</v>
      </c>
      <c r="I648" s="531">
        <f t="shared" si="82"/>
        <v>219458808</v>
      </c>
      <c r="J648" s="531">
        <f t="shared" si="82"/>
        <v>107419324</v>
      </c>
      <c r="K648" s="531">
        <f t="shared" si="82"/>
        <v>112039484</v>
      </c>
      <c r="L648" s="531">
        <f t="shared" si="82"/>
        <v>142535193</v>
      </c>
      <c r="M648" s="531">
        <f t="shared" si="82"/>
        <v>679041</v>
      </c>
      <c r="N648" s="531">
        <f t="shared" si="82"/>
        <v>141856152</v>
      </c>
    </row>
    <row r="649" spans="1:14" s="504" customFormat="1" ht="1.5" customHeight="1">
      <c r="A649" s="621"/>
      <c r="B649" s="621"/>
      <c r="C649" s="621"/>
      <c r="D649" s="621"/>
      <c r="E649" s="622"/>
      <c r="F649" s="623"/>
      <c r="G649" s="622"/>
      <c r="H649" s="624"/>
      <c r="I649" s="625"/>
      <c r="J649" s="625"/>
      <c r="K649" s="625"/>
      <c r="L649" s="625"/>
      <c r="M649" s="625"/>
      <c r="N649" s="625"/>
    </row>
    <row r="650" spans="1:5" ht="17.25" customHeight="1">
      <c r="A650" s="626" t="s">
        <v>909</v>
      </c>
      <c r="B650" s="627"/>
      <c r="C650" s="628"/>
      <c r="D650" s="627"/>
      <c r="E650" s="628"/>
    </row>
    <row r="651" spans="1:5" ht="13.5" customHeight="1">
      <c r="A651" s="634" t="s">
        <v>910</v>
      </c>
      <c r="B651" s="635"/>
      <c r="C651" s="636"/>
      <c r="D651" s="635"/>
      <c r="E651" s="636"/>
    </row>
    <row r="652" spans="1:3" ht="14.25" customHeight="1">
      <c r="A652" s="637" t="s">
        <v>911</v>
      </c>
      <c r="B652" s="637" t="s">
        <v>912</v>
      </c>
      <c r="C652" s="638" t="s">
        <v>913</v>
      </c>
    </row>
    <row r="653" spans="1:3" ht="14.25" customHeight="1">
      <c r="A653" s="637" t="s">
        <v>14</v>
      </c>
      <c r="B653" s="637" t="s">
        <v>912</v>
      </c>
      <c r="C653" s="638" t="s">
        <v>914</v>
      </c>
    </row>
    <row r="654" spans="1:3" ht="14.25" customHeight="1">
      <c r="A654" s="637" t="s">
        <v>15</v>
      </c>
      <c r="B654" s="637" t="s">
        <v>912</v>
      </c>
      <c r="C654" s="638" t="s">
        <v>915</v>
      </c>
    </row>
  </sheetData>
  <sheetProtection password="C25B" sheet="1"/>
  <mergeCells count="1300"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A21:B21"/>
    <mergeCell ref="C21:D21"/>
    <mergeCell ref="A23:F25"/>
    <mergeCell ref="A27:F29"/>
    <mergeCell ref="A31:F33"/>
    <mergeCell ref="A34:B34"/>
    <mergeCell ref="C34:D34"/>
    <mergeCell ref="E34:F36"/>
    <mergeCell ref="A35:B35"/>
    <mergeCell ref="C35:D35"/>
    <mergeCell ref="A36:B36"/>
    <mergeCell ref="C36:D36"/>
    <mergeCell ref="A37:B37"/>
    <mergeCell ref="C37:D37"/>
    <mergeCell ref="E37:F39"/>
    <mergeCell ref="A38:B38"/>
    <mergeCell ref="C38:D38"/>
    <mergeCell ref="A39:B39"/>
    <mergeCell ref="C39:D39"/>
    <mergeCell ref="A40:B40"/>
    <mergeCell ref="C40:D40"/>
    <mergeCell ref="E40:F42"/>
    <mergeCell ref="A41:B41"/>
    <mergeCell ref="C41:D41"/>
    <mergeCell ref="A42:B42"/>
    <mergeCell ref="C42:D42"/>
    <mergeCell ref="A43:F45"/>
    <mergeCell ref="A46:B46"/>
    <mergeCell ref="C46:D46"/>
    <mergeCell ref="E46:F48"/>
    <mergeCell ref="A47:B47"/>
    <mergeCell ref="C47:D47"/>
    <mergeCell ref="A48:B48"/>
    <mergeCell ref="C48:D48"/>
    <mergeCell ref="A49:B49"/>
    <mergeCell ref="C49:D49"/>
    <mergeCell ref="E49:F51"/>
    <mergeCell ref="A50:B50"/>
    <mergeCell ref="C50:D50"/>
    <mergeCell ref="A51:B51"/>
    <mergeCell ref="C51:D51"/>
    <mergeCell ref="A52:F54"/>
    <mergeCell ref="A55:B55"/>
    <mergeCell ref="C55:D55"/>
    <mergeCell ref="E55:F57"/>
    <mergeCell ref="A56:B56"/>
    <mergeCell ref="C56:D56"/>
    <mergeCell ref="A57:B57"/>
    <mergeCell ref="C57:D57"/>
    <mergeCell ref="A58:F60"/>
    <mergeCell ref="A61:B61"/>
    <mergeCell ref="C61:D61"/>
    <mergeCell ref="E61:F63"/>
    <mergeCell ref="A62:B62"/>
    <mergeCell ref="C62:D62"/>
    <mergeCell ref="A63:B63"/>
    <mergeCell ref="C63:D63"/>
    <mergeCell ref="A64:F66"/>
    <mergeCell ref="A67:B67"/>
    <mergeCell ref="C67:D67"/>
    <mergeCell ref="E67:F69"/>
    <mergeCell ref="A68:B68"/>
    <mergeCell ref="C68:D68"/>
    <mergeCell ref="A69:B69"/>
    <mergeCell ref="C69:D69"/>
    <mergeCell ref="A70:F72"/>
    <mergeCell ref="A73:B73"/>
    <mergeCell ref="C73:D73"/>
    <mergeCell ref="E73:F75"/>
    <mergeCell ref="A74:B74"/>
    <mergeCell ref="C74:D74"/>
    <mergeCell ref="A75:B75"/>
    <mergeCell ref="C75:D75"/>
    <mergeCell ref="A76:F78"/>
    <mergeCell ref="A79:B79"/>
    <mergeCell ref="C79:D79"/>
    <mergeCell ref="E79:F81"/>
    <mergeCell ref="A80:B80"/>
    <mergeCell ref="C80:D80"/>
    <mergeCell ref="A81:B81"/>
    <mergeCell ref="C81:D81"/>
    <mergeCell ref="A82:B82"/>
    <mergeCell ref="C82:D82"/>
    <mergeCell ref="E82:F84"/>
    <mergeCell ref="A83:B83"/>
    <mergeCell ref="C83:D83"/>
    <mergeCell ref="A84:B84"/>
    <mergeCell ref="C84:D84"/>
    <mergeCell ref="A85:B85"/>
    <mergeCell ref="C85:D85"/>
    <mergeCell ref="E85:F87"/>
    <mergeCell ref="A86:B86"/>
    <mergeCell ref="C86:D86"/>
    <mergeCell ref="A87:B87"/>
    <mergeCell ref="C87:D87"/>
    <mergeCell ref="A88:B88"/>
    <mergeCell ref="C88:D88"/>
    <mergeCell ref="E88:F90"/>
    <mergeCell ref="A89:B89"/>
    <mergeCell ref="C89:D89"/>
    <mergeCell ref="A90:B90"/>
    <mergeCell ref="C90:D90"/>
    <mergeCell ref="A91:F93"/>
    <mergeCell ref="A94:B94"/>
    <mergeCell ref="C94:D94"/>
    <mergeCell ref="E94:F96"/>
    <mergeCell ref="A95:B95"/>
    <mergeCell ref="C95:D95"/>
    <mergeCell ref="A96:B96"/>
    <mergeCell ref="C96:D96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109:B109"/>
    <mergeCell ref="C109:D109"/>
    <mergeCell ref="E109:F111"/>
    <mergeCell ref="A110:B110"/>
    <mergeCell ref="C110:D110"/>
    <mergeCell ref="A111:B111"/>
    <mergeCell ref="C111:D111"/>
    <mergeCell ref="A112:F114"/>
    <mergeCell ref="A115:B115"/>
    <mergeCell ref="C115:D115"/>
    <mergeCell ref="E115:F117"/>
    <mergeCell ref="A116:B116"/>
    <mergeCell ref="C116:D116"/>
    <mergeCell ref="A117:B117"/>
    <mergeCell ref="C117:D117"/>
    <mergeCell ref="A118:F120"/>
    <mergeCell ref="A121:B121"/>
    <mergeCell ref="C121:D121"/>
    <mergeCell ref="E121:F123"/>
    <mergeCell ref="A122:B122"/>
    <mergeCell ref="C122:D122"/>
    <mergeCell ref="A123:B123"/>
    <mergeCell ref="C123:D123"/>
    <mergeCell ref="A124:B124"/>
    <mergeCell ref="C124:D124"/>
    <mergeCell ref="E124:F126"/>
    <mergeCell ref="A125:B125"/>
    <mergeCell ref="C125:D125"/>
    <mergeCell ref="A126:B126"/>
    <mergeCell ref="C126:D126"/>
    <mergeCell ref="A127:B127"/>
    <mergeCell ref="C127:D127"/>
    <mergeCell ref="E127:F129"/>
    <mergeCell ref="A128:B128"/>
    <mergeCell ref="C128:D128"/>
    <mergeCell ref="A129:B129"/>
    <mergeCell ref="C129:D129"/>
    <mergeCell ref="A130:B130"/>
    <mergeCell ref="C130:D130"/>
    <mergeCell ref="E130:F132"/>
    <mergeCell ref="A131:B131"/>
    <mergeCell ref="C131:D131"/>
    <mergeCell ref="A132:B132"/>
    <mergeCell ref="C132:D132"/>
    <mergeCell ref="A133:B133"/>
    <mergeCell ref="C133:D133"/>
    <mergeCell ref="E133:F135"/>
    <mergeCell ref="A134:B134"/>
    <mergeCell ref="C134:D134"/>
    <mergeCell ref="A135:B135"/>
    <mergeCell ref="C135:D135"/>
    <mergeCell ref="A136:B136"/>
    <mergeCell ref="C136:D136"/>
    <mergeCell ref="E136:F138"/>
    <mergeCell ref="A137:B137"/>
    <mergeCell ref="C137:D137"/>
    <mergeCell ref="A138:B138"/>
    <mergeCell ref="C138:D138"/>
    <mergeCell ref="A139:F141"/>
    <mergeCell ref="A142:B142"/>
    <mergeCell ref="C142:D142"/>
    <mergeCell ref="E142:F144"/>
    <mergeCell ref="A143:B143"/>
    <mergeCell ref="C143:D143"/>
    <mergeCell ref="A144:B144"/>
    <mergeCell ref="C144:D144"/>
    <mergeCell ref="A145:B145"/>
    <mergeCell ref="C145:D145"/>
    <mergeCell ref="E145:F147"/>
    <mergeCell ref="A146:B146"/>
    <mergeCell ref="C146:D146"/>
    <mergeCell ref="A147:B147"/>
    <mergeCell ref="C147:D147"/>
    <mergeCell ref="A148:B148"/>
    <mergeCell ref="C148:D148"/>
    <mergeCell ref="E148:F150"/>
    <mergeCell ref="A149:B149"/>
    <mergeCell ref="C149:D149"/>
    <mergeCell ref="A150:B150"/>
    <mergeCell ref="C150:D150"/>
    <mergeCell ref="A151:B151"/>
    <mergeCell ref="C151:D151"/>
    <mergeCell ref="E151:F153"/>
    <mergeCell ref="A152:B152"/>
    <mergeCell ref="C152:D152"/>
    <mergeCell ref="A153:B153"/>
    <mergeCell ref="C153:D153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60:B160"/>
    <mergeCell ref="C160:D160"/>
    <mergeCell ref="E160:F162"/>
    <mergeCell ref="A161:B161"/>
    <mergeCell ref="C161:D161"/>
    <mergeCell ref="A162:B162"/>
    <mergeCell ref="C162:D162"/>
    <mergeCell ref="A163:F165"/>
    <mergeCell ref="A166:B166"/>
    <mergeCell ref="C166:D166"/>
    <mergeCell ref="E166:F168"/>
    <mergeCell ref="A167:B167"/>
    <mergeCell ref="C167:D167"/>
    <mergeCell ref="A168:B168"/>
    <mergeCell ref="C168:D168"/>
    <mergeCell ref="A169:B169"/>
    <mergeCell ref="C169:D169"/>
    <mergeCell ref="E169:F171"/>
    <mergeCell ref="A170:B170"/>
    <mergeCell ref="C170:D170"/>
    <mergeCell ref="A171:B171"/>
    <mergeCell ref="C171:D171"/>
    <mergeCell ref="A172:F174"/>
    <mergeCell ref="A175:B175"/>
    <mergeCell ref="C175:D175"/>
    <mergeCell ref="E175:F177"/>
    <mergeCell ref="A176:B176"/>
    <mergeCell ref="C176:D176"/>
    <mergeCell ref="A177:B177"/>
    <mergeCell ref="C177:D177"/>
    <mergeCell ref="A179:F181"/>
    <mergeCell ref="A183:F185"/>
    <mergeCell ref="A187:B187"/>
    <mergeCell ref="C187:D187"/>
    <mergeCell ref="F187:F189"/>
    <mergeCell ref="A188:B188"/>
    <mergeCell ref="C188:D188"/>
    <mergeCell ref="A189:B189"/>
    <mergeCell ref="C189:D189"/>
    <mergeCell ref="A191:F193"/>
    <mergeCell ref="A195:B195"/>
    <mergeCell ref="C195:D195"/>
    <mergeCell ref="F195:F197"/>
    <mergeCell ref="A196:B196"/>
    <mergeCell ref="C196:D196"/>
    <mergeCell ref="A197:B197"/>
    <mergeCell ref="C197:D197"/>
    <mergeCell ref="A198:B198"/>
    <mergeCell ref="C198:D198"/>
    <mergeCell ref="F198:F200"/>
    <mergeCell ref="A199:B199"/>
    <mergeCell ref="C199:D199"/>
    <mergeCell ref="A200:B200"/>
    <mergeCell ref="C200:D200"/>
    <mergeCell ref="A201:B201"/>
    <mergeCell ref="C201:D201"/>
    <mergeCell ref="F201:F203"/>
    <mergeCell ref="A202:B202"/>
    <mergeCell ref="C202:D202"/>
    <mergeCell ref="A203:B203"/>
    <mergeCell ref="C203:D203"/>
    <mergeCell ref="A204:B204"/>
    <mergeCell ref="C204:D204"/>
    <mergeCell ref="F204:F206"/>
    <mergeCell ref="A205:B205"/>
    <mergeCell ref="C205:D205"/>
    <mergeCell ref="A206:B206"/>
    <mergeCell ref="C206:D206"/>
    <mergeCell ref="A207:B207"/>
    <mergeCell ref="C207:D207"/>
    <mergeCell ref="F207:F209"/>
    <mergeCell ref="A208:B208"/>
    <mergeCell ref="C208:D208"/>
    <mergeCell ref="A209:B209"/>
    <mergeCell ref="C209:D209"/>
    <mergeCell ref="A210:B210"/>
    <mergeCell ref="C210:D210"/>
    <mergeCell ref="F210:F212"/>
    <mergeCell ref="A211:B211"/>
    <mergeCell ref="C211:D211"/>
    <mergeCell ref="A212:B212"/>
    <mergeCell ref="C212:D212"/>
    <mergeCell ref="A213:B213"/>
    <mergeCell ref="C213:D213"/>
    <mergeCell ref="F213:F215"/>
    <mergeCell ref="A214:B214"/>
    <mergeCell ref="C214:D214"/>
    <mergeCell ref="A215:B215"/>
    <mergeCell ref="C215:D215"/>
    <mergeCell ref="A216:B216"/>
    <mergeCell ref="C216:D216"/>
    <mergeCell ref="F216:F218"/>
    <mergeCell ref="A217:B217"/>
    <mergeCell ref="C217:D217"/>
    <mergeCell ref="A218:B218"/>
    <mergeCell ref="C218:D218"/>
    <mergeCell ref="A219:B219"/>
    <mergeCell ref="C219:D219"/>
    <mergeCell ref="F219:F221"/>
    <mergeCell ref="A220:B220"/>
    <mergeCell ref="C220:D220"/>
    <mergeCell ref="A221:B221"/>
    <mergeCell ref="C221:D221"/>
    <mergeCell ref="A222:B222"/>
    <mergeCell ref="C222:D222"/>
    <mergeCell ref="F222:F224"/>
    <mergeCell ref="A223:B223"/>
    <mergeCell ref="C223:D223"/>
    <mergeCell ref="A224:B224"/>
    <mergeCell ref="C224:D224"/>
    <mergeCell ref="A225:B225"/>
    <mergeCell ref="C225:D225"/>
    <mergeCell ref="F225:F227"/>
    <mergeCell ref="A226:B226"/>
    <mergeCell ref="C226:D226"/>
    <mergeCell ref="A227:B227"/>
    <mergeCell ref="C227:D227"/>
    <mergeCell ref="A228:B228"/>
    <mergeCell ref="C228:D228"/>
    <mergeCell ref="F228:F230"/>
    <mergeCell ref="A229:B229"/>
    <mergeCell ref="C229:D229"/>
    <mergeCell ref="A230:B230"/>
    <mergeCell ref="C230:D230"/>
    <mergeCell ref="A231:B231"/>
    <mergeCell ref="C231:D231"/>
    <mergeCell ref="F231:F233"/>
    <mergeCell ref="A232:B232"/>
    <mergeCell ref="C232:D232"/>
    <mergeCell ref="A233:B233"/>
    <mergeCell ref="C233:D233"/>
    <mergeCell ref="A234:B234"/>
    <mergeCell ref="C234:D234"/>
    <mergeCell ref="F234:F236"/>
    <mergeCell ref="A235:B235"/>
    <mergeCell ref="C235:D235"/>
    <mergeCell ref="A236:B236"/>
    <mergeCell ref="C236:D236"/>
    <mergeCell ref="A237:B237"/>
    <mergeCell ref="C237:D237"/>
    <mergeCell ref="F237:F239"/>
    <mergeCell ref="A238:B238"/>
    <mergeCell ref="C238:D238"/>
    <mergeCell ref="A239:B239"/>
    <mergeCell ref="C239:D239"/>
    <mergeCell ref="A240:B240"/>
    <mergeCell ref="C240:D240"/>
    <mergeCell ref="F240:F242"/>
    <mergeCell ref="A241:B241"/>
    <mergeCell ref="C241:D241"/>
    <mergeCell ref="A242:B242"/>
    <mergeCell ref="C242:D242"/>
    <mergeCell ref="A243:B243"/>
    <mergeCell ref="C243:D243"/>
    <mergeCell ref="F243:F245"/>
    <mergeCell ref="A244:B244"/>
    <mergeCell ref="C244:D244"/>
    <mergeCell ref="A245:B245"/>
    <mergeCell ref="C245:D245"/>
    <mergeCell ref="A246:B246"/>
    <mergeCell ref="C246:D246"/>
    <mergeCell ref="F246:F248"/>
    <mergeCell ref="A247:B247"/>
    <mergeCell ref="C247:D247"/>
    <mergeCell ref="A248:B248"/>
    <mergeCell ref="C248:D248"/>
    <mergeCell ref="A249:B249"/>
    <mergeCell ref="C249:D249"/>
    <mergeCell ref="F249:F251"/>
    <mergeCell ref="A250:B250"/>
    <mergeCell ref="C250:D250"/>
    <mergeCell ref="A251:B251"/>
    <mergeCell ref="C251:D251"/>
    <mergeCell ref="A252:B252"/>
    <mergeCell ref="C252:D252"/>
    <mergeCell ref="F252:F254"/>
    <mergeCell ref="A253:B253"/>
    <mergeCell ref="C253:D253"/>
    <mergeCell ref="A254:B254"/>
    <mergeCell ref="C254:D254"/>
    <mergeCell ref="A255:B255"/>
    <mergeCell ref="C255:D255"/>
    <mergeCell ref="F255:F257"/>
    <mergeCell ref="A256:B256"/>
    <mergeCell ref="C256:D256"/>
    <mergeCell ref="A257:B257"/>
    <mergeCell ref="C257:D257"/>
    <mergeCell ref="A258:B258"/>
    <mergeCell ref="C258:D258"/>
    <mergeCell ref="F258:F260"/>
    <mergeCell ref="A259:B259"/>
    <mergeCell ref="C259:D259"/>
    <mergeCell ref="A260:B260"/>
    <mergeCell ref="C260:D260"/>
    <mergeCell ref="A261:B261"/>
    <mergeCell ref="C261:D261"/>
    <mergeCell ref="F261:F263"/>
    <mergeCell ref="A262:B262"/>
    <mergeCell ref="C262:D262"/>
    <mergeCell ref="A263:B263"/>
    <mergeCell ref="C263:D263"/>
    <mergeCell ref="A264:B264"/>
    <mergeCell ref="C264:D264"/>
    <mergeCell ref="F264:F266"/>
    <mergeCell ref="A265:B265"/>
    <mergeCell ref="C265:D265"/>
    <mergeCell ref="A266:B266"/>
    <mergeCell ref="C266:D266"/>
    <mergeCell ref="A267:B267"/>
    <mergeCell ref="C267:D267"/>
    <mergeCell ref="F267:F269"/>
    <mergeCell ref="A268:B268"/>
    <mergeCell ref="C268:D268"/>
    <mergeCell ref="A269:B269"/>
    <mergeCell ref="C269:D269"/>
    <mergeCell ref="A270:B270"/>
    <mergeCell ref="C270:D270"/>
    <mergeCell ref="F270:F272"/>
    <mergeCell ref="A271:B271"/>
    <mergeCell ref="C271:D271"/>
    <mergeCell ref="A272:B272"/>
    <mergeCell ref="C272:D272"/>
    <mergeCell ref="A273:B273"/>
    <mergeCell ref="C273:D273"/>
    <mergeCell ref="F273:F275"/>
    <mergeCell ref="A274:B274"/>
    <mergeCell ref="C274:D274"/>
    <mergeCell ref="A275:B275"/>
    <mergeCell ref="C275:D275"/>
    <mergeCell ref="A276:B276"/>
    <mergeCell ref="C276:D276"/>
    <mergeCell ref="F276:F278"/>
    <mergeCell ref="A277:B277"/>
    <mergeCell ref="C277:D277"/>
    <mergeCell ref="A278:B278"/>
    <mergeCell ref="C278:D278"/>
    <mergeCell ref="A279:B279"/>
    <mergeCell ref="C279:D279"/>
    <mergeCell ref="F279:F281"/>
    <mergeCell ref="A280:B280"/>
    <mergeCell ref="C280:D280"/>
    <mergeCell ref="A281:B281"/>
    <mergeCell ref="C281:D281"/>
    <mergeCell ref="A282:B282"/>
    <mergeCell ref="C282:D282"/>
    <mergeCell ref="F282:F284"/>
    <mergeCell ref="A283:B283"/>
    <mergeCell ref="C283:D283"/>
    <mergeCell ref="A284:B284"/>
    <mergeCell ref="C284:D284"/>
    <mergeCell ref="A285:B285"/>
    <mergeCell ref="C285:D285"/>
    <mergeCell ref="F285:F287"/>
    <mergeCell ref="A286:B286"/>
    <mergeCell ref="C286:D286"/>
    <mergeCell ref="A287:B287"/>
    <mergeCell ref="C287:D287"/>
    <mergeCell ref="A288:B288"/>
    <mergeCell ref="C288:D288"/>
    <mergeCell ref="F288:F290"/>
    <mergeCell ref="A289:B289"/>
    <mergeCell ref="C289:D289"/>
    <mergeCell ref="A290:B290"/>
    <mergeCell ref="C290:D290"/>
    <mergeCell ref="A291:B291"/>
    <mergeCell ref="C291:D291"/>
    <mergeCell ref="F291:F293"/>
    <mergeCell ref="A292:B292"/>
    <mergeCell ref="C292:D292"/>
    <mergeCell ref="A293:B293"/>
    <mergeCell ref="C293:D293"/>
    <mergeCell ref="A294:B294"/>
    <mergeCell ref="C294:D294"/>
    <mergeCell ref="F294:F296"/>
    <mergeCell ref="A295:B295"/>
    <mergeCell ref="C295:D295"/>
    <mergeCell ref="A296:B296"/>
    <mergeCell ref="C296:D296"/>
    <mergeCell ref="A297:B297"/>
    <mergeCell ref="C297:D297"/>
    <mergeCell ref="F297:F299"/>
    <mergeCell ref="A298:B298"/>
    <mergeCell ref="C298:D298"/>
    <mergeCell ref="A299:B299"/>
    <mergeCell ref="C299:D299"/>
    <mergeCell ref="A300:B300"/>
    <mergeCell ref="C300:D300"/>
    <mergeCell ref="F300:F302"/>
    <mergeCell ref="A301:B301"/>
    <mergeCell ref="C301:D301"/>
    <mergeCell ref="A302:B302"/>
    <mergeCell ref="C302:D302"/>
    <mergeCell ref="A303:B303"/>
    <mergeCell ref="C303:D303"/>
    <mergeCell ref="F303:F305"/>
    <mergeCell ref="A304:B304"/>
    <mergeCell ref="C304:D304"/>
    <mergeCell ref="A305:B305"/>
    <mergeCell ref="C305:D305"/>
    <mergeCell ref="A306:B306"/>
    <mergeCell ref="C306:D306"/>
    <mergeCell ref="F306:F308"/>
    <mergeCell ref="A307:B307"/>
    <mergeCell ref="C307:D307"/>
    <mergeCell ref="A308:B308"/>
    <mergeCell ref="C308:D308"/>
    <mergeCell ref="A309:B309"/>
    <mergeCell ref="C309:D309"/>
    <mergeCell ref="F309:F311"/>
    <mergeCell ref="A310:B310"/>
    <mergeCell ref="C310:D310"/>
    <mergeCell ref="A311:B311"/>
    <mergeCell ref="C311:D311"/>
    <mergeCell ref="A312:B312"/>
    <mergeCell ref="C312:D312"/>
    <mergeCell ref="F312:F314"/>
    <mergeCell ref="A313:B313"/>
    <mergeCell ref="C313:D313"/>
    <mergeCell ref="A314:B314"/>
    <mergeCell ref="C314:D314"/>
    <mergeCell ref="A315:B315"/>
    <mergeCell ref="C315:D315"/>
    <mergeCell ref="F315:F317"/>
    <mergeCell ref="A316:B316"/>
    <mergeCell ref="C316:D316"/>
    <mergeCell ref="A317:B317"/>
    <mergeCell ref="C317:D317"/>
    <mergeCell ref="A318:B318"/>
    <mergeCell ref="C318:D318"/>
    <mergeCell ref="F318:F320"/>
    <mergeCell ref="A319:B319"/>
    <mergeCell ref="C319:D319"/>
    <mergeCell ref="A320:B320"/>
    <mergeCell ref="C320:D320"/>
    <mergeCell ref="A321:B321"/>
    <mergeCell ref="C321:D321"/>
    <mergeCell ref="F321:F323"/>
    <mergeCell ref="A322:B322"/>
    <mergeCell ref="C322:D322"/>
    <mergeCell ref="A323:B323"/>
    <mergeCell ref="C323:D323"/>
    <mergeCell ref="A325:F327"/>
    <mergeCell ref="A329:B329"/>
    <mergeCell ref="C329:D329"/>
    <mergeCell ref="F329:F331"/>
    <mergeCell ref="A330:B330"/>
    <mergeCell ref="C330:D330"/>
    <mergeCell ref="A331:B331"/>
    <mergeCell ref="C331:D331"/>
    <mergeCell ref="A332:B332"/>
    <mergeCell ref="C332:D332"/>
    <mergeCell ref="F332:F334"/>
    <mergeCell ref="A333:B333"/>
    <mergeCell ref="C333:D333"/>
    <mergeCell ref="A334:B334"/>
    <mergeCell ref="C334:D334"/>
    <mergeCell ref="A336:F338"/>
    <mergeCell ref="A340:B340"/>
    <mergeCell ref="C340:D340"/>
    <mergeCell ref="E340:F342"/>
    <mergeCell ref="A341:B341"/>
    <mergeCell ref="C341:D341"/>
    <mergeCell ref="A342:B342"/>
    <mergeCell ref="C342:D342"/>
    <mergeCell ref="A344:F346"/>
    <mergeCell ref="A348:B348"/>
    <mergeCell ref="C348:D348"/>
    <mergeCell ref="E348:F350"/>
    <mergeCell ref="A349:B349"/>
    <mergeCell ref="C349:D349"/>
    <mergeCell ref="A350:B350"/>
    <mergeCell ref="C350:D350"/>
    <mergeCell ref="A351:B351"/>
    <mergeCell ref="C351:D351"/>
    <mergeCell ref="E351:F353"/>
    <mergeCell ref="A352:B352"/>
    <mergeCell ref="C352:D352"/>
    <mergeCell ref="A353:B353"/>
    <mergeCell ref="C353:D353"/>
    <mergeCell ref="A354:B354"/>
    <mergeCell ref="C354:D354"/>
    <mergeCell ref="E354:F356"/>
    <mergeCell ref="A355:B355"/>
    <mergeCell ref="C355:D355"/>
    <mergeCell ref="A356:B356"/>
    <mergeCell ref="C356:D356"/>
    <mergeCell ref="A357:B357"/>
    <mergeCell ref="C357:D357"/>
    <mergeCell ref="E357:F359"/>
    <mergeCell ref="A358:B358"/>
    <mergeCell ref="C358:D358"/>
    <mergeCell ref="A359:B359"/>
    <mergeCell ref="C359:D359"/>
    <mergeCell ref="A360:B360"/>
    <mergeCell ref="C360:D360"/>
    <mergeCell ref="E360:F362"/>
    <mergeCell ref="A361:B361"/>
    <mergeCell ref="C361:D361"/>
    <mergeCell ref="A362:B362"/>
    <mergeCell ref="C362:D362"/>
    <mergeCell ref="A363:B363"/>
    <mergeCell ref="C363:D363"/>
    <mergeCell ref="E363:F365"/>
    <mergeCell ref="A364:B364"/>
    <mergeCell ref="C364:D364"/>
    <mergeCell ref="A365:B365"/>
    <mergeCell ref="C365:D365"/>
    <mergeCell ref="A366:B366"/>
    <mergeCell ref="C366:D366"/>
    <mergeCell ref="E366:F368"/>
    <mergeCell ref="A367:B367"/>
    <mergeCell ref="C367:D367"/>
    <mergeCell ref="A368:B368"/>
    <mergeCell ref="C368:D368"/>
    <mergeCell ref="A369:B369"/>
    <mergeCell ref="C369:D369"/>
    <mergeCell ref="E369:F371"/>
    <mergeCell ref="A370:B370"/>
    <mergeCell ref="C370:D370"/>
    <mergeCell ref="A371:B371"/>
    <mergeCell ref="C371:D371"/>
    <mergeCell ref="A372:B372"/>
    <mergeCell ref="C372:D372"/>
    <mergeCell ref="E372:F374"/>
    <mergeCell ref="A373:B373"/>
    <mergeCell ref="C373:D373"/>
    <mergeCell ref="A374:B374"/>
    <mergeCell ref="C374:D374"/>
    <mergeCell ref="A375:B375"/>
    <mergeCell ref="C375:D375"/>
    <mergeCell ref="E375:F377"/>
    <mergeCell ref="A376:B376"/>
    <mergeCell ref="C376:D376"/>
    <mergeCell ref="A377:B377"/>
    <mergeCell ref="C377:D377"/>
    <mergeCell ref="A378:B378"/>
    <mergeCell ref="C378:D378"/>
    <mergeCell ref="E378:F380"/>
    <mergeCell ref="A379:B379"/>
    <mergeCell ref="C379:D379"/>
    <mergeCell ref="A380:B380"/>
    <mergeCell ref="C380:D380"/>
    <mergeCell ref="A381:B381"/>
    <mergeCell ref="C381:D381"/>
    <mergeCell ref="E381:F383"/>
    <mergeCell ref="A382:B382"/>
    <mergeCell ref="C382:D382"/>
    <mergeCell ref="A383:B383"/>
    <mergeCell ref="C383:D383"/>
    <mergeCell ref="A384:B384"/>
    <mergeCell ref="C384:D384"/>
    <mergeCell ref="E384:F386"/>
    <mergeCell ref="A385:B385"/>
    <mergeCell ref="C385:D385"/>
    <mergeCell ref="A386:B386"/>
    <mergeCell ref="C386:D386"/>
    <mergeCell ref="A387:B387"/>
    <mergeCell ref="C387:D387"/>
    <mergeCell ref="E387:F389"/>
    <mergeCell ref="A388:B388"/>
    <mergeCell ref="C388:D388"/>
    <mergeCell ref="A389:B389"/>
    <mergeCell ref="C389:D389"/>
    <mergeCell ref="A390:B390"/>
    <mergeCell ref="C390:D390"/>
    <mergeCell ref="E390:F392"/>
    <mergeCell ref="A391:B391"/>
    <mergeCell ref="C391:D391"/>
    <mergeCell ref="A392:B392"/>
    <mergeCell ref="C392:D392"/>
    <mergeCell ref="A393:B393"/>
    <mergeCell ref="C393:D393"/>
    <mergeCell ref="E393:F395"/>
    <mergeCell ref="A394:B394"/>
    <mergeCell ref="C394:D394"/>
    <mergeCell ref="A395:B395"/>
    <mergeCell ref="C395:D395"/>
    <mergeCell ref="A396:B396"/>
    <mergeCell ref="C396:D396"/>
    <mergeCell ref="E396:F398"/>
    <mergeCell ref="A397:B397"/>
    <mergeCell ref="C397:D397"/>
    <mergeCell ref="A398:B398"/>
    <mergeCell ref="C398:D398"/>
    <mergeCell ref="A399:B399"/>
    <mergeCell ref="C399:D399"/>
    <mergeCell ref="E399:F401"/>
    <mergeCell ref="A400:B400"/>
    <mergeCell ref="C400:D400"/>
    <mergeCell ref="A401:B401"/>
    <mergeCell ref="C401:D401"/>
    <mergeCell ref="A402:B402"/>
    <mergeCell ref="C402:D402"/>
    <mergeCell ref="E402:F404"/>
    <mergeCell ref="A403:B403"/>
    <mergeCell ref="C403:D403"/>
    <mergeCell ref="A404:B404"/>
    <mergeCell ref="C404:D404"/>
    <mergeCell ref="A405:B405"/>
    <mergeCell ref="C405:D405"/>
    <mergeCell ref="E405:F407"/>
    <mergeCell ref="A406:B406"/>
    <mergeCell ref="C406:D406"/>
    <mergeCell ref="A407:B407"/>
    <mergeCell ref="C407:D407"/>
    <mergeCell ref="A408:B408"/>
    <mergeCell ref="C408:D408"/>
    <mergeCell ref="E408:F410"/>
    <mergeCell ref="A409:B409"/>
    <mergeCell ref="C409:D409"/>
    <mergeCell ref="A410:B410"/>
    <mergeCell ref="C410:D410"/>
    <mergeCell ref="A411:B411"/>
    <mergeCell ref="C411:D411"/>
    <mergeCell ref="E411:F413"/>
    <mergeCell ref="A412:B412"/>
    <mergeCell ref="C412:D412"/>
    <mergeCell ref="A413:B413"/>
    <mergeCell ref="C413:D413"/>
    <mergeCell ref="A414:B414"/>
    <mergeCell ref="C414:D414"/>
    <mergeCell ref="E414:F416"/>
    <mergeCell ref="A415:B415"/>
    <mergeCell ref="C415:D415"/>
    <mergeCell ref="A416:B416"/>
    <mergeCell ref="C416:D416"/>
    <mergeCell ref="A417:B417"/>
    <mergeCell ref="C417:D417"/>
    <mergeCell ref="E417:F419"/>
    <mergeCell ref="A418:B418"/>
    <mergeCell ref="C418:D418"/>
    <mergeCell ref="A419:B419"/>
    <mergeCell ref="C419:D419"/>
    <mergeCell ref="A420:B420"/>
    <mergeCell ref="C420:D420"/>
    <mergeCell ref="E420:F422"/>
    <mergeCell ref="A421:B421"/>
    <mergeCell ref="C421:D421"/>
    <mergeCell ref="A422:B422"/>
    <mergeCell ref="C422:D422"/>
    <mergeCell ref="A423:B423"/>
    <mergeCell ref="C423:D423"/>
    <mergeCell ref="E423:F425"/>
    <mergeCell ref="A424:B424"/>
    <mergeCell ref="C424:D424"/>
    <mergeCell ref="A425:B425"/>
    <mergeCell ref="C425:D425"/>
    <mergeCell ref="A426:B426"/>
    <mergeCell ref="C426:D426"/>
    <mergeCell ref="E426:F428"/>
    <mergeCell ref="A427:B427"/>
    <mergeCell ref="C427:D427"/>
    <mergeCell ref="A428:B428"/>
    <mergeCell ref="C428:D428"/>
    <mergeCell ref="A429:B429"/>
    <mergeCell ref="C429:D429"/>
    <mergeCell ref="E429:F431"/>
    <mergeCell ref="A430:B430"/>
    <mergeCell ref="C430:D430"/>
    <mergeCell ref="A431:B431"/>
    <mergeCell ref="C431:D431"/>
    <mergeCell ref="A432:B432"/>
    <mergeCell ref="C432:D432"/>
    <mergeCell ref="E432:F434"/>
    <mergeCell ref="A433:B433"/>
    <mergeCell ref="C433:D433"/>
    <mergeCell ref="A434:B434"/>
    <mergeCell ref="C434:D434"/>
    <mergeCell ref="A435:B435"/>
    <mergeCell ref="C435:D435"/>
    <mergeCell ref="E435:F437"/>
    <mergeCell ref="A436:B436"/>
    <mergeCell ref="C436:D436"/>
    <mergeCell ref="A437:B437"/>
    <mergeCell ref="C437:D437"/>
    <mergeCell ref="A438:B438"/>
    <mergeCell ref="C438:D438"/>
    <mergeCell ref="E438:F440"/>
    <mergeCell ref="A439:B439"/>
    <mergeCell ref="C439:D439"/>
    <mergeCell ref="A440:B440"/>
    <mergeCell ref="C440:D440"/>
    <mergeCell ref="A441:B441"/>
    <mergeCell ref="C441:D441"/>
    <mergeCell ref="E441:F443"/>
    <mergeCell ref="A442:B442"/>
    <mergeCell ref="C442:D442"/>
    <mergeCell ref="A443:B443"/>
    <mergeCell ref="C443:D443"/>
    <mergeCell ref="A444:B444"/>
    <mergeCell ref="C444:D444"/>
    <mergeCell ref="E444:F446"/>
    <mergeCell ref="A445:B445"/>
    <mergeCell ref="C445:D445"/>
    <mergeCell ref="A446:B446"/>
    <mergeCell ref="C446:D446"/>
    <mergeCell ref="A447:B447"/>
    <mergeCell ref="C447:D447"/>
    <mergeCell ref="E447:F449"/>
    <mergeCell ref="A448:B448"/>
    <mergeCell ref="C448:D448"/>
    <mergeCell ref="A449:B449"/>
    <mergeCell ref="C449:D449"/>
    <mergeCell ref="A450:B450"/>
    <mergeCell ref="C450:D450"/>
    <mergeCell ref="E450:F452"/>
    <mergeCell ref="A451:B451"/>
    <mergeCell ref="C451:D451"/>
    <mergeCell ref="A452:B452"/>
    <mergeCell ref="C452:D452"/>
    <mergeCell ref="A453:B453"/>
    <mergeCell ref="C453:D453"/>
    <mergeCell ref="E453:F455"/>
    <mergeCell ref="A454:B454"/>
    <mergeCell ref="C454:D454"/>
    <mergeCell ref="A455:B455"/>
    <mergeCell ref="C455:D455"/>
    <mergeCell ref="A456:B456"/>
    <mergeCell ref="C456:D456"/>
    <mergeCell ref="E456:F458"/>
    <mergeCell ref="A457:B457"/>
    <mergeCell ref="C457:D457"/>
    <mergeCell ref="A458:B458"/>
    <mergeCell ref="C458:D458"/>
    <mergeCell ref="A459:B459"/>
    <mergeCell ref="C459:D459"/>
    <mergeCell ref="E459:F461"/>
    <mergeCell ref="A460:B460"/>
    <mergeCell ref="C460:D460"/>
    <mergeCell ref="A461:B461"/>
    <mergeCell ref="C461:D461"/>
    <mergeCell ref="A462:B462"/>
    <mergeCell ref="C462:D462"/>
    <mergeCell ref="E462:F464"/>
    <mergeCell ref="A463:B463"/>
    <mergeCell ref="C463:D463"/>
    <mergeCell ref="A464:B464"/>
    <mergeCell ref="C464:D464"/>
    <mergeCell ref="A465:B465"/>
    <mergeCell ref="C465:D465"/>
    <mergeCell ref="E465:F467"/>
    <mergeCell ref="A466:B466"/>
    <mergeCell ref="C466:D466"/>
    <mergeCell ref="A467:B467"/>
    <mergeCell ref="C467:D467"/>
    <mergeCell ref="A468:B468"/>
    <mergeCell ref="C468:D468"/>
    <mergeCell ref="E468:F470"/>
    <mergeCell ref="A469:B469"/>
    <mergeCell ref="C469:D469"/>
    <mergeCell ref="A470:B470"/>
    <mergeCell ref="C470:D470"/>
    <mergeCell ref="A471:B471"/>
    <mergeCell ref="C471:D471"/>
    <mergeCell ref="E471:F473"/>
    <mergeCell ref="A472:B472"/>
    <mergeCell ref="C472:D472"/>
    <mergeCell ref="A473:B473"/>
    <mergeCell ref="C473:D473"/>
    <mergeCell ref="A474:B474"/>
    <mergeCell ref="C474:D474"/>
    <mergeCell ref="E474:F476"/>
    <mergeCell ref="A475:B475"/>
    <mergeCell ref="C475:D475"/>
    <mergeCell ref="A476:B476"/>
    <mergeCell ref="C476:D476"/>
    <mergeCell ref="A477:B477"/>
    <mergeCell ref="C477:D477"/>
    <mergeCell ref="E477:F479"/>
    <mergeCell ref="A478:B478"/>
    <mergeCell ref="C478:D478"/>
    <mergeCell ref="A479:B479"/>
    <mergeCell ref="C479:D479"/>
    <mergeCell ref="A480:B480"/>
    <mergeCell ref="C480:D480"/>
    <mergeCell ref="E480:F482"/>
    <mergeCell ref="A481:B481"/>
    <mergeCell ref="C481:D481"/>
    <mergeCell ref="A482:B482"/>
    <mergeCell ref="C482:D482"/>
    <mergeCell ref="A483:B483"/>
    <mergeCell ref="C483:D483"/>
    <mergeCell ref="E483:F485"/>
    <mergeCell ref="A484:B484"/>
    <mergeCell ref="C484:D484"/>
    <mergeCell ref="A485:B485"/>
    <mergeCell ref="C485:D485"/>
    <mergeCell ref="A486:B486"/>
    <mergeCell ref="C486:D486"/>
    <mergeCell ref="E486:F488"/>
    <mergeCell ref="A487:B487"/>
    <mergeCell ref="C487:D487"/>
    <mergeCell ref="A488:B488"/>
    <mergeCell ref="C488:D488"/>
    <mergeCell ref="A489:B489"/>
    <mergeCell ref="C489:D489"/>
    <mergeCell ref="E489:F491"/>
    <mergeCell ref="A490:B490"/>
    <mergeCell ref="C490:D490"/>
    <mergeCell ref="A491:B491"/>
    <mergeCell ref="C491:D491"/>
    <mergeCell ref="A492:B492"/>
    <mergeCell ref="C492:D492"/>
    <mergeCell ref="E492:F494"/>
    <mergeCell ref="A493:B493"/>
    <mergeCell ref="C493:D493"/>
    <mergeCell ref="A494:B494"/>
    <mergeCell ref="C494:D494"/>
    <mergeCell ref="A495:B495"/>
    <mergeCell ref="C495:D495"/>
    <mergeCell ref="E495:F497"/>
    <mergeCell ref="A496:B496"/>
    <mergeCell ref="C496:D496"/>
    <mergeCell ref="A497:B497"/>
    <mergeCell ref="C497:D497"/>
    <mergeCell ref="A498:B498"/>
    <mergeCell ref="C498:D498"/>
    <mergeCell ref="E498:F500"/>
    <mergeCell ref="A499:B499"/>
    <mergeCell ref="C499:D499"/>
    <mergeCell ref="A500:B500"/>
    <mergeCell ref="C500:D500"/>
    <mergeCell ref="A501:B501"/>
    <mergeCell ref="C501:D501"/>
    <mergeCell ref="E501:F503"/>
    <mergeCell ref="A502:B502"/>
    <mergeCell ref="C502:D502"/>
    <mergeCell ref="A503:B503"/>
    <mergeCell ref="C503:D503"/>
    <mergeCell ref="A504:B504"/>
    <mergeCell ref="C504:D504"/>
    <mergeCell ref="E504:F506"/>
    <mergeCell ref="A505:B505"/>
    <mergeCell ref="C505:D505"/>
    <mergeCell ref="A506:B506"/>
    <mergeCell ref="C506:D506"/>
    <mergeCell ref="A507:B507"/>
    <mergeCell ref="C507:D507"/>
    <mergeCell ref="E507:F509"/>
    <mergeCell ref="A508:B508"/>
    <mergeCell ref="C508:D508"/>
    <mergeCell ref="A509:B509"/>
    <mergeCell ref="C509:D509"/>
    <mergeCell ref="A510:B510"/>
    <mergeCell ref="C510:D510"/>
    <mergeCell ref="E510:F512"/>
    <mergeCell ref="A511:B511"/>
    <mergeCell ref="C511:D511"/>
    <mergeCell ref="A512:B512"/>
    <mergeCell ref="C512:D512"/>
    <mergeCell ref="A513:B513"/>
    <mergeCell ref="C513:D513"/>
    <mergeCell ref="E513:F515"/>
    <mergeCell ref="A514:B514"/>
    <mergeCell ref="C514:D514"/>
    <mergeCell ref="A515:B515"/>
    <mergeCell ref="C515:D515"/>
    <mergeCell ref="A516:B516"/>
    <mergeCell ref="C516:D516"/>
    <mergeCell ref="E516:F518"/>
    <mergeCell ref="A517:B517"/>
    <mergeCell ref="C517:D517"/>
    <mergeCell ref="A518:B518"/>
    <mergeCell ref="C518:D518"/>
    <mergeCell ref="A519:B519"/>
    <mergeCell ref="C519:D519"/>
    <mergeCell ref="E519:F521"/>
    <mergeCell ref="A520:B520"/>
    <mergeCell ref="C520:D520"/>
    <mergeCell ref="A521:B521"/>
    <mergeCell ref="C521:D521"/>
    <mergeCell ref="A522:B522"/>
    <mergeCell ref="C522:D522"/>
    <mergeCell ref="E522:F524"/>
    <mergeCell ref="A523:B523"/>
    <mergeCell ref="C523:D523"/>
    <mergeCell ref="A524:B524"/>
    <mergeCell ref="C524:D524"/>
    <mergeCell ref="A525:B525"/>
    <mergeCell ref="C525:D525"/>
    <mergeCell ref="E525:F527"/>
    <mergeCell ref="A526:B526"/>
    <mergeCell ref="C526:D526"/>
    <mergeCell ref="A527:B527"/>
    <mergeCell ref="C527:D527"/>
    <mergeCell ref="A528:B528"/>
    <mergeCell ref="C528:D528"/>
    <mergeCell ref="E528:F530"/>
    <mergeCell ref="A529:B529"/>
    <mergeCell ref="C529:D529"/>
    <mergeCell ref="A530:B530"/>
    <mergeCell ref="C530:D530"/>
    <mergeCell ref="A531:B531"/>
    <mergeCell ref="C531:D531"/>
    <mergeCell ref="E531:F533"/>
    <mergeCell ref="A532:B532"/>
    <mergeCell ref="C532:D532"/>
    <mergeCell ref="A533:B533"/>
    <mergeCell ref="C533:D533"/>
    <mergeCell ref="A534:B534"/>
    <mergeCell ref="C534:D534"/>
    <mergeCell ref="E534:F536"/>
    <mergeCell ref="A535:B535"/>
    <mergeCell ref="C535:D535"/>
    <mergeCell ref="A536:B536"/>
    <mergeCell ref="C536:D536"/>
    <mergeCell ref="A537:B537"/>
    <mergeCell ref="C537:D537"/>
    <mergeCell ref="E537:F539"/>
    <mergeCell ref="A538:B538"/>
    <mergeCell ref="C538:D538"/>
    <mergeCell ref="A539:B539"/>
    <mergeCell ref="C539:D539"/>
    <mergeCell ref="A540:B540"/>
    <mergeCell ref="C540:D540"/>
    <mergeCell ref="E540:F542"/>
    <mergeCell ref="A541:B541"/>
    <mergeCell ref="C541:D541"/>
    <mergeCell ref="A542:B542"/>
    <mergeCell ref="C542:D542"/>
    <mergeCell ref="A543:B543"/>
    <mergeCell ref="C543:D543"/>
    <mergeCell ref="E543:F545"/>
    <mergeCell ref="A544:B544"/>
    <mergeCell ref="C544:D544"/>
    <mergeCell ref="A545:B545"/>
    <mergeCell ref="C545:D545"/>
    <mergeCell ref="A546:B546"/>
    <mergeCell ref="C546:D546"/>
    <mergeCell ref="E546:F548"/>
    <mergeCell ref="A547:B547"/>
    <mergeCell ref="C547:D547"/>
    <mergeCell ref="A548:B548"/>
    <mergeCell ref="C548:D548"/>
    <mergeCell ref="A549:B549"/>
    <mergeCell ref="C549:D549"/>
    <mergeCell ref="E549:F551"/>
    <mergeCell ref="A550:B550"/>
    <mergeCell ref="C550:D550"/>
    <mergeCell ref="A551:B551"/>
    <mergeCell ref="C551:D551"/>
    <mergeCell ref="A552:B552"/>
    <mergeCell ref="C552:D552"/>
    <mergeCell ref="E552:F554"/>
    <mergeCell ref="A553:B553"/>
    <mergeCell ref="C553:D553"/>
    <mergeCell ref="A554:B554"/>
    <mergeCell ref="C554:D554"/>
    <mergeCell ref="A555:B555"/>
    <mergeCell ref="C555:D555"/>
    <mergeCell ref="E555:F557"/>
    <mergeCell ref="A556:B556"/>
    <mergeCell ref="C556:D556"/>
    <mergeCell ref="A557:B557"/>
    <mergeCell ref="C557:D557"/>
    <mergeCell ref="A558:B558"/>
    <mergeCell ref="C558:D558"/>
    <mergeCell ref="E558:F560"/>
    <mergeCell ref="A559:B559"/>
    <mergeCell ref="C559:D559"/>
    <mergeCell ref="A560:B560"/>
    <mergeCell ref="C560:D560"/>
    <mergeCell ref="A561:B561"/>
    <mergeCell ref="C561:D561"/>
    <mergeCell ref="E561:F563"/>
    <mergeCell ref="A562:B562"/>
    <mergeCell ref="C562:D562"/>
    <mergeCell ref="A563:B563"/>
    <mergeCell ref="C563:D563"/>
    <mergeCell ref="A564:B564"/>
    <mergeCell ref="C564:D564"/>
    <mergeCell ref="E564:F566"/>
    <mergeCell ref="A565:B565"/>
    <mergeCell ref="C565:D565"/>
    <mergeCell ref="A566:B566"/>
    <mergeCell ref="C566:D566"/>
    <mergeCell ref="A567:B567"/>
    <mergeCell ref="C567:D567"/>
    <mergeCell ref="E567:F569"/>
    <mergeCell ref="A568:B568"/>
    <mergeCell ref="C568:D568"/>
    <mergeCell ref="A569:B569"/>
    <mergeCell ref="C569:D569"/>
    <mergeCell ref="A570:B570"/>
    <mergeCell ref="C570:D570"/>
    <mergeCell ref="E570:F572"/>
    <mergeCell ref="A571:B571"/>
    <mergeCell ref="C571:D571"/>
    <mergeCell ref="A572:B572"/>
    <mergeCell ref="C572:D572"/>
    <mergeCell ref="A573:B573"/>
    <mergeCell ref="C573:D573"/>
    <mergeCell ref="E573:F575"/>
    <mergeCell ref="A574:B574"/>
    <mergeCell ref="C574:D574"/>
    <mergeCell ref="A575:B575"/>
    <mergeCell ref="C575:D575"/>
    <mergeCell ref="A576:B576"/>
    <mergeCell ref="C576:D576"/>
    <mergeCell ref="E576:F578"/>
    <mergeCell ref="A577:B577"/>
    <mergeCell ref="C577:D577"/>
    <mergeCell ref="A578:B578"/>
    <mergeCell ref="C578:D578"/>
    <mergeCell ref="A579:B579"/>
    <mergeCell ref="C579:D579"/>
    <mergeCell ref="E579:F581"/>
    <mergeCell ref="A580:B580"/>
    <mergeCell ref="C580:D580"/>
    <mergeCell ref="A581:B581"/>
    <mergeCell ref="C581:D581"/>
    <mergeCell ref="A582:B582"/>
    <mergeCell ref="C582:D582"/>
    <mergeCell ref="E582:F584"/>
    <mergeCell ref="A583:B583"/>
    <mergeCell ref="C583:D583"/>
    <mergeCell ref="A584:B584"/>
    <mergeCell ref="C584:D584"/>
    <mergeCell ref="A585:B585"/>
    <mergeCell ref="C585:D585"/>
    <mergeCell ref="E585:F587"/>
    <mergeCell ref="A586:B586"/>
    <mergeCell ref="C586:D586"/>
    <mergeCell ref="A587:B587"/>
    <mergeCell ref="C587:D587"/>
    <mergeCell ref="A588:B588"/>
    <mergeCell ref="C588:D588"/>
    <mergeCell ref="E588:F590"/>
    <mergeCell ref="A589:B589"/>
    <mergeCell ref="C589:D589"/>
    <mergeCell ref="A590:B590"/>
    <mergeCell ref="C590:D590"/>
    <mergeCell ref="A591:B591"/>
    <mergeCell ref="C591:D591"/>
    <mergeCell ref="E591:F593"/>
    <mergeCell ref="A592:B592"/>
    <mergeCell ref="C592:D592"/>
    <mergeCell ref="A593:B593"/>
    <mergeCell ref="C593:D593"/>
    <mergeCell ref="A594:B594"/>
    <mergeCell ref="C594:D594"/>
    <mergeCell ref="E594:F596"/>
    <mergeCell ref="A595:B595"/>
    <mergeCell ref="C595:D595"/>
    <mergeCell ref="A596:B596"/>
    <mergeCell ref="C596:D596"/>
    <mergeCell ref="A597:B597"/>
    <mergeCell ref="C597:D597"/>
    <mergeCell ref="E597:F599"/>
    <mergeCell ref="A598:B598"/>
    <mergeCell ref="C598:D598"/>
    <mergeCell ref="A599:B599"/>
    <mergeCell ref="C599:D599"/>
    <mergeCell ref="A600:B600"/>
    <mergeCell ref="C600:D600"/>
    <mergeCell ref="E600:F602"/>
    <mergeCell ref="A601:B601"/>
    <mergeCell ref="C601:D601"/>
    <mergeCell ref="A602:B602"/>
    <mergeCell ref="C602:D602"/>
    <mergeCell ref="A603:B603"/>
    <mergeCell ref="C603:D603"/>
    <mergeCell ref="E603:F605"/>
    <mergeCell ref="A604:B604"/>
    <mergeCell ref="C604:D604"/>
    <mergeCell ref="A605:B605"/>
    <mergeCell ref="C605:D605"/>
    <mergeCell ref="A606:B606"/>
    <mergeCell ref="C606:D606"/>
    <mergeCell ref="E606:F608"/>
    <mergeCell ref="A607:B607"/>
    <mergeCell ref="C607:D607"/>
    <mergeCell ref="A608:B608"/>
    <mergeCell ref="C608:D608"/>
    <mergeCell ref="A609:B609"/>
    <mergeCell ref="C609:D609"/>
    <mergeCell ref="E609:F611"/>
    <mergeCell ref="A610:B610"/>
    <mergeCell ref="C610:D610"/>
    <mergeCell ref="A611:B611"/>
    <mergeCell ref="C611:D611"/>
    <mergeCell ref="A612:B612"/>
    <mergeCell ref="C612:D612"/>
    <mergeCell ref="E612:F614"/>
    <mergeCell ref="A613:B613"/>
    <mergeCell ref="C613:D613"/>
    <mergeCell ref="A614:B614"/>
    <mergeCell ref="C614:D614"/>
    <mergeCell ref="A615:B615"/>
    <mergeCell ref="C615:D615"/>
    <mergeCell ref="E615:F617"/>
    <mergeCell ref="A616:B616"/>
    <mergeCell ref="C616:D616"/>
    <mergeCell ref="A617:B617"/>
    <mergeCell ref="C617:D617"/>
    <mergeCell ref="A618:B618"/>
    <mergeCell ref="C618:D618"/>
    <mergeCell ref="E618:F620"/>
    <mergeCell ref="A619:B619"/>
    <mergeCell ref="C619:D619"/>
    <mergeCell ref="A620:B620"/>
    <mergeCell ref="C620:D620"/>
    <mergeCell ref="A621:B621"/>
    <mergeCell ref="C621:D621"/>
    <mergeCell ref="E621:F623"/>
    <mergeCell ref="A622:B622"/>
    <mergeCell ref="C622:D622"/>
    <mergeCell ref="A623:B623"/>
    <mergeCell ref="C623:D623"/>
    <mergeCell ref="A624:B624"/>
    <mergeCell ref="C624:D624"/>
    <mergeCell ref="E624:F626"/>
    <mergeCell ref="A625:B625"/>
    <mergeCell ref="C625:D625"/>
    <mergeCell ref="A626:B626"/>
    <mergeCell ref="C626:D626"/>
    <mergeCell ref="A627:B627"/>
    <mergeCell ref="C627:D627"/>
    <mergeCell ref="E627:F629"/>
    <mergeCell ref="A628:B628"/>
    <mergeCell ref="C628:D628"/>
    <mergeCell ref="A629:B629"/>
    <mergeCell ref="C629:D629"/>
    <mergeCell ref="A630:B630"/>
    <mergeCell ref="C630:D630"/>
    <mergeCell ref="E630:F632"/>
    <mergeCell ref="A631:B631"/>
    <mergeCell ref="C631:D631"/>
    <mergeCell ref="A632:B632"/>
    <mergeCell ref="C632:D632"/>
    <mergeCell ref="A633:B633"/>
    <mergeCell ref="C633:D633"/>
    <mergeCell ref="E633:F635"/>
    <mergeCell ref="A634:B634"/>
    <mergeCell ref="C634:D634"/>
    <mergeCell ref="A635:B635"/>
    <mergeCell ref="C635:D635"/>
    <mergeCell ref="A636:B636"/>
    <mergeCell ref="C636:D636"/>
    <mergeCell ref="E636:F638"/>
    <mergeCell ref="A637:B637"/>
    <mergeCell ref="C637:D637"/>
    <mergeCell ref="A638:B638"/>
    <mergeCell ref="C638:D638"/>
    <mergeCell ref="A639:B639"/>
    <mergeCell ref="C639:D639"/>
    <mergeCell ref="E639:F641"/>
    <mergeCell ref="A640:B640"/>
    <mergeCell ref="C640:D640"/>
    <mergeCell ref="A641:B641"/>
    <mergeCell ref="C641:D641"/>
    <mergeCell ref="A646:F648"/>
    <mergeCell ref="A642:B642"/>
    <mergeCell ref="C642:D642"/>
    <mergeCell ref="E642:F644"/>
    <mergeCell ref="A643:B643"/>
    <mergeCell ref="C643:D643"/>
    <mergeCell ref="A644:B644"/>
    <mergeCell ref="C644:D644"/>
  </mergeCells>
  <printOptions horizontalCentered="1"/>
  <pageMargins left="0.5905511811023623" right="0.5905511811023623" top="0.984251968503937" bottom="0.748031496062992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b.bulak</dc:creator>
  <cp:keywords/>
  <dc:description/>
  <cp:lastModifiedBy>Krzysztof Ryszewski</cp:lastModifiedBy>
  <cp:lastPrinted>2019-04-11T07:01:08Z</cp:lastPrinted>
  <dcterms:created xsi:type="dcterms:W3CDTF">2010-11-02T12:16:55Z</dcterms:created>
  <dcterms:modified xsi:type="dcterms:W3CDTF">2019-04-11T12:02:30Z</dcterms:modified>
  <cp:category/>
  <cp:version/>
  <cp:contentType/>
  <cp:contentStatus/>
</cp:coreProperties>
</file>